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showInkAnnotation="0"/>
  <bookViews>
    <workbookView xWindow="0" yWindow="0" windowWidth="19200" windowHeight="10995" firstSheet="6" activeTab="11"/>
  </bookViews>
  <sheets>
    <sheet name="12А" sheetId="3" state="hidden" r:id="rId1"/>
    <sheet name="12Б_2024_6 мес (2)" sheetId="51" state="hidden" r:id="rId2"/>
    <sheet name="МИНСТРОЙ" sheetId="68" state="hidden" r:id="rId3"/>
    <sheet name="Документ" sheetId="66" state="hidden" r:id="rId4"/>
    <sheet name="2024" sheetId="62" state="hidden" r:id="rId5"/>
    <sheet name="912-ПП" sheetId="61" state="hidden" r:id="rId6"/>
    <sheet name="12А_2024" sheetId="56" r:id="rId7"/>
    <sheet name="334-ПП" sheetId="49" state="hidden" r:id="rId8"/>
    <sheet name="12Б_2024" sheetId="67" r:id="rId9"/>
    <sheet name="12В" sheetId="63" r:id="rId10"/>
    <sheet name="12Г" sheetId="64" r:id="rId11"/>
    <sheet name="12Д" sheetId="65" r:id="rId12"/>
    <sheet name="12А_2024 (2)" sheetId="69" state="hidden" r:id="rId13"/>
  </sheets>
  <externalReferences>
    <externalReference r:id="rId14"/>
    <externalReference r:id="rId15"/>
    <externalReference r:id="rId16"/>
    <externalReference r:id="rId17"/>
    <externalReference r:id="rId18"/>
    <externalReference r:id="rId19"/>
    <externalReference r:id="rId20"/>
    <externalReference r:id="rId21"/>
    <externalReference r:id="rId22"/>
  </externalReferences>
  <definedNames>
    <definedName name="_xlnm._FilterDatabase" localSheetId="0" hidden="1">'12А'!$A$2:$M$284</definedName>
    <definedName name="_xlnm._FilterDatabase" localSheetId="6" hidden="1">'12А_2024'!$A$3:$M$290</definedName>
    <definedName name="_xlnm._FilterDatabase" localSheetId="12" hidden="1">'12А_2024 (2)'!$A$3:$M$295</definedName>
    <definedName name="_xlnm._FilterDatabase" localSheetId="7" hidden="1">'334-ПП'!$A$4:$L$944</definedName>
    <definedName name="_xlnm._FilterDatabase" localSheetId="3" hidden="1">Документ!$A$5:$Q$265</definedName>
    <definedName name="_xlnm._FilterDatabase" localSheetId="2" hidden="1">МИНСТРОЙ!$A$3:$M$295</definedName>
    <definedName name="Print_Titles" localSheetId="7">'334-ПП'!$3:$4</definedName>
    <definedName name="_xlnm.Print_Titles" localSheetId="10">'12Г'!$2:$2</definedName>
    <definedName name="_xlnm.Print_Titles" localSheetId="3">Документ!$5:$5</definedName>
    <definedName name="_xlnm.Print_Area" localSheetId="0">'12А'!$A$2:$M$284</definedName>
    <definedName name="_xlnm.Print_Area" localSheetId="6">'12А_2024'!$A$1:$M$290</definedName>
    <definedName name="_xlnm.Print_Area" localSheetId="12">'12А_2024 (2)'!$A$3:$M$295</definedName>
    <definedName name="_xlnm.Print_Area" localSheetId="9">'12В'!$A$1:$P$26</definedName>
    <definedName name="_xlnm.Print_Area" localSheetId="10">'12Г'!$A$1:$G$13</definedName>
    <definedName name="_xlnm.Print_Area" localSheetId="11">'12Д'!$A$1:$H$12</definedName>
    <definedName name="_xlnm.Print_Area" localSheetId="4">'2024'!$B$1:$H$122</definedName>
    <definedName name="_xlnm.Print_Area" localSheetId="7">'334-ПП'!$A$1:$K$943</definedName>
    <definedName name="_xlnm.Print_Area" localSheetId="2">МИНСТРОЙ!$A$3:$M$295</definedName>
  </definedName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8" i="56" l="1"/>
  <c r="F9" i="56"/>
  <c r="F10" i="56"/>
  <c r="M7" i="63" l="1"/>
  <c r="M10" i="63"/>
  <c r="M17" i="63"/>
  <c r="M22" i="63"/>
  <c r="E259" i="56" l="1"/>
  <c r="E117" i="56" l="1"/>
  <c r="D117" i="56"/>
  <c r="G295" i="69" l="1"/>
  <c r="G294" i="69"/>
  <c r="G293" i="69"/>
  <c r="E292" i="69"/>
  <c r="F292" i="69" s="1"/>
  <c r="D292" i="69"/>
  <c r="D291" i="69" s="1"/>
  <c r="G290" i="69"/>
  <c r="J289" i="69"/>
  <c r="J284" i="69" s="1"/>
  <c r="G289" i="69"/>
  <c r="J288" i="69"/>
  <c r="J283" i="69" s="1"/>
  <c r="G288" i="69"/>
  <c r="J287" i="69"/>
  <c r="J282" i="69" s="1"/>
  <c r="G285" i="69"/>
  <c r="G284" i="69"/>
  <c r="G283" i="69"/>
  <c r="F280" i="69"/>
  <c r="G280" i="69" s="1"/>
  <c r="E280" i="69"/>
  <c r="E270" i="69" s="1"/>
  <c r="E255" i="69" s="1"/>
  <c r="F279" i="69"/>
  <c r="F269" i="69" s="1"/>
  <c r="E279" i="69"/>
  <c r="E269" i="69" s="1"/>
  <c r="D279" i="69"/>
  <c r="D269" i="69" s="1"/>
  <c r="F278" i="69"/>
  <c r="G278" i="69" s="1"/>
  <c r="E278" i="69"/>
  <c r="E268" i="69" s="1"/>
  <c r="F277" i="69"/>
  <c r="E277" i="69"/>
  <c r="D277" i="69"/>
  <c r="G275" i="69"/>
  <c r="G274" i="69"/>
  <c r="G273" i="69"/>
  <c r="E272" i="69"/>
  <c r="F272" i="69" s="1"/>
  <c r="D272" i="69"/>
  <c r="D271" i="69" s="1"/>
  <c r="J269" i="69"/>
  <c r="J268" i="69"/>
  <c r="D268" i="69"/>
  <c r="J267" i="69"/>
  <c r="G265" i="69"/>
  <c r="E264" i="69"/>
  <c r="F264" i="69" s="1"/>
  <c r="G264" i="69" s="1"/>
  <c r="D264" i="69"/>
  <c r="F263" i="69"/>
  <c r="G263" i="69" s="1"/>
  <c r="E262" i="69"/>
  <c r="D262" i="69"/>
  <c r="G260" i="69"/>
  <c r="F259" i="69"/>
  <c r="E259" i="69"/>
  <c r="D259" i="69"/>
  <c r="G259" i="69" s="1"/>
  <c r="G258" i="69"/>
  <c r="F257" i="69"/>
  <c r="E257" i="69"/>
  <c r="D257" i="69"/>
  <c r="D252" i="69" s="1"/>
  <c r="D255" i="69"/>
  <c r="J254" i="69"/>
  <c r="E253" i="69"/>
  <c r="D253" i="69"/>
  <c r="J252" i="69"/>
  <c r="F250" i="69"/>
  <c r="G250" i="69" s="1"/>
  <c r="E250" i="69"/>
  <c r="F249" i="69"/>
  <c r="G249" i="69" s="1"/>
  <c r="E249" i="69"/>
  <c r="F248" i="69"/>
  <c r="E248" i="69"/>
  <c r="D248" i="69"/>
  <c r="F247" i="69"/>
  <c r="E247" i="69"/>
  <c r="D247" i="69"/>
  <c r="G245" i="69"/>
  <c r="G244" i="69"/>
  <c r="G243" i="69"/>
  <c r="F242" i="69"/>
  <c r="F241" i="69" s="1"/>
  <c r="E242" i="69"/>
  <c r="E241" i="69" s="1"/>
  <c r="D242" i="69"/>
  <c r="D241" i="69" s="1"/>
  <c r="F240" i="69"/>
  <c r="G240" i="69" s="1"/>
  <c r="E240" i="69"/>
  <c r="F239" i="69"/>
  <c r="G239" i="69" s="1"/>
  <c r="E239" i="69"/>
  <c r="F238" i="69"/>
  <c r="E238" i="69"/>
  <c r="D238" i="69"/>
  <c r="F237" i="69"/>
  <c r="E237" i="69"/>
  <c r="D237" i="69"/>
  <c r="D235" i="69"/>
  <c r="J234" i="69"/>
  <c r="D234" i="69"/>
  <c r="J233" i="69"/>
  <c r="J232" i="69"/>
  <c r="G230" i="69"/>
  <c r="G229" i="69"/>
  <c r="E228" i="69"/>
  <c r="F228" i="69" s="1"/>
  <c r="D228" i="69"/>
  <c r="D223" i="69" s="1"/>
  <c r="E227" i="69"/>
  <c r="D227" i="69"/>
  <c r="D222" i="69" s="1"/>
  <c r="F225" i="69"/>
  <c r="G225" i="69" s="1"/>
  <c r="J224" i="69"/>
  <c r="E224" i="69"/>
  <c r="F224" i="69" s="1"/>
  <c r="G224" i="69" s="1"/>
  <c r="J222" i="69"/>
  <c r="D220" i="69"/>
  <c r="G220" i="69" s="1"/>
  <c r="D219" i="69"/>
  <c r="D218" i="69"/>
  <c r="G218" i="69" s="1"/>
  <c r="G217" i="69"/>
  <c r="F216" i="69"/>
  <c r="E216" i="69"/>
  <c r="G215" i="69"/>
  <c r="G214" i="69"/>
  <c r="G213" i="69"/>
  <c r="E212" i="69"/>
  <c r="E211" i="69" s="1"/>
  <c r="D212" i="69"/>
  <c r="D211" i="69" s="1"/>
  <c r="G210" i="69"/>
  <c r="G209" i="69"/>
  <c r="G208" i="69"/>
  <c r="E207" i="69"/>
  <c r="F207" i="69" s="1"/>
  <c r="D207" i="69"/>
  <c r="D206" i="69" s="1"/>
  <c r="G205" i="69"/>
  <c r="G204" i="69"/>
  <c r="G203" i="69"/>
  <c r="E202" i="69"/>
  <c r="F202" i="69" s="1"/>
  <c r="D202" i="69"/>
  <c r="D201" i="69" s="1"/>
  <c r="F200" i="69"/>
  <c r="G200" i="69" s="1"/>
  <c r="F199" i="69"/>
  <c r="G199" i="69" s="1"/>
  <c r="J198" i="69"/>
  <c r="F198" i="69"/>
  <c r="G198" i="69" s="1"/>
  <c r="K196" i="69"/>
  <c r="F195" i="69"/>
  <c r="D195" i="69"/>
  <c r="D190" i="69" s="1"/>
  <c r="E194" i="69"/>
  <c r="F194" i="69" s="1"/>
  <c r="D194" i="69"/>
  <c r="D189" i="69" s="1"/>
  <c r="F193" i="69"/>
  <c r="G193" i="69" s="1"/>
  <c r="F192" i="69"/>
  <c r="E192" i="69"/>
  <c r="D192" i="69"/>
  <c r="J190" i="69"/>
  <c r="F190" i="69"/>
  <c r="F188" i="69"/>
  <c r="G188" i="69" s="1"/>
  <c r="G180" i="69"/>
  <c r="G179" i="69"/>
  <c r="E178" i="69"/>
  <c r="F178" i="69" s="1"/>
  <c r="D178" i="69"/>
  <c r="E177" i="69"/>
  <c r="D177" i="69"/>
  <c r="G175" i="69"/>
  <c r="G174" i="69"/>
  <c r="E173" i="69"/>
  <c r="F173" i="69" s="1"/>
  <c r="D173" i="69"/>
  <c r="E172" i="69"/>
  <c r="F172" i="69" s="1"/>
  <c r="D172" i="69"/>
  <c r="G170" i="69"/>
  <c r="J169" i="69"/>
  <c r="E169" i="69"/>
  <c r="F169" i="69" s="1"/>
  <c r="D169" i="69"/>
  <c r="J168" i="69"/>
  <c r="J167" i="69"/>
  <c r="G165" i="69"/>
  <c r="D164" i="69"/>
  <c r="E164" i="69" s="1"/>
  <c r="G163" i="69"/>
  <c r="E162" i="69"/>
  <c r="F162" i="69" s="1"/>
  <c r="D162" i="69"/>
  <c r="G160" i="69"/>
  <c r="D159" i="69"/>
  <c r="E159" i="69" s="1"/>
  <c r="G158" i="69"/>
  <c r="E157" i="69"/>
  <c r="D157" i="69"/>
  <c r="J155" i="69"/>
  <c r="G155" i="69"/>
  <c r="E153" i="69"/>
  <c r="F153" i="69" s="1"/>
  <c r="G153" i="69" s="1"/>
  <c r="D153" i="69"/>
  <c r="G150" i="69"/>
  <c r="G149" i="69"/>
  <c r="G148" i="69"/>
  <c r="E147" i="69"/>
  <c r="E146" i="69" s="1"/>
  <c r="D147" i="69"/>
  <c r="D146" i="69" s="1"/>
  <c r="G145" i="69"/>
  <c r="G144" i="69"/>
  <c r="G143" i="69"/>
  <c r="E142" i="69"/>
  <c r="F142" i="69" s="1"/>
  <c r="D142" i="69"/>
  <c r="D141" i="69" s="1"/>
  <c r="G140" i="69"/>
  <c r="G139" i="69"/>
  <c r="G138" i="69"/>
  <c r="E137" i="69"/>
  <c r="F137" i="69" s="1"/>
  <c r="D137" i="69"/>
  <c r="D136" i="69" s="1"/>
  <c r="G135" i="69"/>
  <c r="G134" i="69"/>
  <c r="G133" i="69"/>
  <c r="E132" i="69"/>
  <c r="E131" i="69" s="1"/>
  <c r="D132" i="69"/>
  <c r="D131" i="69" s="1"/>
  <c r="G130" i="69"/>
  <c r="G129" i="69"/>
  <c r="G128" i="69"/>
  <c r="E127" i="69"/>
  <c r="F127" i="69" s="1"/>
  <c r="D127" i="69"/>
  <c r="D126" i="69" s="1"/>
  <c r="G125" i="69"/>
  <c r="G124" i="69"/>
  <c r="G123" i="69"/>
  <c r="E122" i="69"/>
  <c r="E121" i="69" s="1"/>
  <c r="D122" i="69"/>
  <c r="G120" i="69"/>
  <c r="G119" i="69"/>
  <c r="G118" i="69"/>
  <c r="E117" i="69"/>
  <c r="F117" i="69" s="1"/>
  <c r="D117" i="69"/>
  <c r="D116" i="69" s="1"/>
  <c r="G115" i="69"/>
  <c r="G114" i="69"/>
  <c r="G113" i="69"/>
  <c r="E112" i="69"/>
  <c r="F112" i="69" s="1"/>
  <c r="D112" i="69"/>
  <c r="D111" i="69" s="1"/>
  <c r="G110" i="69"/>
  <c r="G109" i="69"/>
  <c r="G108" i="69"/>
  <c r="E107" i="69"/>
  <c r="F107" i="69" s="1"/>
  <c r="D107" i="69"/>
  <c r="D106" i="69" s="1"/>
  <c r="G105" i="69"/>
  <c r="G104" i="69"/>
  <c r="G103" i="69"/>
  <c r="E102" i="69"/>
  <c r="D102" i="69"/>
  <c r="D101" i="69" s="1"/>
  <c r="G100" i="69"/>
  <c r="J99" i="69"/>
  <c r="J94" i="69" s="1"/>
  <c r="G99" i="69"/>
  <c r="J98" i="69"/>
  <c r="G98" i="69"/>
  <c r="J97" i="69"/>
  <c r="J92" i="69" s="1"/>
  <c r="F95" i="69"/>
  <c r="F15" i="69" s="1"/>
  <c r="E95" i="69"/>
  <c r="G90" i="69"/>
  <c r="G89" i="69"/>
  <c r="G88" i="69"/>
  <c r="E87" i="69"/>
  <c r="F87" i="69" s="1"/>
  <c r="D87" i="69"/>
  <c r="D86" i="69" s="1"/>
  <c r="G85" i="69"/>
  <c r="G84" i="69"/>
  <c r="G83" i="69"/>
  <c r="E82" i="69"/>
  <c r="F82" i="69" s="1"/>
  <c r="D82" i="69"/>
  <c r="D81" i="69" s="1"/>
  <c r="H81" i="69"/>
  <c r="E80" i="69"/>
  <c r="F80" i="69" s="1"/>
  <c r="G80" i="69" s="1"/>
  <c r="J79" i="69"/>
  <c r="E79" i="69"/>
  <c r="F79" i="69" s="1"/>
  <c r="G79" i="69" s="1"/>
  <c r="J78" i="69"/>
  <c r="E78" i="69"/>
  <c r="F78" i="69" s="1"/>
  <c r="G78" i="69" s="1"/>
  <c r="J77" i="69"/>
  <c r="G75" i="69"/>
  <c r="G74" i="69"/>
  <c r="G73" i="69"/>
  <c r="E72" i="69"/>
  <c r="E71" i="69" s="1"/>
  <c r="D72" i="69"/>
  <c r="D71" i="69" s="1"/>
  <c r="G70" i="69"/>
  <c r="F69" i="69"/>
  <c r="D69" i="69"/>
  <c r="G68" i="69"/>
  <c r="E67" i="69"/>
  <c r="F67" i="69" s="1"/>
  <c r="D67" i="69"/>
  <c r="G65" i="69"/>
  <c r="E64" i="69"/>
  <c r="F64" i="69" s="1"/>
  <c r="D64" i="69"/>
  <c r="G63" i="69"/>
  <c r="E62" i="69"/>
  <c r="F62" i="69" s="1"/>
  <c r="D62" i="69"/>
  <c r="G60" i="69"/>
  <c r="G59" i="69"/>
  <c r="G58" i="69"/>
  <c r="E57" i="69"/>
  <c r="F57" i="69" s="1"/>
  <c r="D57" i="69"/>
  <c r="D56" i="69" s="1"/>
  <c r="G55" i="69"/>
  <c r="G54" i="69"/>
  <c r="G53" i="69"/>
  <c r="E52" i="69"/>
  <c r="F52" i="69" s="1"/>
  <c r="F51" i="69" s="1"/>
  <c r="D52" i="69"/>
  <c r="D51" i="69" s="1"/>
  <c r="G50" i="69"/>
  <c r="G49" i="69"/>
  <c r="G48" i="69"/>
  <c r="E47" i="69"/>
  <c r="E46" i="69" s="1"/>
  <c r="D47" i="69"/>
  <c r="D46" i="69" s="1"/>
  <c r="G45" i="69"/>
  <c r="G44" i="69"/>
  <c r="G43" i="69"/>
  <c r="E42" i="69"/>
  <c r="E41" i="69" s="1"/>
  <c r="D42" i="69"/>
  <c r="D41" i="69" s="1"/>
  <c r="G40" i="69"/>
  <c r="G39" i="69"/>
  <c r="G38" i="69"/>
  <c r="E37" i="69"/>
  <c r="E36" i="69" s="1"/>
  <c r="D37" i="69"/>
  <c r="D36" i="69" s="1"/>
  <c r="G35" i="69"/>
  <c r="G34" i="69"/>
  <c r="G33" i="69"/>
  <c r="E32" i="69"/>
  <c r="E31" i="69" s="1"/>
  <c r="D32" i="69"/>
  <c r="D31" i="69" s="1"/>
  <c r="F30" i="69"/>
  <c r="G30" i="69" s="1"/>
  <c r="E30" i="69"/>
  <c r="J29" i="69"/>
  <c r="J28" i="69"/>
  <c r="J23" i="69" s="1"/>
  <c r="E28" i="69"/>
  <c r="F28" i="69" s="1"/>
  <c r="D28" i="69"/>
  <c r="J27" i="69"/>
  <c r="G25" i="69"/>
  <c r="D24" i="69"/>
  <c r="G24" i="69" s="1"/>
  <c r="E20" i="69"/>
  <c r="D18" i="69"/>
  <c r="K16" i="69"/>
  <c r="E15" i="69"/>
  <c r="D15" i="69"/>
  <c r="D287" i="69" l="1"/>
  <c r="D286" i="69" s="1"/>
  <c r="D20" i="69"/>
  <c r="F212" i="69"/>
  <c r="E176" i="69"/>
  <c r="E17" i="69"/>
  <c r="E111" i="69"/>
  <c r="D232" i="69"/>
  <c r="E234" i="69"/>
  <c r="G257" i="69"/>
  <c r="E23" i="69"/>
  <c r="F23" i="69" s="1"/>
  <c r="J24" i="69"/>
  <c r="F66" i="69"/>
  <c r="J93" i="69"/>
  <c r="D156" i="69"/>
  <c r="J221" i="69"/>
  <c r="J225" i="69" s="1"/>
  <c r="J182" i="69"/>
  <c r="G15" i="69"/>
  <c r="G169" i="69"/>
  <c r="E223" i="69"/>
  <c r="D256" i="69"/>
  <c r="D276" i="69"/>
  <c r="D66" i="69"/>
  <c r="E256" i="69"/>
  <c r="E56" i="69"/>
  <c r="F256" i="69"/>
  <c r="J184" i="69"/>
  <c r="J76" i="69"/>
  <c r="J183" i="69"/>
  <c r="E235" i="69"/>
  <c r="E261" i="69"/>
  <c r="E97" i="69"/>
  <c r="E96" i="69" s="1"/>
  <c r="G28" i="69"/>
  <c r="D282" i="69"/>
  <c r="D281" i="69" s="1"/>
  <c r="E29" i="69"/>
  <c r="F29" i="69" s="1"/>
  <c r="D254" i="69"/>
  <c r="G254" i="69" s="1"/>
  <c r="J96" i="69"/>
  <c r="J100" i="69" s="1"/>
  <c r="G142" i="69"/>
  <c r="G277" i="69"/>
  <c r="J80" i="69"/>
  <c r="F18" i="69"/>
  <c r="G18" i="69" s="1"/>
  <c r="F270" i="69"/>
  <c r="F255" i="69" s="1"/>
  <c r="G255" i="69" s="1"/>
  <c r="E51" i="69"/>
  <c r="E19" i="69"/>
  <c r="G248" i="69"/>
  <c r="D167" i="69"/>
  <c r="E226" i="69"/>
  <c r="F226" i="69" s="1"/>
  <c r="D29" i="69"/>
  <c r="G66" i="69"/>
  <c r="E233" i="69"/>
  <c r="G190" i="69"/>
  <c r="D185" i="69"/>
  <c r="G185" i="69" s="1"/>
  <c r="G195" i="69"/>
  <c r="E116" i="69"/>
  <c r="D226" i="69"/>
  <c r="D168" i="69"/>
  <c r="D93" i="69" s="1"/>
  <c r="D13" i="69" s="1"/>
  <c r="D17" i="69"/>
  <c r="E77" i="69"/>
  <c r="E76" i="69" s="1"/>
  <c r="D154" i="69"/>
  <c r="D94" i="69" s="1"/>
  <c r="D176" i="69"/>
  <c r="F234" i="69"/>
  <c r="G234" i="69" s="1"/>
  <c r="E152" i="69"/>
  <c r="F152" i="69" s="1"/>
  <c r="G192" i="69"/>
  <c r="G212" i="69"/>
  <c r="E222" i="69"/>
  <c r="F222" i="69" s="1"/>
  <c r="G222" i="69" s="1"/>
  <c r="E18" i="69"/>
  <c r="E141" i="69"/>
  <c r="D161" i="69"/>
  <c r="G178" i="69"/>
  <c r="D236" i="69"/>
  <c r="G242" i="69"/>
  <c r="F122" i="69"/>
  <c r="G122" i="69" s="1"/>
  <c r="E246" i="69"/>
  <c r="E106" i="69"/>
  <c r="E156" i="69"/>
  <c r="G247" i="69"/>
  <c r="F106" i="69"/>
  <c r="G106" i="69" s="1"/>
  <c r="G107" i="69"/>
  <c r="G272" i="69"/>
  <c r="F267" i="69"/>
  <c r="G51" i="69"/>
  <c r="D166" i="69"/>
  <c r="D171" i="69"/>
  <c r="D216" i="69"/>
  <c r="G216" i="69" s="1"/>
  <c r="D19" i="69"/>
  <c r="G69" i="69"/>
  <c r="F132" i="69"/>
  <c r="G132" i="69" s="1"/>
  <c r="E168" i="69"/>
  <c r="E191" i="69"/>
  <c r="D221" i="69"/>
  <c r="G238" i="69"/>
  <c r="D246" i="69"/>
  <c r="E271" i="69"/>
  <c r="E267" i="69"/>
  <c r="E266" i="69" s="1"/>
  <c r="G269" i="69"/>
  <c r="G64" i="69"/>
  <c r="D10" i="69"/>
  <c r="G10" i="69" s="1"/>
  <c r="F227" i="69"/>
  <c r="G227" i="69" s="1"/>
  <c r="E81" i="69"/>
  <c r="E66" i="69"/>
  <c r="G228" i="69"/>
  <c r="G173" i="69"/>
  <c r="E189" i="69"/>
  <c r="F189" i="69" s="1"/>
  <c r="G189" i="69" s="1"/>
  <c r="F235" i="69"/>
  <c r="G235" i="69" s="1"/>
  <c r="E236" i="69"/>
  <c r="F147" i="69"/>
  <c r="F32" i="69"/>
  <c r="F102" i="69"/>
  <c r="E61" i="69"/>
  <c r="E167" i="69"/>
  <c r="E171" i="69"/>
  <c r="D233" i="69"/>
  <c r="D183" i="69" s="1"/>
  <c r="F157" i="69"/>
  <c r="G157" i="69" s="1"/>
  <c r="D61" i="69"/>
  <c r="E86" i="69"/>
  <c r="D97" i="69"/>
  <c r="D96" i="69" s="1"/>
  <c r="D191" i="69"/>
  <c r="E183" i="69"/>
  <c r="F183" i="69" s="1"/>
  <c r="E161" i="69"/>
  <c r="F164" i="69"/>
  <c r="G164" i="69" s="1"/>
  <c r="F61" i="69"/>
  <c r="G62" i="69"/>
  <c r="D1" i="69"/>
  <c r="F111" i="69"/>
  <c r="G111" i="69" s="1"/>
  <c r="G112" i="69"/>
  <c r="E154" i="69"/>
  <c r="F171" i="69"/>
  <c r="G172" i="69"/>
  <c r="G127" i="69"/>
  <c r="F126" i="69"/>
  <c r="G126" i="69" s="1"/>
  <c r="F81" i="69"/>
  <c r="G81" i="69" s="1"/>
  <c r="G82" i="69"/>
  <c r="G292" i="69"/>
  <c r="F287" i="69"/>
  <c r="F291" i="69"/>
  <c r="G291" i="69" s="1"/>
  <c r="F86" i="69"/>
  <c r="G86" i="69" s="1"/>
  <c r="G87" i="69"/>
  <c r="G202" i="69"/>
  <c r="F201" i="69"/>
  <c r="G201" i="69" s="1"/>
  <c r="G23" i="69"/>
  <c r="G162" i="69"/>
  <c r="F19" i="69"/>
  <c r="G194" i="69"/>
  <c r="G137" i="69"/>
  <c r="F136" i="69"/>
  <c r="G136" i="69" s="1"/>
  <c r="F56" i="69"/>
  <c r="G56" i="69" s="1"/>
  <c r="G57" i="69"/>
  <c r="G241" i="69"/>
  <c r="F116" i="69"/>
  <c r="G116" i="69" s="1"/>
  <c r="G117" i="69"/>
  <c r="G207" i="69"/>
  <c r="F206" i="69"/>
  <c r="G206" i="69" s="1"/>
  <c r="F20" i="69"/>
  <c r="G20" i="69" s="1"/>
  <c r="J22" i="69"/>
  <c r="D77" i="69"/>
  <c r="D76" i="69" s="1"/>
  <c r="J166" i="69"/>
  <c r="J196" i="69"/>
  <c r="J200" i="69" s="1"/>
  <c r="F236" i="69"/>
  <c r="F268" i="69"/>
  <c r="E276" i="69"/>
  <c r="D187" i="69"/>
  <c r="J231" i="69"/>
  <c r="J251" i="69"/>
  <c r="J255" i="69" s="1"/>
  <c r="F276" i="69"/>
  <c r="G279" i="69"/>
  <c r="J286" i="69"/>
  <c r="J281" i="69" s="1"/>
  <c r="J285" i="69" s="1"/>
  <c r="F47" i="69"/>
  <c r="G52" i="69"/>
  <c r="G67" i="69"/>
  <c r="F72" i="69"/>
  <c r="G95" i="69"/>
  <c r="E136" i="69"/>
  <c r="F141" i="69"/>
  <c r="G141" i="69" s="1"/>
  <c r="D152" i="69"/>
  <c r="F177" i="69"/>
  <c r="E184" i="69"/>
  <c r="F184" i="69" s="1"/>
  <c r="E187" i="69"/>
  <c r="D197" i="69"/>
  <c r="D196" i="69" s="1"/>
  <c r="E206" i="69"/>
  <c r="F211" i="69"/>
  <c r="G211" i="69" s="1"/>
  <c r="F271" i="69"/>
  <c r="G271" i="69" s="1"/>
  <c r="E291" i="69"/>
  <c r="F159" i="69"/>
  <c r="E197" i="69"/>
  <c r="E201" i="69"/>
  <c r="E232" i="69"/>
  <c r="E231" i="69" s="1"/>
  <c r="E252" i="69"/>
  <c r="E251" i="69" s="1"/>
  <c r="F262" i="69"/>
  <c r="F252" i="69" s="1"/>
  <c r="E287" i="69"/>
  <c r="J26" i="69"/>
  <c r="J21" i="69" s="1"/>
  <c r="F42" i="69"/>
  <c r="D27" i="69"/>
  <c r="F37" i="69"/>
  <c r="D121" i="69"/>
  <c r="E126" i="69"/>
  <c r="F232" i="69"/>
  <c r="J266" i="69"/>
  <c r="J270" i="69" s="1"/>
  <c r="E27" i="69"/>
  <c r="F191" i="69"/>
  <c r="G237" i="69"/>
  <c r="F246" i="69"/>
  <c r="D267" i="69"/>
  <c r="G219" i="69"/>
  <c r="E101" i="69"/>
  <c r="F233" i="69"/>
  <c r="D261" i="69"/>
  <c r="F223" i="69"/>
  <c r="G223" i="69" s="1"/>
  <c r="F77" i="69" l="1"/>
  <c r="E16" i="69"/>
  <c r="G236" i="69"/>
  <c r="D184" i="69"/>
  <c r="G184" i="69" s="1"/>
  <c r="D251" i="69"/>
  <c r="G256" i="69"/>
  <c r="G276" i="69"/>
  <c r="J91" i="69"/>
  <c r="J95" i="69" s="1"/>
  <c r="F121" i="69"/>
  <c r="G121" i="69" s="1"/>
  <c r="D9" i="69"/>
  <c r="E24" i="69"/>
  <c r="G226" i="69"/>
  <c r="J25" i="69"/>
  <c r="J30" i="69"/>
  <c r="E166" i="69"/>
  <c r="G29" i="69"/>
  <c r="F97" i="69"/>
  <c r="F96" i="69" s="1"/>
  <c r="G96" i="69" s="1"/>
  <c r="F266" i="69"/>
  <c r="G270" i="69"/>
  <c r="D16" i="69"/>
  <c r="D8" i="69"/>
  <c r="F101" i="69"/>
  <c r="G101" i="69" s="1"/>
  <c r="E221" i="69"/>
  <c r="G102" i="69"/>
  <c r="G191" i="69"/>
  <c r="G171" i="69"/>
  <c r="D14" i="69"/>
  <c r="G19" i="69"/>
  <c r="D151" i="69"/>
  <c r="F161" i="69"/>
  <c r="G161" i="69" s="1"/>
  <c r="F167" i="69"/>
  <c r="G167" i="69" s="1"/>
  <c r="G246" i="69"/>
  <c r="D92" i="69"/>
  <c r="D91" i="69" s="1"/>
  <c r="G61" i="69"/>
  <c r="D231" i="69"/>
  <c r="G233" i="69"/>
  <c r="F131" i="69"/>
  <c r="G131" i="69" s="1"/>
  <c r="E93" i="69"/>
  <c r="F168" i="69"/>
  <c r="G183" i="69"/>
  <c r="F31" i="69"/>
  <c r="G31" i="69" s="1"/>
  <c r="G32" i="69"/>
  <c r="G147" i="69"/>
  <c r="F146" i="69"/>
  <c r="G146" i="69" s="1"/>
  <c r="E92" i="69"/>
  <c r="G252" i="69"/>
  <c r="F231" i="69"/>
  <c r="G231" i="69" s="1"/>
  <c r="G232" i="69"/>
  <c r="E94" i="69"/>
  <c r="F154" i="69"/>
  <c r="F151" i="69" s="1"/>
  <c r="F156" i="69"/>
  <c r="G156" i="69" s="1"/>
  <c r="G159" i="69"/>
  <c r="J18" i="69"/>
  <c r="J181" i="69"/>
  <c r="J185" i="69" s="1"/>
  <c r="J17" i="69"/>
  <c r="G267" i="69"/>
  <c r="D266" i="69"/>
  <c r="G266" i="69" s="1"/>
  <c r="G37" i="69"/>
  <c r="F36" i="69"/>
  <c r="G36" i="69" s="1"/>
  <c r="D186" i="69"/>
  <c r="D182" i="69"/>
  <c r="E186" i="69"/>
  <c r="E182" i="69"/>
  <c r="F187" i="69"/>
  <c r="D26" i="69"/>
  <c r="D22" i="69"/>
  <c r="J290" i="69"/>
  <c r="E151" i="69"/>
  <c r="J170" i="69"/>
  <c r="F76" i="69"/>
  <c r="G76" i="69" s="1"/>
  <c r="G77" i="69"/>
  <c r="J14" i="69"/>
  <c r="J9" i="69" s="1"/>
  <c r="J13" i="69"/>
  <c r="G152" i="69"/>
  <c r="F286" i="69"/>
  <c r="G286" i="69" s="1"/>
  <c r="G287" i="69"/>
  <c r="F282" i="69"/>
  <c r="F41" i="69"/>
  <c r="G41" i="69" s="1"/>
  <c r="G42" i="69"/>
  <c r="F71" i="69"/>
  <c r="G71" i="69" s="1"/>
  <c r="G72" i="69"/>
  <c r="F253" i="69"/>
  <c r="G253" i="69" s="1"/>
  <c r="G268" i="69"/>
  <c r="E22" i="69"/>
  <c r="F27" i="69"/>
  <c r="G27" i="69" s="1"/>
  <c r="E26" i="69"/>
  <c r="F26" i="69" s="1"/>
  <c r="E282" i="69"/>
  <c r="E281" i="69" s="1"/>
  <c r="E286" i="69"/>
  <c r="J235" i="69"/>
  <c r="F261" i="69"/>
  <c r="G261" i="69" s="1"/>
  <c r="F17" i="69"/>
  <c r="G262" i="69"/>
  <c r="F46" i="69"/>
  <c r="G46" i="69" s="1"/>
  <c r="G47" i="69"/>
  <c r="E196" i="69"/>
  <c r="F197" i="69"/>
  <c r="F176" i="69"/>
  <c r="G176" i="69" s="1"/>
  <c r="G177" i="69"/>
  <c r="F221" i="69"/>
  <c r="G221" i="69" s="1"/>
  <c r="G97" i="69"/>
  <c r="D181" i="69" l="1"/>
  <c r="E91" i="69"/>
  <c r="G151" i="69"/>
  <c r="F166" i="69"/>
  <c r="G166" i="69" s="1"/>
  <c r="F92" i="69"/>
  <c r="G92" i="69" s="1"/>
  <c r="G168" i="69"/>
  <c r="F93" i="69"/>
  <c r="E8" i="69"/>
  <c r="F8" i="69" s="1"/>
  <c r="G8" i="69" s="1"/>
  <c r="E13" i="69"/>
  <c r="J8" i="69"/>
  <c r="J11" i="69"/>
  <c r="J15" i="69"/>
  <c r="F251" i="69"/>
  <c r="G251" i="69" s="1"/>
  <c r="J16" i="69"/>
  <c r="J20" i="69" s="1"/>
  <c r="J7" i="69"/>
  <c r="E181" i="69"/>
  <c r="F182" i="69"/>
  <c r="F281" i="69"/>
  <c r="G281" i="69" s="1"/>
  <c r="G282" i="69"/>
  <c r="D7" i="69"/>
  <c r="D6" i="69" s="1"/>
  <c r="D12" i="69"/>
  <c r="D11" i="69" s="1"/>
  <c r="D21" i="69"/>
  <c r="G26" i="69"/>
  <c r="F186" i="69"/>
  <c r="G186" i="69" s="1"/>
  <c r="G187" i="69"/>
  <c r="F196" i="69"/>
  <c r="G196" i="69" s="1"/>
  <c r="G197" i="69"/>
  <c r="F22" i="69"/>
  <c r="E7" i="69"/>
  <c r="E12" i="69"/>
  <c r="E21" i="69"/>
  <c r="F94" i="69"/>
  <c r="G154" i="69"/>
  <c r="E14" i="69"/>
  <c r="E9" i="69"/>
  <c r="F9" i="69" s="1"/>
  <c r="G9" i="69" s="1"/>
  <c r="G17" i="69"/>
  <c r="F16" i="69"/>
  <c r="G16" i="69" s="1"/>
  <c r="F91" i="69" l="1"/>
  <c r="G91" i="69" s="1"/>
  <c r="G93" i="69"/>
  <c r="F13" i="69"/>
  <c r="G13" i="69" s="1"/>
  <c r="E11" i="69"/>
  <c r="B1" i="69" s="1"/>
  <c r="F7" i="69"/>
  <c r="E6" i="69"/>
  <c r="G182" i="69"/>
  <c r="F181" i="69"/>
  <c r="G181" i="69" s="1"/>
  <c r="G22" i="69"/>
  <c r="F12" i="69"/>
  <c r="F21" i="69"/>
  <c r="G21" i="69" s="1"/>
  <c r="J10" i="69"/>
  <c r="G94" i="69"/>
  <c r="F14" i="69"/>
  <c r="G14" i="69" s="1"/>
  <c r="J6" i="69"/>
  <c r="G7" i="69" l="1"/>
  <c r="F6" i="69"/>
  <c r="G6" i="69" s="1"/>
  <c r="G12" i="69"/>
  <c r="F11" i="69"/>
  <c r="G11" i="69" s="1"/>
  <c r="E223" i="56" l="1"/>
  <c r="E222" i="56"/>
  <c r="D222" i="56"/>
  <c r="P8" i="63" l="1"/>
  <c r="I16" i="63"/>
  <c r="N16" i="63" s="1"/>
  <c r="I15" i="63"/>
  <c r="D7" i="65" l="1"/>
  <c r="O17" i="63"/>
  <c r="D15" i="56" l="1"/>
  <c r="F253" i="61"/>
  <c r="E122" i="56" l="1"/>
  <c r="D122" i="56"/>
  <c r="F272" i="56"/>
  <c r="F273" i="56"/>
  <c r="F275" i="56"/>
  <c r="E273" i="56"/>
  <c r="E275" i="56"/>
  <c r="E272" i="56"/>
  <c r="F242" i="56"/>
  <c r="F243" i="56"/>
  <c r="F244" i="56"/>
  <c r="G244" i="56" s="1"/>
  <c r="F245" i="56"/>
  <c r="G245" i="56" s="1"/>
  <c r="E243" i="56"/>
  <c r="E244" i="56"/>
  <c r="E245" i="56"/>
  <c r="E242" i="56"/>
  <c r="D242" i="56"/>
  <c r="D243" i="56"/>
  <c r="E233" i="56"/>
  <c r="F233" i="56"/>
  <c r="E234" i="56"/>
  <c r="F234" i="56"/>
  <c r="E235" i="56"/>
  <c r="F235" i="56"/>
  <c r="F232" i="56"/>
  <c r="E232" i="56"/>
  <c r="E194" i="56"/>
  <c r="E189" i="56" s="1"/>
  <c r="D195" i="56"/>
  <c r="D20" i="56" s="1"/>
  <c r="E192" i="56"/>
  <c r="E187" i="56" s="1"/>
  <c r="E20" i="56" l="1"/>
  <c r="E18" i="56"/>
  <c r="E19" i="56"/>
  <c r="D190" i="56"/>
  <c r="E241" i="56"/>
  <c r="G243" i="56"/>
  <c r="D241" i="56"/>
  <c r="F241" i="56"/>
  <c r="G242" i="56"/>
  <c r="G295" i="68"/>
  <c r="G294" i="68"/>
  <c r="G293" i="68"/>
  <c r="E292" i="68"/>
  <c r="E287" i="68" s="1"/>
  <c r="D292" i="68"/>
  <c r="D287" i="68" s="1"/>
  <c r="G290" i="68"/>
  <c r="J289" i="68"/>
  <c r="J284" i="68" s="1"/>
  <c r="G289" i="68"/>
  <c r="J288" i="68"/>
  <c r="J283" i="68" s="1"/>
  <c r="G288" i="68"/>
  <c r="J287" i="68"/>
  <c r="J282" i="68" s="1"/>
  <c r="G285" i="68"/>
  <c r="G284" i="68"/>
  <c r="G283" i="68"/>
  <c r="G280" i="68"/>
  <c r="D279" i="68"/>
  <c r="D269" i="68" s="1"/>
  <c r="G278" i="68"/>
  <c r="D277" i="68"/>
  <c r="G277" i="68" s="1"/>
  <c r="F276" i="68"/>
  <c r="E276" i="68"/>
  <c r="G275" i="68"/>
  <c r="G274" i="68"/>
  <c r="G273" i="68"/>
  <c r="E272" i="68"/>
  <c r="E271" i="68" s="1"/>
  <c r="D272" i="68"/>
  <c r="D271" i="68" s="1"/>
  <c r="F270" i="68"/>
  <c r="G270" i="68" s="1"/>
  <c r="E270" i="68"/>
  <c r="E255" i="68" s="1"/>
  <c r="J269" i="68"/>
  <c r="F269" i="68"/>
  <c r="E269" i="68"/>
  <c r="J268" i="68"/>
  <c r="F268" i="68"/>
  <c r="E268" i="68"/>
  <c r="D268" i="68"/>
  <c r="J267" i="68"/>
  <c r="G265" i="68"/>
  <c r="E264" i="68"/>
  <c r="F264" i="68" s="1"/>
  <c r="G264" i="68" s="1"/>
  <c r="D264" i="68"/>
  <c r="F263" i="68"/>
  <c r="E262" i="68"/>
  <c r="F262" i="68" s="1"/>
  <c r="D262" i="68"/>
  <c r="G260" i="68"/>
  <c r="F259" i="68"/>
  <c r="E259" i="68"/>
  <c r="D259" i="68"/>
  <c r="G258" i="68"/>
  <c r="F257" i="68"/>
  <c r="E257" i="68"/>
  <c r="E252" i="68" s="1"/>
  <c r="D257" i="68"/>
  <c r="D255" i="68"/>
  <c r="J254" i="68"/>
  <c r="J253" i="68"/>
  <c r="E253" i="68"/>
  <c r="D253" i="68"/>
  <c r="J252" i="68"/>
  <c r="G250" i="68"/>
  <c r="G249" i="68"/>
  <c r="D248" i="68"/>
  <c r="G248" i="68" s="1"/>
  <c r="D247" i="68"/>
  <c r="G247" i="68" s="1"/>
  <c r="F246" i="68"/>
  <c r="E246" i="68"/>
  <c r="G245" i="68"/>
  <c r="G244" i="68"/>
  <c r="G243" i="68"/>
  <c r="F242" i="68"/>
  <c r="F241" i="68" s="1"/>
  <c r="E242" i="68"/>
  <c r="E232" i="68" s="1"/>
  <c r="D242" i="68"/>
  <c r="D241" i="68" s="1"/>
  <c r="G240" i="68"/>
  <c r="G239" i="68"/>
  <c r="D238" i="68"/>
  <c r="D233" i="68" s="1"/>
  <c r="D237" i="68"/>
  <c r="F236" i="68"/>
  <c r="E236" i="68"/>
  <c r="F235" i="68"/>
  <c r="E235" i="68"/>
  <c r="D235" i="68"/>
  <c r="G235" i="68" s="1"/>
  <c r="J234" i="68"/>
  <c r="F234" i="68"/>
  <c r="E234" i="68"/>
  <c r="D234" i="68"/>
  <c r="J233" i="68"/>
  <c r="F233" i="68"/>
  <c r="E233" i="68"/>
  <c r="E183" i="68" s="1"/>
  <c r="F183" i="68" s="1"/>
  <c r="J232" i="68"/>
  <c r="F232" i="68"/>
  <c r="F231" i="68" s="1"/>
  <c r="G230" i="68"/>
  <c r="G229" i="68"/>
  <c r="E228" i="68"/>
  <c r="E223" i="68" s="1"/>
  <c r="F223" i="68" s="1"/>
  <c r="D228" i="68"/>
  <c r="D223" i="68" s="1"/>
  <c r="E227" i="68"/>
  <c r="F227" i="68" s="1"/>
  <c r="D227" i="68"/>
  <c r="F225" i="68"/>
  <c r="G225" i="68" s="1"/>
  <c r="J224" i="68"/>
  <c r="E224" i="68"/>
  <c r="F224" i="68" s="1"/>
  <c r="G224" i="68" s="1"/>
  <c r="J222" i="68"/>
  <c r="F220" i="68"/>
  <c r="G220" i="68" s="1"/>
  <c r="E219" i="68"/>
  <c r="F219" i="68" s="1"/>
  <c r="G219" i="68" s="1"/>
  <c r="F218" i="68"/>
  <c r="G218" i="68" s="1"/>
  <c r="E217" i="68"/>
  <c r="F217" i="68" s="1"/>
  <c r="G217" i="68" s="1"/>
  <c r="D216" i="68"/>
  <c r="G215" i="68"/>
  <c r="G214" i="68"/>
  <c r="G213" i="68"/>
  <c r="E212" i="68"/>
  <c r="E211" i="68" s="1"/>
  <c r="D212" i="68"/>
  <c r="D211" i="68" s="1"/>
  <c r="G210" i="68"/>
  <c r="G209" i="68"/>
  <c r="G208" i="68"/>
  <c r="D207" i="68"/>
  <c r="G205" i="68"/>
  <c r="G204" i="68"/>
  <c r="G203" i="68"/>
  <c r="D202" i="68"/>
  <c r="G202" i="68" s="1"/>
  <c r="F200" i="68"/>
  <c r="G200" i="68" s="1"/>
  <c r="F199" i="68"/>
  <c r="G199" i="68" s="1"/>
  <c r="J198" i="68"/>
  <c r="J196" i="68" s="1"/>
  <c r="F198" i="68"/>
  <c r="G198" i="68" s="1"/>
  <c r="K196" i="68"/>
  <c r="G195" i="68"/>
  <c r="G194" i="68"/>
  <c r="F194" i="68"/>
  <c r="G193" i="68"/>
  <c r="F192" i="68"/>
  <c r="F192" i="56" s="1"/>
  <c r="E191" i="68"/>
  <c r="D191" i="68"/>
  <c r="J190" i="68"/>
  <c r="F190" i="68"/>
  <c r="D190" i="68"/>
  <c r="D185" i="68" s="1"/>
  <c r="E189" i="68"/>
  <c r="F189" i="68" s="1"/>
  <c r="G189" i="68" s="1"/>
  <c r="D189" i="68"/>
  <c r="D184" i="68" s="1"/>
  <c r="G188" i="68"/>
  <c r="F188" i="68"/>
  <c r="E187" i="68"/>
  <c r="E186" i="68" s="1"/>
  <c r="D187" i="68"/>
  <c r="D186" i="68" s="1"/>
  <c r="E184" i="68"/>
  <c r="F184" i="68" s="1"/>
  <c r="E182" i="68"/>
  <c r="F182" i="68" s="1"/>
  <c r="G180" i="68"/>
  <c r="G179" i="68"/>
  <c r="E178" i="68"/>
  <c r="F178" i="68" s="1"/>
  <c r="D178" i="68"/>
  <c r="E177" i="68"/>
  <c r="E176" i="68" s="1"/>
  <c r="D177" i="68"/>
  <c r="G175" i="68"/>
  <c r="G174" i="68"/>
  <c r="F173" i="68"/>
  <c r="E173" i="68"/>
  <c r="E168" i="68" s="1"/>
  <c r="D173" i="68"/>
  <c r="E172" i="68"/>
  <c r="F172" i="68" s="1"/>
  <c r="D172" i="68"/>
  <c r="G170" i="68"/>
  <c r="J169" i="68"/>
  <c r="E169" i="68"/>
  <c r="F169" i="68" s="1"/>
  <c r="D169" i="68"/>
  <c r="J168" i="68"/>
  <c r="J167" i="68"/>
  <c r="G165" i="68"/>
  <c r="D164" i="68"/>
  <c r="G163" i="68"/>
  <c r="E162" i="68"/>
  <c r="F162" i="68" s="1"/>
  <c r="D162" i="68"/>
  <c r="G160" i="68"/>
  <c r="D159" i="68"/>
  <c r="G159" i="68" s="1"/>
  <c r="G158" i="68"/>
  <c r="E157" i="68"/>
  <c r="E156" i="68" s="1"/>
  <c r="D157" i="68"/>
  <c r="J155" i="68"/>
  <c r="G155" i="68"/>
  <c r="E154" i="68"/>
  <c r="F154" i="68" s="1"/>
  <c r="E153" i="68"/>
  <c r="F153" i="68" s="1"/>
  <c r="D153" i="68"/>
  <c r="G150" i="68"/>
  <c r="G149" i="68"/>
  <c r="G148" i="68"/>
  <c r="E147" i="68"/>
  <c r="E146" i="68" s="1"/>
  <c r="D147" i="68"/>
  <c r="D146" i="68" s="1"/>
  <c r="G145" i="68"/>
  <c r="G144" i="68"/>
  <c r="G143" i="68"/>
  <c r="E142" i="68"/>
  <c r="F142" i="68" s="1"/>
  <c r="D142" i="68"/>
  <c r="D141" i="68" s="1"/>
  <c r="G140" i="68"/>
  <c r="G139" i="68"/>
  <c r="G138" i="68"/>
  <c r="E137" i="68"/>
  <c r="E136" i="68" s="1"/>
  <c r="D137" i="68"/>
  <c r="D136" i="68" s="1"/>
  <c r="G135" i="68"/>
  <c r="G134" i="68"/>
  <c r="G133" i="68"/>
  <c r="E132" i="68"/>
  <c r="F132" i="68" s="1"/>
  <c r="D132" i="68"/>
  <c r="D131" i="68" s="1"/>
  <c r="G130" i="68"/>
  <c r="G129" i="68"/>
  <c r="G128" i="68"/>
  <c r="D127" i="68"/>
  <c r="G127" i="68" s="1"/>
  <c r="F126" i="68"/>
  <c r="E126" i="68"/>
  <c r="G125" i="68"/>
  <c r="G124" i="68"/>
  <c r="G123" i="68"/>
  <c r="E122" i="68"/>
  <c r="E121" i="68" s="1"/>
  <c r="D122" i="68"/>
  <c r="D121" i="68" s="1"/>
  <c r="G120" i="68"/>
  <c r="G119" i="68"/>
  <c r="G118" i="68"/>
  <c r="E117" i="68"/>
  <c r="E116" i="68" s="1"/>
  <c r="D117" i="68"/>
  <c r="D116" i="68" s="1"/>
  <c r="G115" i="68"/>
  <c r="G114" i="68"/>
  <c r="G113" i="68"/>
  <c r="E112" i="68"/>
  <c r="E111" i="68" s="1"/>
  <c r="D112" i="68"/>
  <c r="D111" i="68" s="1"/>
  <c r="G110" i="68"/>
  <c r="G109" i="68"/>
  <c r="G108" i="68"/>
  <c r="E107" i="68"/>
  <c r="F107" i="68" s="1"/>
  <c r="D107" i="68"/>
  <c r="D106" i="68" s="1"/>
  <c r="G105" i="68"/>
  <c r="G104" i="68"/>
  <c r="G103" i="68"/>
  <c r="E102" i="68"/>
  <c r="E101" i="68" s="1"/>
  <c r="D102" i="68"/>
  <c r="G100" i="68"/>
  <c r="J99" i="68"/>
  <c r="J94" i="68" s="1"/>
  <c r="G99" i="68"/>
  <c r="J98" i="68"/>
  <c r="G98" i="68"/>
  <c r="J97" i="68"/>
  <c r="F95" i="68"/>
  <c r="G95" i="68" s="1"/>
  <c r="E95" i="68"/>
  <c r="G90" i="68"/>
  <c r="G89" i="68"/>
  <c r="G88" i="68"/>
  <c r="E87" i="68"/>
  <c r="E86" i="68" s="1"/>
  <c r="D87" i="68"/>
  <c r="D86" i="68" s="1"/>
  <c r="G85" i="68"/>
  <c r="G84" i="68"/>
  <c r="G83" i="68"/>
  <c r="E82" i="68"/>
  <c r="E81" i="68" s="1"/>
  <c r="D82" i="68"/>
  <c r="H81" i="68"/>
  <c r="E80" i="68"/>
  <c r="F80" i="68" s="1"/>
  <c r="G80" i="68" s="1"/>
  <c r="J79" i="68"/>
  <c r="E79" i="68"/>
  <c r="F79" i="68" s="1"/>
  <c r="G79" i="68" s="1"/>
  <c r="J78" i="68"/>
  <c r="E78" i="68"/>
  <c r="F78" i="68" s="1"/>
  <c r="G78" i="68" s="1"/>
  <c r="J77" i="68"/>
  <c r="G75" i="68"/>
  <c r="G74" i="68"/>
  <c r="G73" i="68"/>
  <c r="E72" i="68"/>
  <c r="E71" i="68" s="1"/>
  <c r="D72" i="68"/>
  <c r="D71" i="68" s="1"/>
  <c r="G70" i="68"/>
  <c r="D69" i="68"/>
  <c r="G69" i="68" s="1"/>
  <c r="G68" i="68"/>
  <c r="E67" i="68"/>
  <c r="E66" i="68" s="1"/>
  <c r="D67" i="68"/>
  <c r="G65" i="68"/>
  <c r="D64" i="68"/>
  <c r="G64" i="68" s="1"/>
  <c r="G63" i="68"/>
  <c r="E62" i="68"/>
  <c r="E61" i="68" s="1"/>
  <c r="D62" i="68"/>
  <c r="G60" i="68"/>
  <c r="G59" i="68"/>
  <c r="G58" i="68"/>
  <c r="E57" i="68"/>
  <c r="F57" i="68" s="1"/>
  <c r="D57" i="68"/>
  <c r="D56" i="68" s="1"/>
  <c r="G55" i="68"/>
  <c r="G54" i="68"/>
  <c r="G53" i="68"/>
  <c r="E52" i="68"/>
  <c r="F52" i="68" s="1"/>
  <c r="D52" i="68"/>
  <c r="D51" i="68" s="1"/>
  <c r="G50" i="68"/>
  <c r="G49" i="68"/>
  <c r="G48" i="68"/>
  <c r="E47" i="68"/>
  <c r="F47" i="68" s="1"/>
  <c r="D47" i="68"/>
  <c r="D46" i="68" s="1"/>
  <c r="G45" i="68"/>
  <c r="G44" i="68"/>
  <c r="G43" i="68"/>
  <c r="E42" i="68"/>
  <c r="F42" i="68" s="1"/>
  <c r="D42" i="68"/>
  <c r="D41" i="68" s="1"/>
  <c r="G40" i="68"/>
  <c r="G39" i="68"/>
  <c r="G38" i="68"/>
  <c r="E37" i="68"/>
  <c r="F37" i="68" s="1"/>
  <c r="D37" i="68"/>
  <c r="D36" i="68" s="1"/>
  <c r="G35" i="68"/>
  <c r="G34" i="68"/>
  <c r="G33" i="68"/>
  <c r="E32" i="68"/>
  <c r="F32" i="68" s="1"/>
  <c r="F31" i="68" s="1"/>
  <c r="D32" i="68"/>
  <c r="E30" i="68"/>
  <c r="F30" i="68" s="1"/>
  <c r="G30" i="68" s="1"/>
  <c r="J29" i="68"/>
  <c r="E29" i="68"/>
  <c r="F29" i="68" s="1"/>
  <c r="J28" i="68"/>
  <c r="E28" i="68"/>
  <c r="E23" i="68" s="1"/>
  <c r="F23" i="68" s="1"/>
  <c r="G23" i="68" s="1"/>
  <c r="D28" i="68"/>
  <c r="J27" i="68"/>
  <c r="G25" i="68"/>
  <c r="D24" i="68"/>
  <c r="F20" i="68"/>
  <c r="G20" i="68" s="1"/>
  <c r="E19" i="68"/>
  <c r="F19" i="68" s="1"/>
  <c r="D19" i="68"/>
  <c r="E18" i="68"/>
  <c r="F18" i="68" s="1"/>
  <c r="E17" i="68"/>
  <c r="F17" i="68" s="1"/>
  <c r="K16" i="68"/>
  <c r="G15" i="68"/>
  <c r="L45" i="67"/>
  <c r="L43" i="67"/>
  <c r="L42" i="67" s="1"/>
  <c r="M42" i="67"/>
  <c r="K42" i="67"/>
  <c r="J42" i="67"/>
  <c r="I42" i="67"/>
  <c r="H42" i="67"/>
  <c r="K40" i="67"/>
  <c r="L40" i="67" s="1"/>
  <c r="L10" i="67" s="1"/>
  <c r="J40" i="67"/>
  <c r="J10" i="67" s="1"/>
  <c r="L38" i="67"/>
  <c r="K38" i="67"/>
  <c r="J38" i="67"/>
  <c r="M37" i="67"/>
  <c r="I37" i="67"/>
  <c r="H37" i="67"/>
  <c r="L33" i="67"/>
  <c r="K33" i="67"/>
  <c r="J33" i="67"/>
  <c r="J32" i="67" s="1"/>
  <c r="M32" i="67"/>
  <c r="I32" i="67"/>
  <c r="H32" i="67"/>
  <c r="M27" i="67"/>
  <c r="L27" i="67"/>
  <c r="N27" i="67" s="1"/>
  <c r="K27" i="67"/>
  <c r="J27" i="67"/>
  <c r="I27" i="67"/>
  <c r="H27" i="67"/>
  <c r="M22" i="67"/>
  <c r="L22" i="67"/>
  <c r="K22" i="67"/>
  <c r="J22" i="67"/>
  <c r="I22" i="67"/>
  <c r="O22" i="67" s="1"/>
  <c r="H22" i="67"/>
  <c r="M17" i="67"/>
  <c r="L17" i="67"/>
  <c r="N17" i="67" s="1"/>
  <c r="K17" i="67"/>
  <c r="J17" i="67"/>
  <c r="I17" i="67"/>
  <c r="H17" i="67"/>
  <c r="M13" i="67"/>
  <c r="L13" i="67"/>
  <c r="K13" i="67"/>
  <c r="I13" i="67"/>
  <c r="O13" i="67" s="1"/>
  <c r="H13" i="67"/>
  <c r="M11" i="67"/>
  <c r="L11" i="67"/>
  <c r="K11" i="67"/>
  <c r="J11" i="67"/>
  <c r="I11" i="67"/>
  <c r="H11" i="67"/>
  <c r="M10" i="67"/>
  <c r="I10" i="67"/>
  <c r="H10" i="67"/>
  <c r="M9" i="67"/>
  <c r="L9" i="67"/>
  <c r="N9" i="67" s="1"/>
  <c r="K9" i="67"/>
  <c r="J9" i="67"/>
  <c r="I9" i="67"/>
  <c r="H9" i="67"/>
  <c r="M8" i="67"/>
  <c r="I8" i="67"/>
  <c r="H8" i="67"/>
  <c r="E56" i="68" l="1"/>
  <c r="F177" i="68"/>
  <c r="F176" i="68" s="1"/>
  <c r="E231" i="68"/>
  <c r="J183" i="68"/>
  <c r="E31" i="68"/>
  <c r="F137" i="68"/>
  <c r="F147" i="68"/>
  <c r="F157" i="68"/>
  <c r="F156" i="68" s="1"/>
  <c r="G192" i="68"/>
  <c r="E97" i="68"/>
  <c r="E96" i="68" s="1"/>
  <c r="E216" i="68"/>
  <c r="F216" i="68" s="1"/>
  <c r="G216" i="68" s="1"/>
  <c r="G234" i="68"/>
  <c r="E241" i="68"/>
  <c r="F191" i="68"/>
  <c r="P17" i="67"/>
  <c r="E152" i="68"/>
  <c r="E151" i="68" s="1"/>
  <c r="E161" i="68"/>
  <c r="E24" i="68"/>
  <c r="E27" i="68"/>
  <c r="E22" i="68" s="1"/>
  <c r="E12" i="68" s="1"/>
  <c r="F67" i="68"/>
  <c r="F66" i="68" s="1"/>
  <c r="D182" i="68"/>
  <c r="D181" i="68" s="1"/>
  <c r="F253" i="68"/>
  <c r="J26" i="68"/>
  <c r="J200" i="68"/>
  <c r="D254" i="68"/>
  <c r="G254" i="68" s="1"/>
  <c r="N11" i="67"/>
  <c r="F28" i="68"/>
  <c r="G28" i="68" s="1"/>
  <c r="E36" i="68"/>
  <c r="E94" i="68"/>
  <c r="F112" i="68"/>
  <c r="F111" i="68" s="1"/>
  <c r="G111" i="68" s="1"/>
  <c r="J221" i="68"/>
  <c r="J225" i="68" s="1"/>
  <c r="D256" i="68"/>
  <c r="J37" i="67"/>
  <c r="K10" i="67"/>
  <c r="I7" i="67"/>
  <c r="D61" i="68"/>
  <c r="F212" i="68"/>
  <c r="F211" i="68" s="1"/>
  <c r="G211" i="68" s="1"/>
  <c r="F72" i="68"/>
  <c r="F71" i="68" s="1"/>
  <c r="G257" i="68"/>
  <c r="K37" i="67"/>
  <c r="P37" i="67" s="1"/>
  <c r="L37" i="67"/>
  <c r="D252" i="68"/>
  <c r="D66" i="68"/>
  <c r="G66" i="68" s="1"/>
  <c r="D161" i="68"/>
  <c r="G178" i="68"/>
  <c r="G67" i="68"/>
  <c r="D77" i="68"/>
  <c r="D76" i="68" s="1"/>
  <c r="G227" i="68"/>
  <c r="F161" i="68"/>
  <c r="G162" i="68"/>
  <c r="D286" i="68"/>
  <c r="D282" i="68"/>
  <c r="D281" i="68" s="1"/>
  <c r="E282" i="68"/>
  <c r="E281" i="68" s="1"/>
  <c r="E286" i="68"/>
  <c r="P13" i="67"/>
  <c r="H7" i="67"/>
  <c r="N10" i="67"/>
  <c r="F27" i="68"/>
  <c r="J166" i="68"/>
  <c r="D267" i="68"/>
  <c r="D266" i="68" s="1"/>
  <c r="N13" i="67"/>
  <c r="F152" i="68"/>
  <c r="F151" i="68" s="1"/>
  <c r="E226" i="68"/>
  <c r="F226" i="68" s="1"/>
  <c r="J182" i="68"/>
  <c r="F256" i="68"/>
  <c r="M7" i="67"/>
  <c r="K8" i="67"/>
  <c r="G19" i="68"/>
  <c r="F62" i="68"/>
  <c r="F102" i="68"/>
  <c r="G102" i="68" s="1"/>
  <c r="G169" i="68"/>
  <c r="G190" i="68"/>
  <c r="G259" i="68"/>
  <c r="D291" i="68"/>
  <c r="J8" i="67"/>
  <c r="J7" i="67" s="1"/>
  <c r="N22" i="67"/>
  <c r="G233" i="68"/>
  <c r="D236" i="68"/>
  <c r="G236" i="68" s="1"/>
  <c r="G268" i="68"/>
  <c r="E291" i="68"/>
  <c r="O17" i="67"/>
  <c r="J22" i="68"/>
  <c r="D176" i="68"/>
  <c r="G176" i="68" s="1"/>
  <c r="D276" i="68"/>
  <c r="G276" i="68" s="1"/>
  <c r="L8" i="67"/>
  <c r="L7" i="67" s="1"/>
  <c r="J23" i="68"/>
  <c r="J93" i="68"/>
  <c r="D171" i="68"/>
  <c r="N42" i="67"/>
  <c r="E106" i="68"/>
  <c r="G137" i="68"/>
  <c r="F187" i="68"/>
  <c r="G253" i="68"/>
  <c r="G269" i="68"/>
  <c r="F292" i="68"/>
  <c r="G292" i="68" s="1"/>
  <c r="J24" i="68"/>
  <c r="E92" i="68"/>
  <c r="E91" i="68" s="1"/>
  <c r="D168" i="68"/>
  <c r="D93" i="68" s="1"/>
  <c r="E256" i="68"/>
  <c r="G157" i="68"/>
  <c r="E222" i="68"/>
  <c r="J184" i="68"/>
  <c r="J251" i="68"/>
  <c r="J255" i="68" s="1"/>
  <c r="P22" i="67"/>
  <c r="D101" i="68"/>
  <c r="E181" i="68"/>
  <c r="G191" i="68"/>
  <c r="O27" i="67"/>
  <c r="E16" i="68"/>
  <c r="D27" i="68"/>
  <c r="G241" i="56"/>
  <c r="D126" i="68"/>
  <c r="G126" i="68" s="1"/>
  <c r="D152" i="68"/>
  <c r="G32" i="68"/>
  <c r="G72" i="68"/>
  <c r="G164" i="68"/>
  <c r="G173" i="68"/>
  <c r="D29" i="68"/>
  <c r="G29" i="68" s="1"/>
  <c r="D156" i="68"/>
  <c r="G156" i="68" s="1"/>
  <c r="G147" i="68"/>
  <c r="D197" i="68"/>
  <c r="D196" i="68" s="1"/>
  <c r="D232" i="68"/>
  <c r="G232" i="68" s="1"/>
  <c r="D97" i="68"/>
  <c r="D96" i="68" s="1"/>
  <c r="D154" i="68"/>
  <c r="D94" i="68" s="1"/>
  <c r="D9" i="68" s="1"/>
  <c r="G241" i="68"/>
  <c r="G57" i="68"/>
  <c r="D17" i="68"/>
  <c r="G17" i="68" s="1"/>
  <c r="D31" i="68"/>
  <c r="G31" i="68" s="1"/>
  <c r="D18" i="68"/>
  <c r="G18" i="68" s="1"/>
  <c r="G71" i="68"/>
  <c r="D226" i="68"/>
  <c r="G107" i="68"/>
  <c r="F106" i="68"/>
  <c r="G106" i="68" s="1"/>
  <c r="G47" i="68"/>
  <c r="F46" i="68"/>
  <c r="G46" i="68" s="1"/>
  <c r="F252" i="68"/>
  <c r="D10" i="68"/>
  <c r="G10" i="68" s="1"/>
  <c r="G185" i="68"/>
  <c r="F36" i="68"/>
  <c r="G36" i="68" s="1"/>
  <c r="G37" i="68"/>
  <c r="F94" i="68"/>
  <c r="E251" i="68"/>
  <c r="F181" i="68"/>
  <c r="G153" i="68"/>
  <c r="G184" i="68"/>
  <c r="F16" i="68"/>
  <c r="F131" i="68"/>
  <c r="G131" i="68" s="1"/>
  <c r="G132" i="68"/>
  <c r="F141" i="68"/>
  <c r="G141" i="68" s="1"/>
  <c r="G142" i="68"/>
  <c r="D183" i="68"/>
  <c r="G183" i="68" s="1"/>
  <c r="F51" i="68"/>
  <c r="G51" i="68" s="1"/>
  <c r="G52" i="68"/>
  <c r="F171" i="68"/>
  <c r="G172" i="68"/>
  <c r="F41" i="68"/>
  <c r="G41" i="68" s="1"/>
  <c r="G42" i="68"/>
  <c r="G223" i="68"/>
  <c r="E93" i="68"/>
  <c r="E8" i="68" s="1"/>
  <c r="F8" i="68" s="1"/>
  <c r="F168" i="68"/>
  <c r="F261" i="68"/>
  <c r="G262" i="68"/>
  <c r="D81" i="68"/>
  <c r="D167" i="68"/>
  <c r="J231" i="68"/>
  <c r="J235" i="68" s="1"/>
  <c r="F255" i="68"/>
  <c r="G255" i="68" s="1"/>
  <c r="J266" i="68"/>
  <c r="J270" i="68" s="1"/>
  <c r="J96" i="68"/>
  <c r="J91" i="68" s="1"/>
  <c r="E167" i="68"/>
  <c r="D206" i="68"/>
  <c r="G206" i="68" s="1"/>
  <c r="J286" i="68"/>
  <c r="J281" i="68" s="1"/>
  <c r="J285" i="68" s="1"/>
  <c r="G177" i="68"/>
  <c r="D222" i="68"/>
  <c r="D221" i="68" s="1"/>
  <c r="G237" i="68"/>
  <c r="G242" i="68"/>
  <c r="G263" i="68"/>
  <c r="E267" i="68"/>
  <c r="E266" i="68" s="1"/>
  <c r="F272" i="68"/>
  <c r="F122" i="68"/>
  <c r="G279" i="68"/>
  <c r="F291" i="68"/>
  <c r="E51" i="68"/>
  <c r="F56" i="68"/>
  <c r="G56" i="68" s="1"/>
  <c r="J76" i="68"/>
  <c r="J80" i="68" s="1"/>
  <c r="F87" i="68"/>
  <c r="F117" i="68"/>
  <c r="E141" i="68"/>
  <c r="F146" i="68"/>
  <c r="G146" i="68" s="1"/>
  <c r="J170" i="68"/>
  <c r="G207" i="68"/>
  <c r="F228" i="68"/>
  <c r="G228" i="68" s="1"/>
  <c r="G238" i="68"/>
  <c r="F287" i="68"/>
  <c r="G24" i="68"/>
  <c r="E46" i="68"/>
  <c r="F82" i="68"/>
  <c r="D261" i="68"/>
  <c r="J30" i="68"/>
  <c r="E41" i="68"/>
  <c r="E77" i="68"/>
  <c r="J92" i="68"/>
  <c r="E131" i="68"/>
  <c r="F136" i="68"/>
  <c r="G136" i="68" s="1"/>
  <c r="E171" i="68"/>
  <c r="D201" i="68"/>
  <c r="G201" i="68" s="1"/>
  <c r="D246" i="68"/>
  <c r="G246" i="68" s="1"/>
  <c r="E261" i="68"/>
  <c r="E197" i="68"/>
  <c r="O37" i="67"/>
  <c r="K32" i="67"/>
  <c r="P32" i="67" s="1"/>
  <c r="L32" i="67"/>
  <c r="N32" i="67" s="1"/>
  <c r="E178" i="56"/>
  <c r="E177" i="56"/>
  <c r="E173" i="56"/>
  <c r="E172" i="56"/>
  <c r="E21" i="68" l="1"/>
  <c r="F22" i="68"/>
  <c r="G256" i="68"/>
  <c r="E7" i="68"/>
  <c r="E26" i="68"/>
  <c r="F26" i="68" s="1"/>
  <c r="G182" i="68"/>
  <c r="D251" i="68"/>
  <c r="G181" i="68"/>
  <c r="G226" i="68"/>
  <c r="G212" i="68"/>
  <c r="G112" i="68"/>
  <c r="G161" i="68"/>
  <c r="G291" i="68"/>
  <c r="E14" i="68"/>
  <c r="F14" i="68" s="1"/>
  <c r="E9" i="68"/>
  <c r="F9" i="68" s="1"/>
  <c r="G9" i="68" s="1"/>
  <c r="K7" i="67"/>
  <c r="N37" i="67"/>
  <c r="N7" i="67"/>
  <c r="N8" i="67"/>
  <c r="G168" i="68"/>
  <c r="D26" i="68"/>
  <c r="G26" i="68" s="1"/>
  <c r="D8" i="68"/>
  <c r="G8" i="68" s="1"/>
  <c r="D22" i="68"/>
  <c r="G22" i="68" s="1"/>
  <c r="F222" i="68"/>
  <c r="F221" i="68" s="1"/>
  <c r="E221" i="68"/>
  <c r="J100" i="68"/>
  <c r="E13" i="68"/>
  <c r="F13" i="68" s="1"/>
  <c r="G27" i="68"/>
  <c r="G171" i="68"/>
  <c r="G187" i="68"/>
  <c r="F186" i="68"/>
  <c r="G186" i="68" s="1"/>
  <c r="F97" i="68"/>
  <c r="G97" i="68" s="1"/>
  <c r="F101" i="68"/>
  <c r="G101" i="68" s="1"/>
  <c r="J95" i="68"/>
  <c r="G62" i="68"/>
  <c r="F61" i="68"/>
  <c r="G61" i="68" s="1"/>
  <c r="D231" i="68"/>
  <c r="G231" i="68" s="1"/>
  <c r="D16" i="68"/>
  <c r="G16" i="68" s="1"/>
  <c r="D151" i="68"/>
  <c r="G151" i="68" s="1"/>
  <c r="G152" i="68"/>
  <c r="D14" i="68"/>
  <c r="G14" i="68" s="1"/>
  <c r="G222" i="68"/>
  <c r="G94" i="68"/>
  <c r="D13" i="68"/>
  <c r="G154" i="68"/>
  <c r="F21" i="68"/>
  <c r="F93" i="68"/>
  <c r="G93" i="68" s="1"/>
  <c r="F271" i="68"/>
  <c r="G271" i="68" s="1"/>
  <c r="G272" i="68"/>
  <c r="F267" i="68"/>
  <c r="D166" i="68"/>
  <c r="D92" i="68"/>
  <c r="E166" i="68"/>
  <c r="F167" i="68"/>
  <c r="F77" i="68"/>
  <c r="E76" i="68"/>
  <c r="F121" i="68"/>
  <c r="G121" i="68" s="1"/>
  <c r="G122" i="68"/>
  <c r="J17" i="68"/>
  <c r="J19" i="68"/>
  <c r="J18" i="68"/>
  <c r="J181" i="68"/>
  <c r="J185" i="68" s="1"/>
  <c r="J21" i="68"/>
  <c r="F197" i="68"/>
  <c r="E196" i="68"/>
  <c r="F12" i="68"/>
  <c r="E11" i="68"/>
  <c r="B1" i="68" s="1"/>
  <c r="G117" i="68"/>
  <c r="F116" i="68"/>
  <c r="G116" i="68" s="1"/>
  <c r="F7" i="68"/>
  <c r="E6" i="68"/>
  <c r="G82" i="68"/>
  <c r="F81" i="68"/>
  <c r="G81" i="68" s="1"/>
  <c r="G87" i="68"/>
  <c r="F86" i="68"/>
  <c r="G86" i="68" s="1"/>
  <c r="J290" i="68"/>
  <c r="F286" i="68"/>
  <c r="G286" i="68" s="1"/>
  <c r="G287" i="68"/>
  <c r="F282" i="68"/>
  <c r="G261" i="68"/>
  <c r="G221" i="68"/>
  <c r="F251" i="68"/>
  <c r="G251" i="68" s="1"/>
  <c r="G252" i="68"/>
  <c r="H54" i="62"/>
  <c r="E102" i="56" s="1"/>
  <c r="D12" i="68" l="1"/>
  <c r="G12" i="68" s="1"/>
  <c r="D21" i="68"/>
  <c r="G21" i="68" s="1"/>
  <c r="F96" i="68"/>
  <c r="G96" i="68" s="1"/>
  <c r="F92" i="68"/>
  <c r="F91" i="68" s="1"/>
  <c r="G13" i="68"/>
  <c r="D7" i="68"/>
  <c r="D6" i="68" s="1"/>
  <c r="F76" i="68"/>
  <c r="G76" i="68" s="1"/>
  <c r="G77" i="68"/>
  <c r="J16" i="68"/>
  <c r="J7" i="68"/>
  <c r="J20" i="68"/>
  <c r="F281" i="68"/>
  <c r="G281" i="68" s="1"/>
  <c r="G282" i="68"/>
  <c r="F11" i="68"/>
  <c r="G197" i="68"/>
  <c r="F196" i="68"/>
  <c r="G196" i="68" s="1"/>
  <c r="D91" i="68"/>
  <c r="J14" i="68"/>
  <c r="J9" i="68" s="1"/>
  <c r="J13" i="68"/>
  <c r="J25" i="68"/>
  <c r="F266" i="68"/>
  <c r="G266" i="68" s="1"/>
  <c r="G267" i="68"/>
  <c r="F6" i="68"/>
  <c r="F166" i="68"/>
  <c r="G166" i="68" s="1"/>
  <c r="G167" i="68"/>
  <c r="E287" i="56"/>
  <c r="E267" i="56"/>
  <c r="E207" i="56"/>
  <c r="E206" i="56" s="1"/>
  <c r="E202" i="56"/>
  <c r="E201" i="56" s="1"/>
  <c r="E157" i="56"/>
  <c r="E162" i="56"/>
  <c r="E127" i="56"/>
  <c r="E126" i="56" s="1"/>
  <c r="E132" i="56"/>
  <c r="E142" i="56"/>
  <c r="E147" i="56"/>
  <c r="E137" i="56"/>
  <c r="E112" i="56"/>
  <c r="E107" i="56"/>
  <c r="E87" i="56"/>
  <c r="E82" i="56"/>
  <c r="F69" i="56"/>
  <c r="G92" i="68" l="1"/>
  <c r="G91" i="68"/>
  <c r="E97" i="56"/>
  <c r="D11" i="68"/>
  <c r="G11" i="68" s="1"/>
  <c r="G7" i="68"/>
  <c r="G6" i="68"/>
  <c r="F127" i="56"/>
  <c r="F126" i="56" s="1"/>
  <c r="F207" i="56"/>
  <c r="F206" i="56" s="1"/>
  <c r="F202" i="56"/>
  <c r="F201" i="56" s="1"/>
  <c r="J11" i="68"/>
  <c r="J6" i="68" s="1"/>
  <c r="J8" i="68"/>
  <c r="J10" i="68" s="1"/>
  <c r="E67" i="56"/>
  <c r="E64" i="56"/>
  <c r="F64" i="56" s="1"/>
  <c r="E62" i="56"/>
  <c r="J15" i="68" l="1"/>
  <c r="E47" i="56"/>
  <c r="Q271" i="66"/>
  <c r="P271" i="66"/>
  <c r="O271" i="66"/>
  <c r="N271" i="66"/>
  <c r="M271" i="66"/>
  <c r="L271" i="66"/>
  <c r="K271" i="66"/>
  <c r="Q270" i="66"/>
  <c r="P270" i="66"/>
  <c r="O270" i="66"/>
  <c r="N270" i="66"/>
  <c r="M270" i="66"/>
  <c r="L270" i="66"/>
  <c r="K270" i="66"/>
  <c r="Q268" i="66"/>
  <c r="Q269" i="66" s="1"/>
  <c r="P268" i="66"/>
  <c r="P269" i="66" s="1"/>
  <c r="O268" i="66"/>
  <c r="O269" i="66" s="1"/>
  <c r="N268" i="66"/>
  <c r="N269" i="66" s="1"/>
  <c r="M268" i="66"/>
  <c r="M269" i="66" s="1"/>
  <c r="L268" i="66"/>
  <c r="L269" i="66" s="1"/>
  <c r="K268" i="66"/>
  <c r="K269" i="66" s="1"/>
  <c r="R6" i="66"/>
  <c r="H25" i="62"/>
  <c r="E52" i="56" l="1"/>
  <c r="E37" i="56"/>
  <c r="E32" i="56"/>
  <c r="I26" i="63" l="1"/>
  <c r="H26" i="63"/>
  <c r="I25" i="63"/>
  <c r="H25" i="63"/>
  <c r="I24" i="63"/>
  <c r="N24" i="63" s="1"/>
  <c r="H24" i="63"/>
  <c r="I23" i="63"/>
  <c r="N23" i="63" s="1"/>
  <c r="N22" i="63" s="1"/>
  <c r="H23" i="63"/>
  <c r="O22" i="63"/>
  <c r="D9" i="65"/>
  <c r="I21" i="63"/>
  <c r="H21" i="63"/>
  <c r="I20" i="63"/>
  <c r="N20" i="63" s="1"/>
  <c r="H20" i="63"/>
  <c r="I19" i="63"/>
  <c r="H19" i="63"/>
  <c r="I18" i="63"/>
  <c r="N18" i="63" s="1"/>
  <c r="N17" i="63" s="1"/>
  <c r="H18" i="63"/>
  <c r="D8" i="65"/>
  <c r="H16" i="63"/>
  <c r="N15" i="63"/>
  <c r="H15" i="63"/>
  <c r="I14" i="63"/>
  <c r="N14" i="63" s="1"/>
  <c r="H14" i="63"/>
  <c r="I13" i="63"/>
  <c r="N13" i="63" s="1"/>
  <c r="H13" i="63"/>
  <c r="I12" i="63"/>
  <c r="N12" i="63" s="1"/>
  <c r="H12" i="63"/>
  <c r="I11" i="63"/>
  <c r="N11" i="63" s="1"/>
  <c r="H11" i="63"/>
  <c r="I9" i="63"/>
  <c r="N9" i="63" s="1"/>
  <c r="H9" i="63"/>
  <c r="I8" i="63"/>
  <c r="N8" i="63" s="1"/>
  <c r="H8" i="63"/>
  <c r="D6" i="65"/>
  <c r="N7" i="63" l="1"/>
  <c r="N10" i="63"/>
  <c r="E7" i="65" s="1"/>
  <c r="E6" i="65"/>
  <c r="P22" i="63"/>
  <c r="E9" i="65"/>
  <c r="E8" i="65"/>
  <c r="P17" i="63"/>
  <c r="G122" i="62" l="1"/>
  <c r="F122" i="62"/>
  <c r="G121" i="62"/>
  <c r="F121" i="62"/>
  <c r="G120" i="62"/>
  <c r="F120" i="62"/>
  <c r="G119" i="62"/>
  <c r="F119" i="62"/>
  <c r="E118" i="62"/>
  <c r="D118" i="62"/>
  <c r="G118" i="62" s="1"/>
  <c r="G117" i="62"/>
  <c r="F117" i="62"/>
  <c r="G116" i="62"/>
  <c r="F116" i="62"/>
  <c r="E115" i="62"/>
  <c r="D115" i="62"/>
  <c r="G114" i="62"/>
  <c r="F114" i="62"/>
  <c r="E113" i="62"/>
  <c r="D113" i="62"/>
  <c r="D109" i="62" s="1"/>
  <c r="G112" i="62"/>
  <c r="F112" i="62"/>
  <c r="G111" i="62"/>
  <c r="F111" i="62"/>
  <c r="G110" i="62"/>
  <c r="F110" i="62"/>
  <c r="G108" i="62"/>
  <c r="F108" i="62"/>
  <c r="G107" i="62"/>
  <c r="F107" i="62"/>
  <c r="E106" i="62"/>
  <c r="D106" i="62"/>
  <c r="G105" i="62"/>
  <c r="F105" i="62"/>
  <c r="G104" i="62"/>
  <c r="F104" i="62"/>
  <c r="E103" i="62"/>
  <c r="D103" i="62"/>
  <c r="D102" i="62"/>
  <c r="G100" i="62"/>
  <c r="F100" i="62"/>
  <c r="G99" i="62"/>
  <c r="F99" i="62"/>
  <c r="G98" i="62"/>
  <c r="F98" i="62"/>
  <c r="G97" i="62"/>
  <c r="F97" i="62"/>
  <c r="G96" i="62"/>
  <c r="F96" i="62"/>
  <c r="E95" i="62"/>
  <c r="D95" i="62"/>
  <c r="G95" i="62" s="1"/>
  <c r="E94" i="62"/>
  <c r="G94" i="62" s="1"/>
  <c r="E93" i="62"/>
  <c r="G93" i="62" s="1"/>
  <c r="E92" i="62"/>
  <c r="G92" i="62" s="1"/>
  <c r="E91" i="62"/>
  <c r="G91" i="62" s="1"/>
  <c r="E90" i="62"/>
  <c r="G90" i="62" s="1"/>
  <c r="E89" i="62"/>
  <c r="G89" i="62" s="1"/>
  <c r="E88" i="62"/>
  <c r="G88" i="62" s="1"/>
  <c r="D87" i="62"/>
  <c r="E87" i="62" s="1"/>
  <c r="G85" i="62"/>
  <c r="F85" i="62"/>
  <c r="E84" i="62"/>
  <c r="G84" i="62" s="1"/>
  <c r="E83" i="62"/>
  <c r="G83" i="62" s="1"/>
  <c r="E82" i="62"/>
  <c r="G82" i="62" s="1"/>
  <c r="D81" i="62"/>
  <c r="E80" i="62"/>
  <c r="G79" i="62"/>
  <c r="F79" i="62"/>
  <c r="G78" i="62"/>
  <c r="F78" i="62"/>
  <c r="G77" i="62"/>
  <c r="F77" i="62"/>
  <c r="E76" i="62"/>
  <c r="G76" i="62" s="1"/>
  <c r="E75" i="62"/>
  <c r="F75" i="62" s="1"/>
  <c r="E74" i="62"/>
  <c r="G74" i="62" s="1"/>
  <c r="G73" i="62"/>
  <c r="F73" i="62"/>
  <c r="G71" i="62"/>
  <c r="F71" i="62"/>
  <c r="E70" i="62"/>
  <c r="G70" i="62" s="1"/>
  <c r="E69" i="62"/>
  <c r="G69" i="62" s="1"/>
  <c r="E68" i="62"/>
  <c r="G68" i="62" s="1"/>
  <c r="E67" i="62"/>
  <c r="E66" i="62"/>
  <c r="G66" i="62" s="1"/>
  <c r="E65" i="62"/>
  <c r="G65" i="62" s="1"/>
  <c r="E64" i="62"/>
  <c r="G64" i="62" s="1"/>
  <c r="E63" i="62"/>
  <c r="D62" i="62"/>
  <c r="G61" i="62"/>
  <c r="F61" i="62"/>
  <c r="G60" i="62"/>
  <c r="F60" i="62"/>
  <c r="G59" i="62"/>
  <c r="F59" i="62"/>
  <c r="G58" i="62"/>
  <c r="F58" i="62"/>
  <c r="E57" i="62"/>
  <c r="D57" i="62"/>
  <c r="F56" i="62"/>
  <c r="G55" i="62"/>
  <c r="F55" i="62"/>
  <c r="G54" i="62"/>
  <c r="F54" i="62"/>
  <c r="E53" i="62"/>
  <c r="D53" i="62"/>
  <c r="E51" i="62"/>
  <c r="G51" i="62" s="1"/>
  <c r="E50" i="62"/>
  <c r="D49" i="62"/>
  <c r="G48" i="62"/>
  <c r="F48" i="62"/>
  <c r="G47" i="62"/>
  <c r="F47" i="62"/>
  <c r="G46" i="62"/>
  <c r="F46" i="62"/>
  <c r="G45" i="62"/>
  <c r="F45" i="62"/>
  <c r="G44" i="62"/>
  <c r="F44" i="62"/>
  <c r="G43" i="62"/>
  <c r="F43" i="62"/>
  <c r="G42" i="62"/>
  <c r="F42" i="62"/>
  <c r="G41" i="62"/>
  <c r="F41" i="62"/>
  <c r="G40" i="62"/>
  <c r="F40" i="62"/>
  <c r="G39" i="62"/>
  <c r="F39" i="62"/>
  <c r="G38" i="62"/>
  <c r="F38" i="62"/>
  <c r="G37" i="62"/>
  <c r="F37" i="62"/>
  <c r="G36" i="62"/>
  <c r="F36" i="62"/>
  <c r="E35" i="62"/>
  <c r="D35" i="62"/>
  <c r="G35" i="62" s="1"/>
  <c r="G34" i="62"/>
  <c r="F34" i="62"/>
  <c r="G33" i="62"/>
  <c r="F33" i="62"/>
  <c r="G32" i="62"/>
  <c r="F32" i="62"/>
  <c r="G31" i="62"/>
  <c r="F31" i="62"/>
  <c r="G30" i="62"/>
  <c r="F30" i="62"/>
  <c r="E29" i="62"/>
  <c r="D29" i="62"/>
  <c r="D21" i="62" s="1"/>
  <c r="G28" i="62"/>
  <c r="F28" i="62"/>
  <c r="G27" i="62"/>
  <c r="F27" i="62"/>
  <c r="G26" i="62"/>
  <c r="F26" i="62"/>
  <c r="G25" i="62"/>
  <c r="F25" i="62"/>
  <c r="G24" i="62"/>
  <c r="F24" i="62"/>
  <c r="G23" i="62"/>
  <c r="F23" i="62"/>
  <c r="G22" i="62"/>
  <c r="F22" i="62"/>
  <c r="E19" i="62"/>
  <c r="D19" i="62"/>
  <c r="F19" i="62" s="1"/>
  <c r="E16" i="62"/>
  <c r="D16" i="62"/>
  <c r="F16" i="62" s="1"/>
  <c r="G14" i="62"/>
  <c r="F14" i="62"/>
  <c r="G13" i="62"/>
  <c r="F13" i="62"/>
  <c r="E12" i="62"/>
  <c r="F12" i="62" s="1"/>
  <c r="G11" i="62"/>
  <c r="F11" i="62"/>
  <c r="D10" i="62"/>
  <c r="D8" i="62" s="1"/>
  <c r="E9" i="62"/>
  <c r="G9" i="62" s="1"/>
  <c r="F57" i="62" l="1"/>
  <c r="E81" i="62"/>
  <c r="F81" i="62" s="1"/>
  <c r="F103" i="62"/>
  <c r="E21" i="62"/>
  <c r="F21" i="62" s="1"/>
  <c r="E49" i="62"/>
  <c r="G106" i="62"/>
  <c r="G115" i="62"/>
  <c r="H63" i="62"/>
  <c r="G67" i="62"/>
  <c r="G57" i="62"/>
  <c r="F92" i="62"/>
  <c r="F113" i="62"/>
  <c r="F66" i="62"/>
  <c r="G75" i="62"/>
  <c r="F83" i="62"/>
  <c r="F53" i="62"/>
  <c r="F95" i="62"/>
  <c r="F76" i="62"/>
  <c r="F82" i="62"/>
  <c r="F88" i="62"/>
  <c r="F35" i="62"/>
  <c r="F70" i="62"/>
  <c r="F94" i="62"/>
  <c r="G12" i="62"/>
  <c r="E62" i="62"/>
  <c r="G62" i="62" s="1"/>
  <c r="H70" i="62"/>
  <c r="F90" i="62"/>
  <c r="F106" i="62"/>
  <c r="F84" i="62"/>
  <c r="D101" i="62"/>
  <c r="D18" i="62" s="1"/>
  <c r="D20" i="62" s="1"/>
  <c r="D52" i="62"/>
  <c r="D15" i="62" s="1"/>
  <c r="D7" i="62" s="1"/>
  <c r="F91" i="62"/>
  <c r="G113" i="62"/>
  <c r="F115" i="62"/>
  <c r="E10" i="62"/>
  <c r="G10" i="62" s="1"/>
  <c r="E72" i="62"/>
  <c r="G72" i="62" s="1"/>
  <c r="E102" i="62"/>
  <c r="F102" i="62" s="1"/>
  <c r="G81" i="62"/>
  <c r="G103" i="62"/>
  <c r="G21" i="62"/>
  <c r="G49" i="62"/>
  <c r="F49" i="62"/>
  <c r="F87" i="62"/>
  <c r="E86" i="62"/>
  <c r="G87" i="62"/>
  <c r="F80" i="62"/>
  <c r="E109" i="62"/>
  <c r="F109" i="62" s="1"/>
  <c r="G80" i="62"/>
  <c r="F118" i="62"/>
  <c r="G16" i="62"/>
  <c r="G19" i="62"/>
  <c r="F50" i="62"/>
  <c r="G53" i="62"/>
  <c r="F63" i="62"/>
  <c r="F67" i="62"/>
  <c r="G63" i="62"/>
  <c r="F29" i="62"/>
  <c r="G29" i="62"/>
  <c r="G50" i="62"/>
  <c r="F9" i="62"/>
  <c r="F89" i="62"/>
  <c r="F93" i="62"/>
  <c r="F51" i="62"/>
  <c r="F64" i="62"/>
  <c r="F68" i="62"/>
  <c r="F65" i="62"/>
  <c r="F69" i="62"/>
  <c r="F74" i="62"/>
  <c r="F72" i="62" l="1"/>
  <c r="F62" i="62"/>
  <c r="E101" i="62"/>
  <c r="F101" i="62" s="1"/>
  <c r="G102" i="62"/>
  <c r="G101" i="62" s="1"/>
  <c r="E8" i="62"/>
  <c r="G8" i="62" s="1"/>
  <c r="F10" i="62"/>
  <c r="E18" i="62"/>
  <c r="F8" i="62"/>
  <c r="G109" i="62"/>
  <c r="G86" i="62"/>
  <c r="F86" i="62"/>
  <c r="D17" i="62"/>
  <c r="E52" i="62" l="1"/>
  <c r="F18" i="62"/>
  <c r="E20" i="62"/>
  <c r="G18" i="62"/>
  <c r="F52" i="62" l="1"/>
  <c r="E15" i="62"/>
  <c r="G52" i="62"/>
  <c r="F20" i="62"/>
  <c r="G20" i="62"/>
  <c r="E17" i="62" l="1"/>
  <c r="E7" i="62"/>
  <c r="F15" i="62"/>
  <c r="G15" i="62"/>
  <c r="I7" i="62" l="1"/>
  <c r="F7" i="62"/>
  <c r="G7" i="62"/>
  <c r="F17" i="62"/>
  <c r="G17" i="62"/>
  <c r="D237" i="56"/>
  <c r="D233" i="56"/>
  <c r="D18" i="56" s="1"/>
  <c r="D178" i="56"/>
  <c r="D177" i="56"/>
  <c r="D173" i="56"/>
  <c r="D164" i="56"/>
  <c r="E164" i="56" s="1"/>
  <c r="F164" i="56" s="1"/>
  <c r="D162" i="56"/>
  <c r="D159" i="56"/>
  <c r="E159" i="56" s="1"/>
  <c r="F159" i="56" s="1"/>
  <c r="D157" i="56"/>
  <c r="D147" i="56"/>
  <c r="D137" i="56"/>
  <c r="D127" i="56"/>
  <c r="D112" i="56"/>
  <c r="D102" i="56"/>
  <c r="D87" i="56"/>
  <c r="D69" i="56"/>
  <c r="D67" i="56"/>
  <c r="D64" i="56"/>
  <c r="D62" i="56"/>
  <c r="D52" i="56"/>
  <c r="D126" i="56" l="1"/>
  <c r="G126" i="56" s="1"/>
  <c r="G127" i="56"/>
  <c r="G128" i="56"/>
  <c r="G129" i="56"/>
  <c r="G130" i="56"/>
  <c r="E960" i="61"/>
  <c r="E959" i="61"/>
  <c r="E958" i="61"/>
  <c r="F957" i="61"/>
  <c r="F950" i="61" s="1"/>
  <c r="E956" i="61"/>
  <c r="E955" i="61"/>
  <c r="I954" i="61"/>
  <c r="H954" i="61"/>
  <c r="G954" i="61"/>
  <c r="I953" i="61"/>
  <c r="I946" i="61" s="1"/>
  <c r="H953" i="61"/>
  <c r="H946" i="61" s="1"/>
  <c r="G953" i="61"/>
  <c r="G946" i="61" s="1"/>
  <c r="F953" i="61"/>
  <c r="F946" i="61" s="1"/>
  <c r="I952" i="61"/>
  <c r="I945" i="61" s="1"/>
  <c r="H952" i="61"/>
  <c r="H945" i="61" s="1"/>
  <c r="G952" i="61"/>
  <c r="G945" i="61" s="1"/>
  <c r="F952" i="61"/>
  <c r="F945" i="61" s="1"/>
  <c r="I951" i="61"/>
  <c r="I944" i="61" s="1"/>
  <c r="H951" i="61"/>
  <c r="E951" i="61" s="1"/>
  <c r="G951" i="61"/>
  <c r="G944" i="61" s="1"/>
  <c r="F951" i="61"/>
  <c r="F944" i="61" s="1"/>
  <c r="I950" i="61"/>
  <c r="I943" i="61" s="1"/>
  <c r="H950" i="61"/>
  <c r="H943" i="61" s="1"/>
  <c r="G950" i="61"/>
  <c r="G943" i="61" s="1"/>
  <c r="I949" i="61"/>
  <c r="I942" i="61" s="1"/>
  <c r="H949" i="61"/>
  <c r="G949" i="61"/>
  <c r="F949" i="61"/>
  <c r="I948" i="61"/>
  <c r="H948" i="61"/>
  <c r="H941" i="61" s="1"/>
  <c r="G948" i="61"/>
  <c r="G941" i="61" s="1"/>
  <c r="F948" i="61"/>
  <c r="F941" i="61" s="1"/>
  <c r="H942" i="61"/>
  <c r="G942" i="61"/>
  <c r="F942" i="61"/>
  <c r="I941" i="61"/>
  <c r="E938" i="61"/>
  <c r="E937" i="61"/>
  <c r="F936" i="61"/>
  <c r="H936" i="61" s="1"/>
  <c r="E935" i="61"/>
  <c r="E934" i="61"/>
  <c r="I933" i="61"/>
  <c r="G933" i="61"/>
  <c r="F933" i="61"/>
  <c r="E931" i="61"/>
  <c r="E930" i="61"/>
  <c r="E929" i="61"/>
  <c r="E928" i="61"/>
  <c r="E927" i="61"/>
  <c r="I926" i="61"/>
  <c r="E926" i="61"/>
  <c r="E924" i="61"/>
  <c r="E923" i="61"/>
  <c r="E922" i="61"/>
  <c r="E921" i="61"/>
  <c r="E920" i="61"/>
  <c r="I919" i="61"/>
  <c r="H919" i="61"/>
  <c r="G919" i="61"/>
  <c r="F919" i="61"/>
  <c r="E918" i="61"/>
  <c r="E917" i="61"/>
  <c r="F916" i="61"/>
  <c r="E916" i="61" s="1"/>
  <c r="F915" i="61"/>
  <c r="E915" i="61" s="1"/>
  <c r="E914" i="61"/>
  <c r="E913" i="61"/>
  <c r="I912" i="61"/>
  <c r="H912" i="61"/>
  <c r="G912" i="61"/>
  <c r="I911" i="61"/>
  <c r="H911" i="61"/>
  <c r="G911" i="61"/>
  <c r="F911" i="61"/>
  <c r="I910" i="61"/>
  <c r="H910" i="61"/>
  <c r="G910" i="61"/>
  <c r="F910" i="61"/>
  <c r="I909" i="61"/>
  <c r="H909" i="61"/>
  <c r="G909" i="61"/>
  <c r="F909" i="61"/>
  <c r="I908" i="61"/>
  <c r="G908" i="61"/>
  <c r="I907" i="61"/>
  <c r="H907" i="61"/>
  <c r="G907" i="61"/>
  <c r="F907" i="61"/>
  <c r="I906" i="61"/>
  <c r="H906" i="61"/>
  <c r="G906" i="61"/>
  <c r="F906" i="61"/>
  <c r="E903" i="61"/>
  <c r="E902" i="61"/>
  <c r="E901" i="61"/>
  <c r="E900" i="61"/>
  <c r="E899" i="61"/>
  <c r="I898" i="61"/>
  <c r="H898" i="61"/>
  <c r="G898" i="61"/>
  <c r="F898" i="61"/>
  <c r="I896" i="61"/>
  <c r="I889" i="61" s="1"/>
  <c r="H896" i="61"/>
  <c r="H24" i="61" s="1"/>
  <c r="G896" i="61"/>
  <c r="G889" i="61" s="1"/>
  <c r="F896" i="61"/>
  <c r="F889" i="61" s="1"/>
  <c r="E896" i="61"/>
  <c r="I895" i="61"/>
  <c r="I888" i="61" s="1"/>
  <c r="H895" i="61"/>
  <c r="H888" i="61" s="1"/>
  <c r="G895" i="61"/>
  <c r="G888" i="61" s="1"/>
  <c r="F895" i="61"/>
  <c r="F888" i="61" s="1"/>
  <c r="E895" i="61"/>
  <c r="I894" i="61"/>
  <c r="I887" i="61" s="1"/>
  <c r="H894" i="61"/>
  <c r="H887" i="61" s="1"/>
  <c r="G894" i="61"/>
  <c r="G887" i="61" s="1"/>
  <c r="F894" i="61"/>
  <c r="M900" i="61" s="1"/>
  <c r="E894" i="61"/>
  <c r="E887" i="61" s="1"/>
  <c r="I893" i="61"/>
  <c r="I886" i="61" s="1"/>
  <c r="H893" i="61"/>
  <c r="H886" i="61" s="1"/>
  <c r="G893" i="61"/>
  <c r="G886" i="61" s="1"/>
  <c r="F893" i="61"/>
  <c r="F886" i="61" s="1"/>
  <c r="E893" i="61"/>
  <c r="I892" i="61"/>
  <c r="I885" i="61" s="1"/>
  <c r="H892" i="61"/>
  <c r="H885" i="61" s="1"/>
  <c r="G892" i="61"/>
  <c r="G885" i="61" s="1"/>
  <c r="F892" i="61"/>
  <c r="F885" i="61" s="1"/>
  <c r="E892" i="61"/>
  <c r="I891" i="61"/>
  <c r="I884" i="61" s="1"/>
  <c r="H891" i="61"/>
  <c r="H884" i="61" s="1"/>
  <c r="G891" i="61"/>
  <c r="G884" i="61" s="1"/>
  <c r="F891" i="61"/>
  <c r="E891" i="61"/>
  <c r="E886" i="61"/>
  <c r="E883" i="61"/>
  <c r="F882" i="61"/>
  <c r="F877" i="61" s="1"/>
  <c r="E881" i="61"/>
  <c r="E880" i="61"/>
  <c r="E879" i="61"/>
  <c r="E878" i="61"/>
  <c r="I877" i="61"/>
  <c r="H877" i="61"/>
  <c r="G877" i="61"/>
  <c r="E876" i="61"/>
  <c r="E875" i="61"/>
  <c r="E874" i="61"/>
  <c r="E873" i="61"/>
  <c r="E872" i="61"/>
  <c r="E871" i="61"/>
  <c r="I870" i="61"/>
  <c r="H870" i="61"/>
  <c r="G870" i="61"/>
  <c r="F870" i="61"/>
  <c r="E869" i="61"/>
  <c r="E868" i="61"/>
  <c r="F867" i="61"/>
  <c r="E866" i="61"/>
  <c r="E865" i="61"/>
  <c r="E864" i="61"/>
  <c r="I863" i="61"/>
  <c r="H863" i="61"/>
  <c r="G863" i="61"/>
  <c r="I862" i="61"/>
  <c r="H862" i="61"/>
  <c r="G862" i="61"/>
  <c r="F862" i="61"/>
  <c r="I861" i="61"/>
  <c r="H861" i="61"/>
  <c r="G861" i="61"/>
  <c r="I860" i="61"/>
  <c r="H860" i="61"/>
  <c r="G860" i="61"/>
  <c r="I859" i="61"/>
  <c r="H859" i="61"/>
  <c r="G859" i="61"/>
  <c r="F859" i="61"/>
  <c r="I858" i="61"/>
  <c r="H858" i="61"/>
  <c r="G858" i="61"/>
  <c r="F858" i="61"/>
  <c r="I857" i="61"/>
  <c r="H857" i="61"/>
  <c r="G857" i="61"/>
  <c r="F857" i="61"/>
  <c r="E855" i="61"/>
  <c r="I854" i="61"/>
  <c r="I847" i="61" s="1"/>
  <c r="H854" i="61" s="1"/>
  <c r="G853" i="61"/>
  <c r="D223" i="56" s="1"/>
  <c r="F853" i="61"/>
  <c r="F849" i="61" s="1"/>
  <c r="E852" i="61"/>
  <c r="E851" i="61"/>
  <c r="E850" i="61"/>
  <c r="I848" i="61"/>
  <c r="H848" i="61"/>
  <c r="G848" i="61"/>
  <c r="E848" i="61" s="1"/>
  <c r="F848" i="61"/>
  <c r="G847" i="61"/>
  <c r="F847" i="61"/>
  <c r="I846" i="61"/>
  <c r="H846" i="61"/>
  <c r="F846" i="61"/>
  <c r="I845" i="61"/>
  <c r="H845" i="61"/>
  <c r="G845" i="61"/>
  <c r="F845" i="61"/>
  <c r="I844" i="61"/>
  <c r="H844" i="61"/>
  <c r="G844" i="61"/>
  <c r="F844" i="61"/>
  <c r="I843" i="61"/>
  <c r="H843" i="61"/>
  <c r="G843" i="61"/>
  <c r="F843" i="61"/>
  <c r="E841" i="61"/>
  <c r="E840" i="61"/>
  <c r="E839" i="61"/>
  <c r="E838" i="61"/>
  <c r="E837" i="61"/>
  <c r="E836" i="61"/>
  <c r="I835" i="61"/>
  <c r="H835" i="61"/>
  <c r="G835" i="61"/>
  <c r="F835" i="61"/>
  <c r="E834" i="61"/>
  <c r="F828" i="61"/>
  <c r="E828" i="61" s="1"/>
  <c r="E827" i="61"/>
  <c r="F821" i="61"/>
  <c r="E821" i="61" s="1"/>
  <c r="F820" i="61"/>
  <c r="E820" i="61" s="1"/>
  <c r="F818" i="61"/>
  <c r="E818" i="61" s="1"/>
  <c r="F817" i="61"/>
  <c r="E817" i="61" s="1"/>
  <c r="H816" i="61"/>
  <c r="E816" i="61" s="1"/>
  <c r="F815" i="61"/>
  <c r="E815" i="61" s="1"/>
  <c r="E813" i="61"/>
  <c r="E811" i="61"/>
  <c r="E810" i="61"/>
  <c r="H809" i="61"/>
  <c r="E809" i="61" s="1"/>
  <c r="E808" i="61"/>
  <c r="F807" i="61"/>
  <c r="E806" i="61"/>
  <c r="E804" i="61"/>
  <c r="E803" i="61"/>
  <c r="F802" i="61"/>
  <c r="H802" i="61" s="1"/>
  <c r="H800" i="61" s="1"/>
  <c r="E801" i="61"/>
  <c r="I800" i="61"/>
  <c r="G800" i="61"/>
  <c r="E799" i="61"/>
  <c r="E797" i="61"/>
  <c r="E796" i="61"/>
  <c r="F795" i="61"/>
  <c r="H795" i="61" s="1"/>
  <c r="E794" i="61"/>
  <c r="I793" i="61"/>
  <c r="G793" i="61"/>
  <c r="E792" i="61"/>
  <c r="E790" i="61"/>
  <c r="E789" i="61"/>
  <c r="E788" i="61"/>
  <c r="E787" i="61"/>
  <c r="I786" i="61"/>
  <c r="H786" i="61"/>
  <c r="G786" i="61"/>
  <c r="F786" i="61"/>
  <c r="E785" i="61"/>
  <c r="E783" i="61"/>
  <c r="E782" i="61"/>
  <c r="E781" i="61"/>
  <c r="E780" i="61"/>
  <c r="I779" i="61"/>
  <c r="H779" i="61"/>
  <c r="G779" i="61"/>
  <c r="F779" i="61"/>
  <c r="E778" i="61"/>
  <c r="E776" i="61"/>
  <c r="E775" i="61"/>
  <c r="E774" i="61"/>
  <c r="E773" i="61"/>
  <c r="I772" i="61"/>
  <c r="H772" i="61"/>
  <c r="G772" i="61"/>
  <c r="F772" i="61"/>
  <c r="E772" i="61" s="1"/>
  <c r="E771" i="61"/>
  <c r="E769" i="61"/>
  <c r="I768" i="61"/>
  <c r="E768" i="61" s="1"/>
  <c r="H767" i="61"/>
  <c r="H765" i="61" s="1"/>
  <c r="G765" i="61"/>
  <c r="G760" i="61" s="1"/>
  <c r="F765" i="61"/>
  <c r="E764" i="61"/>
  <c r="E762" i="61"/>
  <c r="E761" i="61"/>
  <c r="H760" i="61"/>
  <c r="H758" i="61" s="1"/>
  <c r="I758" i="61"/>
  <c r="I757" i="61" s="1"/>
  <c r="I755" i="61" s="1"/>
  <c r="I754" i="61" s="1"/>
  <c r="I753" i="61" s="1"/>
  <c r="I752" i="61" s="1"/>
  <c r="I751" i="61" s="1"/>
  <c r="I750" i="61" s="1"/>
  <c r="I748" i="61" s="1"/>
  <c r="I747" i="61" s="1"/>
  <c r="I746" i="61" s="1"/>
  <c r="I745" i="61" s="1"/>
  <c r="I744" i="61" s="1"/>
  <c r="I743" i="61" s="1"/>
  <c r="I741" i="61" s="1"/>
  <c r="I740" i="61" s="1"/>
  <c r="I739" i="61" s="1"/>
  <c r="I738" i="61" s="1"/>
  <c r="I737" i="61" s="1"/>
  <c r="I736" i="61" s="1"/>
  <c r="I734" i="61" s="1"/>
  <c r="I733" i="61" s="1"/>
  <c r="I732" i="61" s="1"/>
  <c r="I731" i="61" s="1"/>
  <c r="I730" i="61" s="1"/>
  <c r="I729" i="61" s="1"/>
  <c r="F758" i="61"/>
  <c r="H751" i="61"/>
  <c r="F751" i="61"/>
  <c r="H746" i="61"/>
  <c r="H744" i="61" s="1"/>
  <c r="F744" i="61"/>
  <c r="H739" i="61"/>
  <c r="H737" i="61"/>
  <c r="F737" i="61"/>
  <c r="H730" i="61"/>
  <c r="F730" i="61"/>
  <c r="H725" i="61"/>
  <c r="H723" i="61" s="1"/>
  <c r="F723" i="61"/>
  <c r="E722" i="61"/>
  <c r="E720" i="61"/>
  <c r="E719" i="61"/>
  <c r="E718" i="61"/>
  <c r="E717" i="61"/>
  <c r="I716" i="61"/>
  <c r="H716" i="61"/>
  <c r="G716" i="61"/>
  <c r="F716" i="61"/>
  <c r="E716" i="61" s="1"/>
  <c r="E715" i="61"/>
  <c r="E714" i="61"/>
  <c r="F713" i="61"/>
  <c r="E712" i="61"/>
  <c r="E711" i="61"/>
  <c r="E710" i="61"/>
  <c r="I709" i="61"/>
  <c r="H709" i="61"/>
  <c r="G709" i="61"/>
  <c r="E708" i="61"/>
  <c r="E706" i="61"/>
  <c r="E705" i="61"/>
  <c r="E704" i="61"/>
  <c r="E703" i="61"/>
  <c r="I702" i="61"/>
  <c r="H702" i="61"/>
  <c r="G702" i="61"/>
  <c r="F702" i="61"/>
  <c r="E701" i="61"/>
  <c r="E699" i="61"/>
  <c r="E698" i="61"/>
  <c r="E697" i="61"/>
  <c r="E696" i="61"/>
  <c r="I695" i="61"/>
  <c r="H695" i="61"/>
  <c r="G695" i="61"/>
  <c r="F695" i="61"/>
  <c r="E694" i="61"/>
  <c r="E692" i="61"/>
  <c r="E691" i="61"/>
  <c r="E690" i="61"/>
  <c r="H689" i="61"/>
  <c r="E689" i="61" s="1"/>
  <c r="G688" i="61"/>
  <c r="F688" i="61"/>
  <c r="E687" i="61"/>
  <c r="E685" i="61"/>
  <c r="E684" i="61"/>
  <c r="H683" i="61"/>
  <c r="E683" i="61" s="1"/>
  <c r="H682" i="61"/>
  <c r="E682" i="61" s="1"/>
  <c r="I681" i="61"/>
  <c r="G681" i="61"/>
  <c r="F681" i="61"/>
  <c r="E680" i="61"/>
  <c r="E678" i="61"/>
  <c r="E677" i="61"/>
  <c r="E676" i="61"/>
  <c r="E675" i="61"/>
  <c r="I674" i="61"/>
  <c r="H674" i="61"/>
  <c r="G674" i="61"/>
  <c r="F674" i="61"/>
  <c r="E673" i="61"/>
  <c r="E671" i="61"/>
  <c r="E670" i="61"/>
  <c r="E669" i="61"/>
  <c r="E668" i="61"/>
  <c r="E667" i="61"/>
  <c r="E666" i="61"/>
  <c r="E664" i="61"/>
  <c r="E663" i="61"/>
  <c r="E662" i="61"/>
  <c r="E661" i="61"/>
  <c r="I660" i="61"/>
  <c r="H660" i="61"/>
  <c r="G660" i="61"/>
  <c r="F660" i="61"/>
  <c r="H654" i="61"/>
  <c r="E654" i="61" s="1"/>
  <c r="I653" i="61"/>
  <c r="G653" i="61"/>
  <c r="F653" i="61"/>
  <c r="H647" i="61"/>
  <c r="E647" i="61" s="1"/>
  <c r="I646" i="61"/>
  <c r="G646" i="61"/>
  <c r="F646" i="61"/>
  <c r="H640" i="61"/>
  <c r="E640" i="61" s="1"/>
  <c r="I639" i="61"/>
  <c r="G639" i="61"/>
  <c r="F639" i="61"/>
  <c r="H633" i="61"/>
  <c r="E633" i="61"/>
  <c r="I632" i="61"/>
  <c r="H632" i="61"/>
  <c r="G632" i="61"/>
  <c r="F632" i="61"/>
  <c r="H626" i="61"/>
  <c r="E626" i="61" s="1"/>
  <c r="I625" i="61"/>
  <c r="G625" i="61"/>
  <c r="F625" i="61"/>
  <c r="H619" i="61"/>
  <c r="H618" i="61" s="1"/>
  <c r="I618" i="61"/>
  <c r="G618" i="61"/>
  <c r="F618" i="61"/>
  <c r="E612" i="61"/>
  <c r="I611" i="61"/>
  <c r="H611" i="61"/>
  <c r="G611" i="61"/>
  <c r="F611" i="61"/>
  <c r="E610" i="61"/>
  <c r="F608" i="61"/>
  <c r="E607" i="61"/>
  <c r="F606" i="61"/>
  <c r="F605" i="61"/>
  <c r="I604" i="61"/>
  <c r="H604" i="61"/>
  <c r="G604" i="61"/>
  <c r="E603" i="61"/>
  <c r="E602" i="61"/>
  <c r="F601" i="61"/>
  <c r="D202" i="56" s="1"/>
  <c r="F600" i="61"/>
  <c r="E600" i="61" s="1"/>
  <c r="E599" i="61"/>
  <c r="E598" i="61"/>
  <c r="I597" i="61"/>
  <c r="H597" i="61"/>
  <c r="G597" i="61"/>
  <c r="E596" i="61"/>
  <c r="I594" i="61"/>
  <c r="I590" i="61" s="1"/>
  <c r="F593" i="61"/>
  <c r="E592" i="61"/>
  <c r="E591" i="61"/>
  <c r="H590" i="61"/>
  <c r="G590" i="61"/>
  <c r="I589" i="61"/>
  <c r="H589" i="61"/>
  <c r="G589" i="61"/>
  <c r="F589" i="61"/>
  <c r="H588" i="61"/>
  <c r="F588" i="61"/>
  <c r="H587" i="61"/>
  <c r="H586" i="61"/>
  <c r="F584" i="61"/>
  <c r="I582" i="61"/>
  <c r="H582" i="61"/>
  <c r="G582" i="61"/>
  <c r="F582" i="61"/>
  <c r="E581" i="61"/>
  <c r="G580" i="61"/>
  <c r="F580" i="61"/>
  <c r="I579" i="61"/>
  <c r="H579" i="61"/>
  <c r="G579" i="61"/>
  <c r="I578" i="61"/>
  <c r="G578" i="61"/>
  <c r="I577" i="61"/>
  <c r="G577" i="61"/>
  <c r="E575" i="61"/>
  <c r="E572" i="61"/>
  <c r="E571" i="61"/>
  <c r="E570" i="61"/>
  <c r="I569" i="61"/>
  <c r="H569" i="61"/>
  <c r="G569" i="61"/>
  <c r="F569" i="61"/>
  <c r="I568" i="61"/>
  <c r="H568" i="61"/>
  <c r="G568" i="61"/>
  <c r="F568" i="61"/>
  <c r="E567" i="61"/>
  <c r="I566" i="61"/>
  <c r="H566" i="61"/>
  <c r="G566" i="61"/>
  <c r="I565" i="61"/>
  <c r="H565" i="61"/>
  <c r="G565" i="61"/>
  <c r="F565" i="61"/>
  <c r="F425" i="61" s="1"/>
  <c r="I564" i="61"/>
  <c r="H564" i="61"/>
  <c r="G564" i="61"/>
  <c r="F564" i="61"/>
  <c r="I563" i="61"/>
  <c r="H563" i="61"/>
  <c r="G563" i="61"/>
  <c r="F563" i="61"/>
  <c r="E561" i="61"/>
  <c r="E559" i="61"/>
  <c r="E558" i="61"/>
  <c r="E557" i="61"/>
  <c r="E556" i="61"/>
  <c r="I555" i="61"/>
  <c r="H555" i="61"/>
  <c r="G555" i="61"/>
  <c r="F555" i="61"/>
  <c r="E554" i="61"/>
  <c r="E552" i="61"/>
  <c r="E551" i="61"/>
  <c r="E550" i="61"/>
  <c r="E549" i="61"/>
  <c r="I548" i="61"/>
  <c r="H548" i="61"/>
  <c r="F548" i="61"/>
  <c r="E547" i="61"/>
  <c r="E545" i="61"/>
  <c r="E544" i="61"/>
  <c r="E543" i="61"/>
  <c r="E542" i="61"/>
  <c r="I541" i="61"/>
  <c r="H541" i="61"/>
  <c r="G541" i="61"/>
  <c r="F541" i="61"/>
  <c r="E541" i="61" s="1"/>
  <c r="E540" i="61"/>
  <c r="E538" i="61"/>
  <c r="E537" i="61"/>
  <c r="F536" i="61"/>
  <c r="E536" i="61" s="1"/>
  <c r="E535" i="61"/>
  <c r="I534" i="61"/>
  <c r="H534" i="61"/>
  <c r="G534" i="61"/>
  <c r="E533" i="61"/>
  <c r="E531" i="61"/>
  <c r="E530" i="61"/>
  <c r="E529" i="61"/>
  <c r="E528" i="61"/>
  <c r="I527" i="61"/>
  <c r="H527" i="61"/>
  <c r="G527" i="61"/>
  <c r="F527" i="61"/>
  <c r="E526" i="61"/>
  <c r="E524" i="61"/>
  <c r="E523" i="61"/>
  <c r="E522" i="61"/>
  <c r="E521" i="61"/>
  <c r="I520" i="61"/>
  <c r="I519" i="61" s="1"/>
  <c r="H520" i="61"/>
  <c r="F520" i="61"/>
  <c r="H515" i="61"/>
  <c r="H513" i="61"/>
  <c r="F513" i="61"/>
  <c r="H506" i="61"/>
  <c r="G506" i="61"/>
  <c r="G505" i="61" s="1"/>
  <c r="G503" i="61" s="1"/>
  <c r="F506" i="61"/>
  <c r="H499" i="61"/>
  <c r="F499" i="61"/>
  <c r="E498" i="61"/>
  <c r="E496" i="61"/>
  <c r="E495" i="61"/>
  <c r="F494" i="61"/>
  <c r="H494" i="61" s="1"/>
  <c r="E493" i="61"/>
  <c r="I492" i="61"/>
  <c r="G492" i="61"/>
  <c r="F492" i="61"/>
  <c r="E491" i="61"/>
  <c r="E489" i="61"/>
  <c r="E488" i="61"/>
  <c r="F487" i="61"/>
  <c r="F485" i="61" s="1"/>
  <c r="E487" i="61"/>
  <c r="E486" i="61"/>
  <c r="I485" i="61"/>
  <c r="H485" i="61"/>
  <c r="G485" i="61"/>
  <c r="E484" i="61"/>
  <c r="E482" i="61"/>
  <c r="E481" i="61"/>
  <c r="E480" i="61"/>
  <c r="E479" i="61"/>
  <c r="I478" i="61"/>
  <c r="H478" i="61"/>
  <c r="G478" i="61"/>
  <c r="F478" i="61"/>
  <c r="E477" i="61"/>
  <c r="E475" i="61"/>
  <c r="E474" i="61"/>
  <c r="E473" i="61"/>
  <c r="E472" i="61"/>
  <c r="I471" i="61"/>
  <c r="H471" i="61"/>
  <c r="G471" i="61"/>
  <c r="F471" i="61"/>
  <c r="E470" i="61"/>
  <c r="E468" i="61"/>
  <c r="E467" i="61"/>
  <c r="E466" i="61"/>
  <c r="E465" i="61"/>
  <c r="I464" i="61"/>
  <c r="H464" i="61"/>
  <c r="G464" i="61"/>
  <c r="F464" i="61"/>
  <c r="E463" i="61"/>
  <c r="E461" i="61"/>
  <c r="E460" i="61"/>
  <c r="H459" i="61"/>
  <c r="E459" i="61" s="1"/>
  <c r="E458" i="61"/>
  <c r="I457" i="61"/>
  <c r="G457" i="61"/>
  <c r="F457" i="61"/>
  <c r="E456" i="61"/>
  <c r="E454" i="61"/>
  <c r="E453" i="61"/>
  <c r="E452" i="61"/>
  <c r="E451" i="61"/>
  <c r="I450" i="61"/>
  <c r="H450" i="61"/>
  <c r="G450" i="61"/>
  <c r="F450" i="61"/>
  <c r="E449" i="61"/>
  <c r="E447" i="61"/>
  <c r="E446" i="61"/>
  <c r="E445" i="61"/>
  <c r="E444" i="61"/>
  <c r="I443" i="61"/>
  <c r="H443" i="61"/>
  <c r="G443" i="61"/>
  <c r="F443" i="61"/>
  <c r="E442" i="61"/>
  <c r="E440" i="61"/>
  <c r="E439" i="61"/>
  <c r="E438" i="61"/>
  <c r="F437" i="61"/>
  <c r="H437" i="61" s="1"/>
  <c r="E437" i="61" s="1"/>
  <c r="E436" i="61" s="1"/>
  <c r="I436" i="61"/>
  <c r="G436" i="61"/>
  <c r="E435" i="61"/>
  <c r="E433" i="61"/>
  <c r="E432" i="61"/>
  <c r="E431" i="61"/>
  <c r="H430" i="61"/>
  <c r="E430" i="61" s="1"/>
  <c r="I429" i="61"/>
  <c r="G429" i="61"/>
  <c r="F429" i="61"/>
  <c r="I427" i="61"/>
  <c r="H427" i="61"/>
  <c r="G427" i="61"/>
  <c r="F427" i="61"/>
  <c r="H421" i="61"/>
  <c r="G421" i="61"/>
  <c r="E414" i="61"/>
  <c r="E412" i="61"/>
  <c r="F411" i="61"/>
  <c r="F399" i="61" s="1"/>
  <c r="E410" i="61"/>
  <c r="E409" i="61"/>
  <c r="I408" i="61"/>
  <c r="H408" i="61"/>
  <c r="G408" i="61"/>
  <c r="E407" i="61"/>
  <c r="F406" i="61"/>
  <c r="D172" i="56" s="1"/>
  <c r="E406" i="61"/>
  <c r="E405" i="61"/>
  <c r="E404" i="61"/>
  <c r="E403" i="61"/>
  <c r="I402" i="61"/>
  <c r="H402" i="61"/>
  <c r="G402" i="61"/>
  <c r="F402" i="61"/>
  <c r="I401" i="61"/>
  <c r="I212" i="61" s="1"/>
  <c r="H401" i="61"/>
  <c r="G401" i="61"/>
  <c r="F401" i="61"/>
  <c r="I400" i="61"/>
  <c r="E400" i="61" s="1"/>
  <c r="H400" i="61"/>
  <c r="G400" i="61"/>
  <c r="F400" i="61"/>
  <c r="I399" i="61"/>
  <c r="H399" i="61"/>
  <c r="G399" i="61"/>
  <c r="I398" i="61"/>
  <c r="H398" i="61"/>
  <c r="G398" i="61"/>
  <c r="F398" i="61"/>
  <c r="I397" i="61"/>
  <c r="H397" i="61"/>
  <c r="G397" i="61"/>
  <c r="F397" i="61"/>
  <c r="E395" i="61"/>
  <c r="E394" i="61"/>
  <c r="E393" i="61"/>
  <c r="E392" i="61"/>
  <c r="E391" i="61"/>
  <c r="E390" i="61"/>
  <c r="E389" i="61" s="1"/>
  <c r="I389" i="61"/>
  <c r="H389" i="61"/>
  <c r="G389" i="61"/>
  <c r="F389" i="61"/>
  <c r="E388" i="61"/>
  <c r="E386" i="61"/>
  <c r="E385" i="61"/>
  <c r="E384" i="61"/>
  <c r="E383" i="61"/>
  <c r="I382" i="61"/>
  <c r="H382" i="61"/>
  <c r="G382" i="61"/>
  <c r="F382" i="61"/>
  <c r="I381" i="61"/>
  <c r="H381" i="61"/>
  <c r="G381" i="61"/>
  <c r="F381" i="61"/>
  <c r="I380" i="61"/>
  <c r="H380" i="61"/>
  <c r="G380" i="61"/>
  <c r="F380" i="61"/>
  <c r="I379" i="61"/>
  <c r="H379" i="61"/>
  <c r="G379" i="61"/>
  <c r="F379" i="61"/>
  <c r="I378" i="61"/>
  <c r="H378" i="61"/>
  <c r="G378" i="61"/>
  <c r="G210" i="61" s="1"/>
  <c r="F378" i="61"/>
  <c r="I377" i="61"/>
  <c r="H377" i="61"/>
  <c r="G377" i="61"/>
  <c r="E377" i="61" s="1"/>
  <c r="F377" i="61"/>
  <c r="I376" i="61"/>
  <c r="I375" i="61" s="1"/>
  <c r="H376" i="61"/>
  <c r="G376" i="61"/>
  <c r="F376" i="61"/>
  <c r="E374" i="61"/>
  <c r="E372" i="61"/>
  <c r="E371" i="61"/>
  <c r="E370" i="61"/>
  <c r="E369" i="61"/>
  <c r="I368" i="61"/>
  <c r="H368" i="61"/>
  <c r="G368" i="61"/>
  <c r="F368" i="61"/>
  <c r="E367" i="61"/>
  <c r="F365" i="61"/>
  <c r="F364" i="61"/>
  <c r="E363" i="61"/>
  <c r="E362" i="61"/>
  <c r="I361" i="61"/>
  <c r="H361" i="61"/>
  <c r="G361" i="61"/>
  <c r="E360" i="61"/>
  <c r="E358" i="61"/>
  <c r="F357" i="61"/>
  <c r="E357" i="61"/>
  <c r="F356" i="61"/>
  <c r="E356" i="61" s="1"/>
  <c r="E355" i="61"/>
  <c r="I354" i="61"/>
  <c r="H354" i="61"/>
  <c r="G354" i="61"/>
  <c r="E353" i="61"/>
  <c r="E351" i="61"/>
  <c r="E350" i="61"/>
  <c r="E349" i="61"/>
  <c r="E348" i="61"/>
  <c r="I347" i="61"/>
  <c r="H347" i="61"/>
  <c r="G347" i="61"/>
  <c r="F347" i="61"/>
  <c r="E346" i="61"/>
  <c r="E344" i="61"/>
  <c r="E343" i="61"/>
  <c r="F342" i="61"/>
  <c r="E342" i="61" s="1"/>
  <c r="E341" i="61"/>
  <c r="I340" i="61"/>
  <c r="H340" i="61"/>
  <c r="G340" i="61"/>
  <c r="E339" i="61"/>
  <c r="E337" i="61"/>
  <c r="E336" i="61"/>
  <c r="E335" i="61"/>
  <c r="E334" i="61"/>
  <c r="I333" i="61"/>
  <c r="H333" i="61"/>
  <c r="G333" i="61"/>
  <c r="F333" i="61"/>
  <c r="E332" i="61"/>
  <c r="E330" i="61"/>
  <c r="E329" i="61"/>
  <c r="E328" i="61"/>
  <c r="E327" i="61"/>
  <c r="I326" i="61"/>
  <c r="H326" i="61"/>
  <c r="G326" i="61"/>
  <c r="F326" i="61"/>
  <c r="E325" i="61"/>
  <c r="E324" i="61"/>
  <c r="E323" i="61"/>
  <c r="F322" i="61"/>
  <c r="F319" i="61" s="1"/>
  <c r="E321" i="61"/>
  <c r="E320" i="61"/>
  <c r="I319" i="61"/>
  <c r="H319" i="61"/>
  <c r="G319" i="61"/>
  <c r="E318" i="61"/>
  <c r="E316" i="61"/>
  <c r="E315" i="61"/>
  <c r="E313" i="61"/>
  <c r="I312" i="61"/>
  <c r="H312" i="61"/>
  <c r="G312" i="61"/>
  <c r="F312" i="61"/>
  <c r="E311" i="61"/>
  <c r="E309" i="61"/>
  <c r="E308" i="61"/>
  <c r="E307" i="61"/>
  <c r="E306" i="61"/>
  <c r="I305" i="61"/>
  <c r="H305" i="61"/>
  <c r="G305" i="61"/>
  <c r="F305" i="61"/>
  <c r="E304" i="61"/>
  <c r="E302" i="61"/>
  <c r="E301" i="61"/>
  <c r="E300" i="61"/>
  <c r="E299" i="61"/>
  <c r="I298" i="61"/>
  <c r="H298" i="61"/>
  <c r="G298" i="61"/>
  <c r="F298" i="61"/>
  <c r="E297" i="61"/>
  <c r="F295" i="61"/>
  <c r="E294" i="61"/>
  <c r="F293" i="61"/>
  <c r="E293" i="61" s="1"/>
  <c r="E292" i="61"/>
  <c r="I291" i="61"/>
  <c r="H291" i="61"/>
  <c r="G291" i="61"/>
  <c r="E290" i="61"/>
  <c r="E288" i="61"/>
  <c r="E287" i="61"/>
  <c r="E286" i="61"/>
  <c r="E285" i="61"/>
  <c r="I284" i="61"/>
  <c r="H284" i="61"/>
  <c r="G284" i="61"/>
  <c r="F284" i="61"/>
  <c r="E283" i="61"/>
  <c r="E281" i="61"/>
  <c r="E280" i="61"/>
  <c r="E279" i="61"/>
  <c r="E278" i="61"/>
  <c r="I277" i="61"/>
  <c r="H277" i="61"/>
  <c r="G277" i="61"/>
  <c r="F277" i="61"/>
  <c r="E276" i="61"/>
  <c r="E274" i="61"/>
  <c r="E273" i="61"/>
  <c r="E272" i="61"/>
  <c r="E271" i="61"/>
  <c r="I270" i="61"/>
  <c r="H270" i="61"/>
  <c r="G270" i="61"/>
  <c r="E270" i="61" s="1"/>
  <c r="F270" i="61"/>
  <c r="E269" i="61"/>
  <c r="E267" i="61"/>
  <c r="E266" i="61"/>
  <c r="E265" i="61"/>
  <c r="E264" i="61"/>
  <c r="I263" i="61"/>
  <c r="H263" i="61"/>
  <c r="G263" i="61"/>
  <c r="F263" i="61"/>
  <c r="E262" i="61"/>
  <c r="E260" i="61"/>
  <c r="E259" i="61"/>
  <c r="E258" i="61"/>
  <c r="E257" i="61"/>
  <c r="I256" i="61"/>
  <c r="H256" i="61"/>
  <c r="G256" i="61"/>
  <c r="F256" i="61"/>
  <c r="E255" i="61"/>
  <c r="E254" i="61"/>
  <c r="E253" i="61"/>
  <c r="F252" i="61"/>
  <c r="F251" i="61"/>
  <c r="E251" i="61" s="1"/>
  <c r="E250" i="61"/>
  <c r="I249" i="61"/>
  <c r="H249" i="61"/>
  <c r="G249" i="61"/>
  <c r="E248" i="61"/>
  <c r="E247" i="61"/>
  <c r="F246" i="61"/>
  <c r="E246" i="61"/>
  <c r="F245" i="61"/>
  <c r="E245" i="61" s="1"/>
  <c r="F244" i="61"/>
  <c r="E244" i="61"/>
  <c r="E243" i="61"/>
  <c r="I242" i="61"/>
  <c r="H242" i="61"/>
  <c r="G242" i="61"/>
  <c r="E241" i="61"/>
  <c r="E240" i="61"/>
  <c r="E239" i="61"/>
  <c r="E238" i="61"/>
  <c r="E237" i="61"/>
  <c r="F236" i="61"/>
  <c r="E236" i="61" s="1"/>
  <c r="I235" i="61"/>
  <c r="H235" i="61"/>
  <c r="G235" i="61"/>
  <c r="E234" i="61"/>
  <c r="E233" i="61"/>
  <c r="F232" i="61"/>
  <c r="D107" i="56" s="1"/>
  <c r="F231" i="61"/>
  <c r="E231" i="61" s="1"/>
  <c r="E230" i="61"/>
  <c r="E229" i="61"/>
  <c r="I228" i="61"/>
  <c r="H228" i="61"/>
  <c r="G228" i="61"/>
  <c r="E227" i="61"/>
  <c r="G226" i="61"/>
  <c r="E226" i="61" s="1"/>
  <c r="E225" i="61"/>
  <c r="F224" i="61"/>
  <c r="E224" i="61" s="1"/>
  <c r="F223" i="61"/>
  <c r="F222" i="61"/>
  <c r="E222" i="61" s="1"/>
  <c r="I221" i="61"/>
  <c r="H221" i="61"/>
  <c r="G221" i="61"/>
  <c r="I220" i="61"/>
  <c r="H220" i="61"/>
  <c r="G220" i="61"/>
  <c r="F220" i="61"/>
  <c r="F213" i="61" s="1"/>
  <c r="I219" i="61"/>
  <c r="H219" i="61"/>
  <c r="G219" i="61"/>
  <c r="F219" i="61"/>
  <c r="F212" i="61" s="1"/>
  <c r="I218" i="61"/>
  <c r="H218" i="61"/>
  <c r="G218" i="61"/>
  <c r="I217" i="61"/>
  <c r="I210" i="61" s="1"/>
  <c r="H217" i="61"/>
  <c r="G217" i="61"/>
  <c r="I216" i="61"/>
  <c r="I209" i="61" s="1"/>
  <c r="H216" i="61"/>
  <c r="G216" i="61"/>
  <c r="I215" i="61"/>
  <c r="H215" i="61"/>
  <c r="G215" i="61"/>
  <c r="I211" i="61"/>
  <c r="E206" i="61"/>
  <c r="E204" i="61"/>
  <c r="E203" i="61"/>
  <c r="E202" i="61"/>
  <c r="E201" i="61"/>
  <c r="I200" i="61"/>
  <c r="H200" i="61"/>
  <c r="G200" i="61"/>
  <c r="F200" i="61"/>
  <c r="E199" i="61"/>
  <c r="E198" i="61"/>
  <c r="E197" i="61"/>
  <c r="F196" i="61"/>
  <c r="E196" i="61" s="1"/>
  <c r="E195" i="61"/>
  <c r="E194" i="61"/>
  <c r="I193" i="61"/>
  <c r="H193" i="61"/>
  <c r="G193" i="61"/>
  <c r="E192" i="61"/>
  <c r="E191" i="61"/>
  <c r="F190" i="61"/>
  <c r="D82" i="56" s="1"/>
  <c r="D77" i="56" s="1"/>
  <c r="E190" i="61"/>
  <c r="F189" i="61"/>
  <c r="F186" i="61" s="1"/>
  <c r="E188" i="61"/>
  <c r="E187" i="61"/>
  <c r="I186" i="61"/>
  <c r="H186" i="61"/>
  <c r="G186" i="61"/>
  <c r="E185" i="61"/>
  <c r="E183" i="61"/>
  <c r="E182" i="61"/>
  <c r="E181" i="61"/>
  <c r="E180" i="61"/>
  <c r="I179" i="61"/>
  <c r="H179" i="61"/>
  <c r="G179" i="61"/>
  <c r="F179" i="61"/>
  <c r="I178" i="61"/>
  <c r="H178" i="61"/>
  <c r="G178" i="61"/>
  <c r="F178" i="61"/>
  <c r="I177" i="61"/>
  <c r="H177" i="61"/>
  <c r="G177" i="61"/>
  <c r="F177" i="61"/>
  <c r="I176" i="61"/>
  <c r="H176" i="61"/>
  <c r="G176" i="61"/>
  <c r="F176" i="61"/>
  <c r="I175" i="61"/>
  <c r="H175" i="61"/>
  <c r="G175" i="61"/>
  <c r="I174" i="61"/>
  <c r="H174" i="61"/>
  <c r="G174" i="61"/>
  <c r="F174" i="61"/>
  <c r="I173" i="61"/>
  <c r="H173" i="61"/>
  <c r="G173" i="61"/>
  <c r="F173" i="61"/>
  <c r="E171" i="61"/>
  <c r="E169" i="61"/>
  <c r="E168" i="61"/>
  <c r="E167" i="61"/>
  <c r="E166" i="61"/>
  <c r="E164" i="61"/>
  <c r="E163" i="61"/>
  <c r="F162" i="61"/>
  <c r="F161" i="61"/>
  <c r="E161" i="61" s="1"/>
  <c r="E160" i="61"/>
  <c r="E159" i="61"/>
  <c r="I158" i="61"/>
  <c r="H158" i="61"/>
  <c r="G158" i="61"/>
  <c r="E157" i="61"/>
  <c r="H156" i="61"/>
  <c r="G156" i="61"/>
  <c r="E156" i="61" s="1"/>
  <c r="E155" i="61"/>
  <c r="E154" i="61"/>
  <c r="H153" i="61"/>
  <c r="H152" i="61"/>
  <c r="G152" i="61" s="1"/>
  <c r="E152" i="61" s="1"/>
  <c r="I151" i="61"/>
  <c r="F151" i="61"/>
  <c r="E150" i="61"/>
  <c r="E149" i="61"/>
  <c r="E148" i="61"/>
  <c r="E147" i="61"/>
  <c r="E146" i="61"/>
  <c r="E145" i="61"/>
  <c r="I144" i="61"/>
  <c r="H144" i="61"/>
  <c r="G144" i="61"/>
  <c r="F144" i="61"/>
  <c r="H143" i="61"/>
  <c r="G143" i="61" s="1"/>
  <c r="H141" i="61"/>
  <c r="G141" i="61" s="1"/>
  <c r="H140" i="61"/>
  <c r="G140" i="61" s="1"/>
  <c r="F139" i="61"/>
  <c r="E139" i="61" s="1"/>
  <c r="E138" i="61"/>
  <c r="I137" i="61"/>
  <c r="E136" i="61"/>
  <c r="E134" i="61"/>
  <c r="E133" i="61"/>
  <c r="E132" i="61"/>
  <c r="E131" i="61"/>
  <c r="I130" i="61"/>
  <c r="H130" i="61"/>
  <c r="G130" i="61"/>
  <c r="F130" i="61"/>
  <c r="E129" i="61"/>
  <c r="E128" i="61"/>
  <c r="F127" i="61"/>
  <c r="F126" i="61"/>
  <c r="E126" i="61" s="1"/>
  <c r="E125" i="61"/>
  <c r="E124" i="61"/>
  <c r="I123" i="61"/>
  <c r="H123" i="61"/>
  <c r="G123" i="61"/>
  <c r="E121" i="61"/>
  <c r="E120" i="61"/>
  <c r="E119" i="61"/>
  <c r="E118" i="61"/>
  <c r="I117" i="61"/>
  <c r="H117" i="61"/>
  <c r="G117" i="61"/>
  <c r="F117" i="61"/>
  <c r="E116" i="61"/>
  <c r="E114" i="61"/>
  <c r="E113" i="61"/>
  <c r="F112" i="61"/>
  <c r="F110" i="61" s="1"/>
  <c r="E111" i="61"/>
  <c r="I110" i="61"/>
  <c r="H110" i="61"/>
  <c r="G110" i="61"/>
  <c r="E109" i="61"/>
  <c r="E108" i="61"/>
  <c r="E107" i="61"/>
  <c r="E106" i="61"/>
  <c r="E105" i="61"/>
  <c r="E104" i="61"/>
  <c r="I103" i="61"/>
  <c r="H103" i="61"/>
  <c r="G103" i="61"/>
  <c r="F103" i="61"/>
  <c r="E102" i="61"/>
  <c r="E101" i="61"/>
  <c r="F100" i="61"/>
  <c r="F99" i="61"/>
  <c r="E99" i="61" s="1"/>
  <c r="E98" i="61"/>
  <c r="F97" i="61"/>
  <c r="E97" i="61"/>
  <c r="I96" i="61"/>
  <c r="H96" i="61"/>
  <c r="G96" i="61"/>
  <c r="E95" i="61"/>
  <c r="E94" i="61"/>
  <c r="F93" i="61"/>
  <c r="F92" i="61"/>
  <c r="E92" i="61" s="1"/>
  <c r="E91" i="61"/>
  <c r="E90" i="61"/>
  <c r="I89" i="61"/>
  <c r="H89" i="61"/>
  <c r="G89" i="61"/>
  <c r="E88" i="61"/>
  <c r="E87" i="61"/>
  <c r="E86" i="61"/>
  <c r="D37" i="56" s="1"/>
  <c r="F85" i="61"/>
  <c r="E85" i="61" s="1"/>
  <c r="E84" i="61"/>
  <c r="E83" i="61"/>
  <c r="I82" i="61"/>
  <c r="H82" i="61"/>
  <c r="G82" i="61"/>
  <c r="E81" i="61"/>
  <c r="E79" i="61"/>
  <c r="E78" i="61"/>
  <c r="E77" i="61"/>
  <c r="E76" i="61"/>
  <c r="I75" i="61"/>
  <c r="H75" i="61"/>
  <c r="G75" i="61"/>
  <c r="F75" i="61"/>
  <c r="E74" i="61"/>
  <c r="E73" i="61"/>
  <c r="F72" i="61"/>
  <c r="D32" i="56" s="1"/>
  <c r="F71" i="61"/>
  <c r="E71" i="61" s="1"/>
  <c r="E70" i="61"/>
  <c r="E69" i="61"/>
  <c r="I68" i="61"/>
  <c r="H68" i="61"/>
  <c r="G68" i="61"/>
  <c r="I67" i="61"/>
  <c r="H67" i="61"/>
  <c r="H32" i="61" s="1"/>
  <c r="G67" i="61"/>
  <c r="F67" i="61"/>
  <c r="I66" i="61"/>
  <c r="H66" i="61"/>
  <c r="I65" i="61"/>
  <c r="H65" i="61"/>
  <c r="I64" i="61"/>
  <c r="H64" i="61"/>
  <c r="I63" i="61"/>
  <c r="H63" i="61"/>
  <c r="G63" i="61"/>
  <c r="F63" i="61"/>
  <c r="E63" i="61" s="1"/>
  <c r="I62" i="61"/>
  <c r="H62" i="61"/>
  <c r="G62" i="61"/>
  <c r="F62" i="61"/>
  <c r="E60" i="61"/>
  <c r="F58" i="61"/>
  <c r="F54" i="61" s="1"/>
  <c r="E57" i="61"/>
  <c r="E56" i="61"/>
  <c r="E55" i="61"/>
  <c r="I54" i="61"/>
  <c r="H54" i="61"/>
  <c r="G54" i="61"/>
  <c r="E53" i="61"/>
  <c r="E51" i="61"/>
  <c r="E50" i="61"/>
  <c r="E49" i="61"/>
  <c r="E48" i="61"/>
  <c r="I47" i="61"/>
  <c r="H47" i="61"/>
  <c r="G47" i="61"/>
  <c r="F47" i="61"/>
  <c r="E46" i="61"/>
  <c r="E44" i="61"/>
  <c r="E43" i="61"/>
  <c r="E42" i="61"/>
  <c r="E41" i="61"/>
  <c r="I40" i="61"/>
  <c r="H40" i="61"/>
  <c r="G40" i="61"/>
  <c r="F40" i="61"/>
  <c r="I39" i="61"/>
  <c r="H39" i="61"/>
  <c r="H31" i="61" s="1"/>
  <c r="G39" i="61"/>
  <c r="F39" i="61"/>
  <c r="I37" i="61"/>
  <c r="H37" i="61"/>
  <c r="H30" i="61" s="1"/>
  <c r="G37" i="61"/>
  <c r="I36" i="61"/>
  <c r="H36" i="61"/>
  <c r="G36" i="61"/>
  <c r="F36" i="61"/>
  <c r="I35" i="61"/>
  <c r="H35" i="61"/>
  <c r="H28" i="61" s="1"/>
  <c r="G35" i="61"/>
  <c r="F35" i="61"/>
  <c r="I34" i="61"/>
  <c r="H34" i="61"/>
  <c r="G34" i="61"/>
  <c r="F34" i="61"/>
  <c r="G32" i="61"/>
  <c r="F32" i="61"/>
  <c r="I31" i="61"/>
  <c r="N19" i="61"/>
  <c r="M16" i="61"/>
  <c r="G172" i="61" l="1"/>
  <c r="H29" i="61"/>
  <c r="E326" i="61"/>
  <c r="E589" i="61"/>
  <c r="E919" i="61"/>
  <c r="I29" i="61"/>
  <c r="E75" i="61"/>
  <c r="I27" i="61"/>
  <c r="I208" i="61"/>
  <c r="H211" i="61"/>
  <c r="O16" i="61" s="1"/>
  <c r="H213" i="61"/>
  <c r="H11" i="61" s="1"/>
  <c r="H639" i="61"/>
  <c r="E639" i="61" s="1"/>
  <c r="E845" i="61"/>
  <c r="I421" i="61"/>
  <c r="F218" i="61"/>
  <c r="F211" i="61" s="1"/>
  <c r="E211" i="61" s="1"/>
  <c r="G27" i="61"/>
  <c r="G211" i="61"/>
  <c r="F228" i="61"/>
  <c r="E228" i="61" s="1"/>
  <c r="E646" i="61"/>
  <c r="E674" i="61"/>
  <c r="F27" i="61"/>
  <c r="F28" i="61"/>
  <c r="E40" i="61"/>
  <c r="E130" i="61"/>
  <c r="E165" i="61"/>
  <c r="H210" i="61"/>
  <c r="E277" i="61"/>
  <c r="F340" i="61"/>
  <c r="E340" i="61" s="1"/>
  <c r="E379" i="61"/>
  <c r="E380" i="61"/>
  <c r="G209" i="61"/>
  <c r="H212" i="61"/>
  <c r="F408" i="61"/>
  <c r="E408" i="61" s="1"/>
  <c r="H646" i="61"/>
  <c r="F884" i="61"/>
  <c r="E885" i="61"/>
  <c r="E909" i="61"/>
  <c r="F912" i="61"/>
  <c r="E912" i="61" s="1"/>
  <c r="E174" i="61"/>
  <c r="E177" i="61"/>
  <c r="E200" i="61"/>
  <c r="F249" i="61"/>
  <c r="E632" i="61"/>
  <c r="I856" i="61"/>
  <c r="E862" i="61"/>
  <c r="E62" i="61"/>
  <c r="E263" i="61"/>
  <c r="F361" i="61"/>
  <c r="I213" i="61"/>
  <c r="E779" i="61"/>
  <c r="E859" i="61"/>
  <c r="F586" i="61"/>
  <c r="F37" i="61"/>
  <c r="H137" i="61"/>
  <c r="H375" i="61"/>
  <c r="E527" i="61"/>
  <c r="I905" i="61"/>
  <c r="H944" i="61"/>
  <c r="E944" i="61" s="1"/>
  <c r="E219" i="61"/>
  <c r="E347" i="61"/>
  <c r="E946" i="61"/>
  <c r="E284" i="61"/>
  <c r="E322" i="61"/>
  <c r="E382" i="61"/>
  <c r="F604" i="61"/>
  <c r="F68" i="61"/>
  <c r="E68" i="61" s="1"/>
  <c r="E103" i="61"/>
  <c r="E319" i="61"/>
  <c r="E176" i="61"/>
  <c r="E179" i="61"/>
  <c r="E411" i="61"/>
  <c r="E786" i="61"/>
  <c r="H807" i="61"/>
  <c r="E807" i="61" s="1"/>
  <c r="F861" i="61"/>
  <c r="E861" i="61" s="1"/>
  <c r="E911" i="61"/>
  <c r="E443" i="61"/>
  <c r="F908" i="61"/>
  <c r="E58" i="61"/>
  <c r="E144" i="61"/>
  <c r="H172" i="61"/>
  <c r="E186" i="61"/>
  <c r="G213" i="61"/>
  <c r="G11" i="61" s="1"/>
  <c r="E555" i="61"/>
  <c r="H681" i="61"/>
  <c r="E681" i="61" s="1"/>
  <c r="E702" i="61"/>
  <c r="E858" i="61"/>
  <c r="E519" i="61"/>
  <c r="I517" i="61"/>
  <c r="I516" i="61" s="1"/>
  <c r="E760" i="61"/>
  <c r="G759" i="61"/>
  <c r="G758" i="61" s="1"/>
  <c r="E758" i="61" s="1"/>
  <c r="E471" i="61"/>
  <c r="H580" i="61"/>
  <c r="D194" i="56" s="1"/>
  <c r="D192" i="56"/>
  <c r="G940" i="61"/>
  <c r="E54" i="61"/>
  <c r="G375" i="61"/>
  <c r="F426" i="61"/>
  <c r="I33" i="61"/>
  <c r="E93" i="61"/>
  <c r="D42" i="56"/>
  <c r="E189" i="61"/>
  <c r="F242" i="61"/>
  <c r="E242" i="61" s="1"/>
  <c r="F291" i="61"/>
  <c r="E291" i="61" s="1"/>
  <c r="D132" i="56"/>
  <c r="E305" i="61"/>
  <c r="E333" i="61"/>
  <c r="E427" i="61"/>
  <c r="F436" i="61"/>
  <c r="F597" i="61"/>
  <c r="E597" i="61" s="1"/>
  <c r="E695" i="61"/>
  <c r="F709" i="61"/>
  <c r="E709" i="61" s="1"/>
  <c r="D212" i="56"/>
  <c r="E870" i="61"/>
  <c r="E35" i="61"/>
  <c r="H208" i="61"/>
  <c r="E252" i="61"/>
  <c r="E402" i="61"/>
  <c r="F576" i="61"/>
  <c r="E618" i="61"/>
  <c r="E857" i="61"/>
  <c r="G947" i="61"/>
  <c r="E569" i="61"/>
  <c r="E47" i="61"/>
  <c r="G208" i="61"/>
  <c r="E249" i="61"/>
  <c r="G856" i="61"/>
  <c r="F954" i="61"/>
  <c r="E954" i="61" s="1"/>
  <c r="E127" i="61"/>
  <c r="D57" i="56"/>
  <c r="E398" i="61"/>
  <c r="F905" i="61"/>
  <c r="E112" i="61"/>
  <c r="F354" i="61"/>
  <c r="E354" i="61" s="1"/>
  <c r="E368" i="61"/>
  <c r="E464" i="61"/>
  <c r="F424" i="61"/>
  <c r="F590" i="61"/>
  <c r="E604" i="61"/>
  <c r="F800" i="61"/>
  <c r="E800" i="61" s="1"/>
  <c r="H856" i="61"/>
  <c r="E877" i="61"/>
  <c r="E898" i="61"/>
  <c r="G905" i="61"/>
  <c r="E910" i="61"/>
  <c r="F23" i="61"/>
  <c r="E110" i="61"/>
  <c r="F175" i="61"/>
  <c r="E175" i="61" s="1"/>
  <c r="F216" i="61"/>
  <c r="F209" i="61" s="1"/>
  <c r="F585" i="61"/>
  <c r="E619" i="61"/>
  <c r="F842" i="61"/>
  <c r="G849" i="61"/>
  <c r="F158" i="61"/>
  <c r="E158" i="61" s="1"/>
  <c r="D72" i="56"/>
  <c r="I940" i="61"/>
  <c r="F96" i="61"/>
  <c r="E96" i="61" s="1"/>
  <c r="D47" i="56"/>
  <c r="F24" i="61"/>
  <c r="G212" i="61"/>
  <c r="E298" i="61"/>
  <c r="E378" i="61"/>
  <c r="E397" i="61"/>
  <c r="E399" i="61"/>
  <c r="H457" i="61"/>
  <c r="E457" i="61" s="1"/>
  <c r="G846" i="61"/>
  <c r="G842" i="61" s="1"/>
  <c r="I947" i="61"/>
  <c r="G24" i="61"/>
  <c r="H61" i="61"/>
  <c r="I172" i="61"/>
  <c r="E178" i="61"/>
  <c r="H214" i="61"/>
  <c r="E232" i="61"/>
  <c r="E450" i="61"/>
  <c r="E478" i="61"/>
  <c r="E548" i="61"/>
  <c r="H584" i="61"/>
  <c r="E608" i="61"/>
  <c r="D207" i="56"/>
  <c r="E945" i="61"/>
  <c r="H27" i="61"/>
  <c r="E27" i="61" s="1"/>
  <c r="E72" i="61"/>
  <c r="H151" i="61"/>
  <c r="E173" i="61"/>
  <c r="E256" i="61"/>
  <c r="E381" i="61"/>
  <c r="H396" i="61"/>
  <c r="E429" i="61"/>
  <c r="E520" i="61"/>
  <c r="E660" i="61"/>
  <c r="F793" i="61"/>
  <c r="F863" i="61"/>
  <c r="E863" i="61" s="1"/>
  <c r="D232" i="56"/>
  <c r="M892" i="61"/>
  <c r="E949" i="61"/>
  <c r="E67" i="61"/>
  <c r="E37" i="61"/>
  <c r="E117" i="61"/>
  <c r="E162" i="61"/>
  <c r="E220" i="61"/>
  <c r="E312" i="61"/>
  <c r="E365" i="61"/>
  <c r="D142" i="56"/>
  <c r="E376" i="61"/>
  <c r="I396" i="61"/>
  <c r="E401" i="61"/>
  <c r="E485" i="61"/>
  <c r="E593" i="61"/>
  <c r="E601" i="61"/>
  <c r="E611" i="61"/>
  <c r="E835" i="61"/>
  <c r="E853" i="61"/>
  <c r="E957" i="61"/>
  <c r="I24" i="61"/>
  <c r="F428" i="61"/>
  <c r="F25" i="61"/>
  <c r="H25" i="61"/>
  <c r="F20" i="61"/>
  <c r="H889" i="61"/>
  <c r="F22" i="61"/>
  <c r="F887" i="61"/>
  <c r="F418" i="61" s="1"/>
  <c r="E594" i="61"/>
  <c r="E884" i="61"/>
  <c r="I583" i="61"/>
  <c r="I584" i="61"/>
  <c r="H425" i="61"/>
  <c r="G562" i="61"/>
  <c r="G576" i="61"/>
  <c r="H20" i="61"/>
  <c r="H428" i="61"/>
  <c r="F423" i="61"/>
  <c r="E564" i="61"/>
  <c r="I562" i="61"/>
  <c r="F21" i="61"/>
  <c r="E568" i="61"/>
  <c r="E888" i="61"/>
  <c r="E577" i="61"/>
  <c r="E889" i="61"/>
  <c r="E590" i="61"/>
  <c r="E565" i="61"/>
  <c r="E579" i="61"/>
  <c r="I585" i="61"/>
  <c r="E563" i="61"/>
  <c r="H562" i="61"/>
  <c r="E566" i="61"/>
  <c r="G64" i="61"/>
  <c r="G29" i="61" s="1"/>
  <c r="F140" i="61"/>
  <c r="G137" i="61"/>
  <c r="E942" i="61"/>
  <c r="F141" i="61"/>
  <c r="E141" i="61" s="1"/>
  <c r="G65" i="61"/>
  <c r="I207" i="61"/>
  <c r="G502" i="61"/>
  <c r="G426" i="61"/>
  <c r="E941" i="61"/>
  <c r="E580" i="61"/>
  <c r="H576" i="61"/>
  <c r="H426" i="61"/>
  <c r="H419" i="61" s="1"/>
  <c r="H9" i="61" s="1"/>
  <c r="H23" i="61"/>
  <c r="G66" i="61"/>
  <c r="G31" i="61" s="1"/>
  <c r="F143" i="61"/>
  <c r="G30" i="61"/>
  <c r="I842" i="61"/>
  <c r="H849" i="61"/>
  <c r="E854" i="61"/>
  <c r="H847" i="61"/>
  <c r="H842" i="61" s="1"/>
  <c r="E936" i="61"/>
  <c r="H22" i="61"/>
  <c r="H933" i="61"/>
  <c r="E933" i="61" s="1"/>
  <c r="H908" i="61"/>
  <c r="H905" i="61" s="1"/>
  <c r="H492" i="61"/>
  <c r="E492" i="61" s="1"/>
  <c r="H424" i="61"/>
  <c r="H21" i="61"/>
  <c r="H793" i="61"/>
  <c r="H585" i="61"/>
  <c r="E516" i="61"/>
  <c r="I515" i="61"/>
  <c r="F943" i="61"/>
  <c r="E943" i="61" s="1"/>
  <c r="E950" i="61"/>
  <c r="I727" i="61"/>
  <c r="I588" i="61"/>
  <c r="I32" i="61"/>
  <c r="E100" i="61"/>
  <c r="F123" i="61"/>
  <c r="E123" i="61" s="1"/>
  <c r="F221" i="61"/>
  <c r="E221" i="61" s="1"/>
  <c r="F421" i="61"/>
  <c r="H423" i="61"/>
  <c r="G428" i="61"/>
  <c r="E517" i="61"/>
  <c r="F534" i="61"/>
  <c r="E534" i="61" s="1"/>
  <c r="E605" i="61"/>
  <c r="H625" i="61"/>
  <c r="E625" i="61" s="1"/>
  <c r="E713" i="61"/>
  <c r="E795" i="61"/>
  <c r="E802" i="61"/>
  <c r="I849" i="61"/>
  <c r="E849" i="61" s="1"/>
  <c r="H688" i="61"/>
  <c r="E688" i="61" s="1"/>
  <c r="G28" i="61"/>
  <c r="I30" i="61"/>
  <c r="F33" i="61"/>
  <c r="E39" i="61"/>
  <c r="F82" i="61"/>
  <c r="E82" i="61" s="1"/>
  <c r="F89" i="61"/>
  <c r="E89" i="61" s="1"/>
  <c r="G153" i="61"/>
  <c r="H209" i="61"/>
  <c r="G214" i="61"/>
  <c r="E364" i="61"/>
  <c r="E361" i="61" s="1"/>
  <c r="F396" i="61"/>
  <c r="E578" i="61"/>
  <c r="E582" i="61"/>
  <c r="E606" i="61"/>
  <c r="E759" i="61"/>
  <c r="E843" i="61"/>
  <c r="E906" i="61"/>
  <c r="F947" i="61"/>
  <c r="E952" i="61"/>
  <c r="G396" i="61"/>
  <c r="G33" i="61"/>
  <c r="I28" i="61"/>
  <c r="E28" i="61" s="1"/>
  <c r="H33" i="61"/>
  <c r="E36" i="61"/>
  <c r="F193" i="61"/>
  <c r="E193" i="61" s="1"/>
  <c r="I214" i="61"/>
  <c r="F217" i="61"/>
  <c r="F235" i="61"/>
  <c r="E235" i="61" s="1"/>
  <c r="F562" i="61"/>
  <c r="F587" i="61"/>
  <c r="F419" i="61" s="1"/>
  <c r="H653" i="61"/>
  <c r="E653" i="61" s="1"/>
  <c r="F814" i="61"/>
  <c r="H947" i="61"/>
  <c r="H436" i="61"/>
  <c r="H814" i="61"/>
  <c r="E34" i="61"/>
  <c r="F172" i="61"/>
  <c r="F215" i="61"/>
  <c r="E223" i="61"/>
  <c r="E295" i="61"/>
  <c r="F375" i="61"/>
  <c r="H429" i="61"/>
  <c r="E867" i="61"/>
  <c r="E882" i="61"/>
  <c r="E948" i="61"/>
  <c r="I61" i="61"/>
  <c r="I767" i="61"/>
  <c r="I766" i="61" s="1"/>
  <c r="E844" i="61"/>
  <c r="E907" i="61"/>
  <c r="E953" i="61"/>
  <c r="E218" i="61"/>
  <c r="E494" i="61"/>
  <c r="F860" i="61"/>
  <c r="E860" i="61" s="1"/>
  <c r="I576" i="61"/>
  <c r="H18" i="61" l="1"/>
  <c r="H583" i="61"/>
  <c r="E375" i="61"/>
  <c r="E421" i="61"/>
  <c r="I11" i="61"/>
  <c r="E905" i="61"/>
  <c r="H940" i="61"/>
  <c r="G757" i="61"/>
  <c r="E757" i="61" s="1"/>
  <c r="G207" i="61"/>
  <c r="F417" i="61"/>
  <c r="F7" i="61" s="1"/>
  <c r="H26" i="61"/>
  <c r="H207" i="61"/>
  <c r="F420" i="61"/>
  <c r="D97" i="56"/>
  <c r="D197" i="56"/>
  <c r="E213" i="61"/>
  <c r="E814" i="61"/>
  <c r="E793" i="61"/>
  <c r="D227" i="56"/>
  <c r="D189" i="56"/>
  <c r="E24" i="61"/>
  <c r="D187" i="56"/>
  <c r="G192" i="56"/>
  <c r="E216" i="61"/>
  <c r="E767" i="61"/>
  <c r="E212" i="61"/>
  <c r="E842" i="61"/>
  <c r="F422" i="61"/>
  <c r="E846" i="61"/>
  <c r="E172" i="61"/>
  <c r="O17" i="61"/>
  <c r="E396" i="61"/>
  <c r="F416" i="61"/>
  <c r="F415" i="61" s="1"/>
  <c r="F19" i="61"/>
  <c r="H19" i="61"/>
  <c r="E562" i="61"/>
  <c r="E576" i="61"/>
  <c r="E32" i="61"/>
  <c r="F65" i="61"/>
  <c r="G61" i="61"/>
  <c r="F208" i="61"/>
  <c r="E215" i="61"/>
  <c r="F214" i="61"/>
  <c r="E214" i="61" s="1"/>
  <c r="F210" i="61"/>
  <c r="E210" i="61" s="1"/>
  <c r="E217" i="61"/>
  <c r="F66" i="61"/>
  <c r="E143" i="61"/>
  <c r="F940" i="61"/>
  <c r="E33" i="61"/>
  <c r="E766" i="61"/>
  <c r="I765" i="61"/>
  <c r="E765" i="61" s="1"/>
  <c r="H417" i="61"/>
  <c r="H7" i="61" s="1"/>
  <c r="H14" i="61" s="1"/>
  <c r="H418" i="61"/>
  <c r="H8" i="61" s="1"/>
  <c r="H15" i="61" s="1"/>
  <c r="E515" i="61"/>
  <c r="I514" i="61"/>
  <c r="G26" i="61"/>
  <c r="E908" i="61"/>
  <c r="G501" i="61"/>
  <c r="G425" i="61"/>
  <c r="F856" i="61"/>
  <c r="E856" i="61" s="1"/>
  <c r="H422" i="61"/>
  <c r="H416" i="61"/>
  <c r="F137" i="61"/>
  <c r="E137" i="61" s="1"/>
  <c r="F64" i="61"/>
  <c r="E140" i="61"/>
  <c r="I587" i="61"/>
  <c r="I726" i="61"/>
  <c r="I26" i="61"/>
  <c r="E209" i="61"/>
  <c r="F11" i="61"/>
  <c r="N58" i="61"/>
  <c r="O14" i="61"/>
  <c r="H16" i="61"/>
  <c r="E847" i="61"/>
  <c r="H420" i="61"/>
  <c r="H10" i="61" s="1"/>
  <c r="H17" i="61" s="1"/>
  <c r="F583" i="61"/>
  <c r="E947" i="61"/>
  <c r="G151" i="61"/>
  <c r="E151" i="61" s="1"/>
  <c r="E153" i="61"/>
  <c r="E940" i="61" l="1"/>
  <c r="G755" i="61"/>
  <c r="I586" i="61"/>
  <c r="I725" i="61"/>
  <c r="I724" i="61" s="1"/>
  <c r="I723" i="61" s="1"/>
  <c r="G500" i="61"/>
  <c r="G424" i="61"/>
  <c r="E208" i="61"/>
  <c r="F207" i="61"/>
  <c r="E207" i="61" s="1"/>
  <c r="F6" i="61"/>
  <c r="E64" i="61"/>
  <c r="F61" i="61"/>
  <c r="E61" i="61" s="1"/>
  <c r="F29" i="61"/>
  <c r="E755" i="61"/>
  <c r="G754" i="61"/>
  <c r="E514" i="61"/>
  <c r="I513" i="61"/>
  <c r="H415" i="61"/>
  <c r="H6" i="61"/>
  <c r="E66" i="61"/>
  <c r="F31" i="61"/>
  <c r="E65" i="61"/>
  <c r="F30" i="61"/>
  <c r="F14" i="61"/>
  <c r="E11" i="61"/>
  <c r="F18" i="61"/>
  <c r="F10" i="61" l="1"/>
  <c r="E31" i="61"/>
  <c r="H13" i="61"/>
  <c r="H12" i="61" s="1"/>
  <c r="H5" i="61"/>
  <c r="E513" i="61"/>
  <c r="I512" i="61"/>
  <c r="G423" i="61"/>
  <c r="G499" i="61"/>
  <c r="G753" i="61"/>
  <c r="E754" i="61"/>
  <c r="F8" i="61"/>
  <c r="E29" i="61"/>
  <c r="F26" i="61"/>
  <c r="E26" i="61" s="1"/>
  <c r="E30" i="61"/>
  <c r="F9" i="61"/>
  <c r="F13" i="61"/>
  <c r="F5" i="61" l="1"/>
  <c r="E753" i="61"/>
  <c r="G752" i="61"/>
  <c r="F16" i="61"/>
  <c r="G422" i="61"/>
  <c r="E512" i="61"/>
  <c r="I510" i="61"/>
  <c r="F15" i="61"/>
  <c r="F17" i="61"/>
  <c r="F12" i="61" l="1"/>
  <c r="E752" i="61"/>
  <c r="G751" i="61"/>
  <c r="E510" i="61"/>
  <c r="I509" i="61"/>
  <c r="E509" i="61" l="1"/>
  <c r="I508" i="61"/>
  <c r="G750" i="61"/>
  <c r="E751" i="61"/>
  <c r="E750" i="61" l="1"/>
  <c r="G748" i="61"/>
  <c r="E508" i="61"/>
  <c r="I507" i="61"/>
  <c r="E507" i="61" l="1"/>
  <c r="I506" i="61"/>
  <c r="E748" i="61"/>
  <c r="G747" i="61"/>
  <c r="E747" i="61" l="1"/>
  <c r="G746" i="61"/>
  <c r="I505" i="61"/>
  <c r="E506" i="61"/>
  <c r="E505" i="61" l="1"/>
  <c r="I503" i="61"/>
  <c r="I25" i="61"/>
  <c r="I18" i="61" s="1"/>
  <c r="I428" i="61"/>
  <c r="G745" i="61"/>
  <c r="E746" i="61"/>
  <c r="E745" i="61" l="1"/>
  <c r="G744" i="61"/>
  <c r="I420" i="61"/>
  <c r="I10" i="61" s="1"/>
  <c r="E428" i="61"/>
  <c r="I426" i="61"/>
  <c r="I23" i="61"/>
  <c r="I502" i="61"/>
  <c r="E503" i="61"/>
  <c r="I419" i="61" l="1"/>
  <c r="I9" i="61" s="1"/>
  <c r="E426" i="61"/>
  <c r="G743" i="61"/>
  <c r="E744" i="61"/>
  <c r="I425" i="61"/>
  <c r="I22" i="61"/>
  <c r="I501" i="61"/>
  <c r="E502" i="61"/>
  <c r="I418" i="61" l="1"/>
  <c r="I8" i="61" s="1"/>
  <c r="E425" i="61"/>
  <c r="G741" i="61"/>
  <c r="E743" i="61"/>
  <c r="I500" i="61"/>
  <c r="I424" i="61"/>
  <c r="I21" i="61"/>
  <c r="E501" i="61"/>
  <c r="I417" i="61" l="1"/>
  <c r="I7" i="61" s="1"/>
  <c r="E424" i="61"/>
  <c r="I499" i="61"/>
  <c r="E499" i="61" s="1"/>
  <c r="I423" i="61"/>
  <c r="I20" i="61"/>
  <c r="I19" i="61" s="1"/>
  <c r="E500" i="61"/>
  <c r="E741" i="61"/>
  <c r="G740" i="61"/>
  <c r="E740" i="61" l="1"/>
  <c r="G739" i="61"/>
  <c r="I422" i="61"/>
  <c r="E422" i="61" s="1"/>
  <c r="I416" i="61"/>
  <c r="E423" i="61"/>
  <c r="I415" i="61" l="1"/>
  <c r="I6" i="61"/>
  <c r="I5" i="61" s="1"/>
  <c r="E739" i="61"/>
  <c r="G738" i="61"/>
  <c r="G737" i="61" l="1"/>
  <c r="E738" i="61"/>
  <c r="E737" i="61" l="1"/>
  <c r="G736" i="61"/>
  <c r="E736" i="61" l="1"/>
  <c r="G734" i="61"/>
  <c r="G733" i="61" l="1"/>
  <c r="E734" i="61"/>
  <c r="E733" i="61" l="1"/>
  <c r="G732" i="61"/>
  <c r="E732" i="61" l="1"/>
  <c r="G731" i="61"/>
  <c r="E731" i="61" l="1"/>
  <c r="G730" i="61"/>
  <c r="E730" i="61" l="1"/>
  <c r="G729" i="61"/>
  <c r="G25" i="61" l="1"/>
  <c r="G588" i="61"/>
  <c r="E729" i="61"/>
  <c r="G727" i="61"/>
  <c r="E727" i="61" l="1"/>
  <c r="G587" i="61"/>
  <c r="G726" i="61"/>
  <c r="G23" i="61"/>
  <c r="E23" i="61" s="1"/>
  <c r="G420" i="61"/>
  <c r="E588" i="61"/>
  <c r="E25" i="61"/>
  <c r="G18" i="61"/>
  <c r="E18" i="61" s="1"/>
  <c r="E420" i="61" l="1"/>
  <c r="G10" i="61"/>
  <c r="G725" i="61"/>
  <c r="E726" i="61"/>
  <c r="G586" i="61"/>
  <c r="G22" i="61"/>
  <c r="E22" i="61" s="1"/>
  <c r="E587" i="61"/>
  <c r="G419" i="61"/>
  <c r="E419" i="61" l="1"/>
  <c r="G9" i="61"/>
  <c r="E725" i="61"/>
  <c r="G724" i="61"/>
  <c r="G585" i="61"/>
  <c r="G21" i="61"/>
  <c r="E21" i="61" s="1"/>
  <c r="E586" i="61"/>
  <c r="G418" i="61"/>
  <c r="G17" i="61"/>
  <c r="E17" i="61" s="1"/>
  <c r="E10" i="61"/>
  <c r="E418" i="61" l="1"/>
  <c r="G8" i="61"/>
  <c r="E724" i="61"/>
  <c r="G723" i="61"/>
  <c r="E723" i="61" s="1"/>
  <c r="G584" i="61"/>
  <c r="G20" i="61"/>
  <c r="G16" i="61"/>
  <c r="E9" i="61"/>
  <c r="E585" i="61"/>
  <c r="G417" i="61"/>
  <c r="G19" i="61" l="1"/>
  <c r="E19" i="61" s="1"/>
  <c r="E20" i="61"/>
  <c r="G583" i="61"/>
  <c r="E583" i="61" s="1"/>
  <c r="E584" i="61"/>
  <c r="G416" i="61"/>
  <c r="E417" i="61"/>
  <c r="G7" i="61"/>
  <c r="E16" i="61"/>
  <c r="M17" i="61"/>
  <c r="M18" i="61" s="1"/>
  <c r="G15" i="61"/>
  <c r="E15" i="61" s="1"/>
  <c r="E8" i="61"/>
  <c r="G14" i="61" l="1"/>
  <c r="E14" i="61" s="1"/>
  <c r="E7" i="61"/>
  <c r="G415" i="61"/>
  <c r="E415" i="61" s="1"/>
  <c r="G6" i="61"/>
  <c r="E416" i="61"/>
  <c r="G5" i="61" l="1"/>
  <c r="E5" i="61" s="1"/>
  <c r="G13" i="61"/>
  <c r="E6" i="61"/>
  <c r="G12" i="61" l="1"/>
  <c r="E12" i="61" s="1"/>
  <c r="M5" i="61" s="1"/>
  <c r="E13" i="61"/>
  <c r="G207" i="56" l="1"/>
  <c r="G208" i="56"/>
  <c r="G209" i="56"/>
  <c r="G210" i="56"/>
  <c r="D206" i="56" l="1"/>
  <c r="G206" i="56" s="1"/>
  <c r="F222" i="56" l="1"/>
  <c r="F223" i="56"/>
  <c r="F287" i="56" l="1"/>
  <c r="F267" i="56" l="1"/>
  <c r="G290" i="56" l="1"/>
  <c r="G289" i="56"/>
  <c r="G288" i="56"/>
  <c r="D287" i="56"/>
  <c r="G287" i="56" s="1"/>
  <c r="F286" i="56"/>
  <c r="E286" i="56"/>
  <c r="G285" i="56"/>
  <c r="J284" i="56"/>
  <c r="J279" i="56" s="1"/>
  <c r="G284" i="56"/>
  <c r="J283" i="56"/>
  <c r="J278" i="56" s="1"/>
  <c r="G283" i="56"/>
  <c r="J282" i="56"/>
  <c r="J277" i="56" s="1"/>
  <c r="F282" i="56"/>
  <c r="F277" i="56" s="1"/>
  <c r="F276" i="56" s="1"/>
  <c r="E282" i="56"/>
  <c r="E277" i="56" s="1"/>
  <c r="E276" i="56" s="1"/>
  <c r="G280" i="56"/>
  <c r="G279" i="56"/>
  <c r="G278" i="56"/>
  <c r="G275" i="56"/>
  <c r="E271" i="56"/>
  <c r="D274" i="56"/>
  <c r="G273" i="56"/>
  <c r="D272" i="56"/>
  <c r="G270" i="56"/>
  <c r="G269" i="56"/>
  <c r="G268" i="56"/>
  <c r="E262" i="56"/>
  <c r="D267" i="56"/>
  <c r="F266" i="56"/>
  <c r="E266" i="56"/>
  <c r="F265" i="56"/>
  <c r="G265" i="56" s="1"/>
  <c r="E265" i="56"/>
  <c r="E250" i="56" s="1"/>
  <c r="J264" i="56"/>
  <c r="J263" i="56"/>
  <c r="E263" i="56"/>
  <c r="D263" i="56"/>
  <c r="J262" i="56"/>
  <c r="G260" i="56"/>
  <c r="F259" i="56"/>
  <c r="D259" i="56"/>
  <c r="F258" i="56"/>
  <c r="G258" i="56" s="1"/>
  <c r="E257" i="56"/>
  <c r="F257" i="56" s="1"/>
  <c r="D257" i="56"/>
  <c r="G255" i="56"/>
  <c r="D254" i="56"/>
  <c r="G253" i="56"/>
  <c r="F252" i="56"/>
  <c r="E252" i="56"/>
  <c r="D252" i="56"/>
  <c r="D250" i="56"/>
  <c r="J249" i="56"/>
  <c r="E248" i="56"/>
  <c r="D248" i="56"/>
  <c r="J247" i="56"/>
  <c r="G240" i="56"/>
  <c r="G239" i="56"/>
  <c r="G238" i="56"/>
  <c r="F237" i="56"/>
  <c r="E237" i="56"/>
  <c r="D236" i="56"/>
  <c r="G235" i="56"/>
  <c r="G234" i="56"/>
  <c r="G233" i="56"/>
  <c r="F231" i="56"/>
  <c r="E231" i="56"/>
  <c r="F230" i="56"/>
  <c r="E230" i="56"/>
  <c r="D230" i="56"/>
  <c r="J229" i="56"/>
  <c r="J184" i="56" s="1"/>
  <c r="F229" i="56"/>
  <c r="E229" i="56"/>
  <c r="D229" i="56"/>
  <c r="J228" i="56"/>
  <c r="J183" i="56" s="1"/>
  <c r="F228" i="56"/>
  <c r="E228" i="56"/>
  <c r="J227" i="56"/>
  <c r="G225" i="56"/>
  <c r="G224" i="56"/>
  <c r="D218" i="56"/>
  <c r="D221" i="56"/>
  <c r="F220" i="56"/>
  <c r="G220" i="56" s="1"/>
  <c r="J219" i="56"/>
  <c r="E219" i="56"/>
  <c r="F219" i="56" s="1"/>
  <c r="G219" i="56" s="1"/>
  <c r="E218" i="56"/>
  <c r="F218" i="56" s="1"/>
  <c r="J217" i="56"/>
  <c r="G215" i="56"/>
  <c r="G214" i="56"/>
  <c r="G213" i="56"/>
  <c r="E212" i="56"/>
  <c r="D211" i="56"/>
  <c r="G205" i="56"/>
  <c r="G204" i="56"/>
  <c r="G203" i="56"/>
  <c r="F200" i="56"/>
  <c r="G200" i="56" s="1"/>
  <c r="F199" i="56"/>
  <c r="G199" i="56" s="1"/>
  <c r="J198" i="56"/>
  <c r="J196" i="56" s="1"/>
  <c r="F198" i="56"/>
  <c r="G198" i="56" s="1"/>
  <c r="K196" i="56"/>
  <c r="F195" i="56"/>
  <c r="F20" i="56" s="1"/>
  <c r="F194" i="56"/>
  <c r="F193" i="56"/>
  <c r="F18" i="56" s="1"/>
  <c r="E191" i="56"/>
  <c r="D191" i="56"/>
  <c r="F190" i="56"/>
  <c r="G190" i="56" s="1"/>
  <c r="F189" i="56"/>
  <c r="G189" i="56" s="1"/>
  <c r="F188" i="56"/>
  <c r="G188" i="56" s="1"/>
  <c r="G180" i="56"/>
  <c r="G179" i="56"/>
  <c r="F178" i="56"/>
  <c r="F177" i="56"/>
  <c r="G175" i="56"/>
  <c r="G174" i="56"/>
  <c r="F173" i="56"/>
  <c r="F172" i="56"/>
  <c r="G170" i="56"/>
  <c r="J169" i="56"/>
  <c r="E169" i="56"/>
  <c r="F169" i="56" s="1"/>
  <c r="D169" i="56"/>
  <c r="J168" i="56"/>
  <c r="J167" i="56"/>
  <c r="E167" i="56"/>
  <c r="F167" i="56" s="1"/>
  <c r="G165" i="56"/>
  <c r="G164" i="56"/>
  <c r="G163" i="56"/>
  <c r="F162" i="56"/>
  <c r="E161" i="56"/>
  <c r="G160" i="56"/>
  <c r="G159" i="56"/>
  <c r="G158" i="56"/>
  <c r="F157" i="56"/>
  <c r="E152" i="56"/>
  <c r="E156" i="56"/>
  <c r="J155" i="56"/>
  <c r="G155" i="56"/>
  <c r="E154" i="56"/>
  <c r="F154" i="56" s="1"/>
  <c r="E153" i="56"/>
  <c r="D153" i="56"/>
  <c r="G150" i="56"/>
  <c r="G149" i="56"/>
  <c r="G148" i="56"/>
  <c r="F147" i="56"/>
  <c r="F146" i="56" s="1"/>
  <c r="D146" i="56"/>
  <c r="E146" i="56"/>
  <c r="G145" i="56"/>
  <c r="G144" i="56"/>
  <c r="G143" i="56"/>
  <c r="F142" i="56"/>
  <c r="F141" i="56" s="1"/>
  <c r="D141" i="56"/>
  <c r="E141" i="56"/>
  <c r="G140" i="56"/>
  <c r="G139" i="56"/>
  <c r="G138" i="56"/>
  <c r="E136" i="56"/>
  <c r="D136" i="56"/>
  <c r="G135" i="56"/>
  <c r="G134" i="56"/>
  <c r="G133" i="56"/>
  <c r="F132" i="56"/>
  <c r="D131" i="56"/>
  <c r="G125" i="56"/>
  <c r="G124" i="56"/>
  <c r="G123" i="56"/>
  <c r="F122" i="56"/>
  <c r="E121" i="56"/>
  <c r="D121" i="56"/>
  <c r="G120" i="56"/>
  <c r="G119" i="56"/>
  <c r="G118" i="56"/>
  <c r="F117" i="56"/>
  <c r="D116" i="56"/>
  <c r="E116" i="56"/>
  <c r="G115" i="56"/>
  <c r="G114" i="56"/>
  <c r="G113" i="56"/>
  <c r="F112" i="56"/>
  <c r="D111" i="56"/>
  <c r="G110" i="56"/>
  <c r="G109" i="56"/>
  <c r="G108" i="56"/>
  <c r="F107" i="56"/>
  <c r="D106" i="56"/>
  <c r="G105" i="56"/>
  <c r="G104" i="56"/>
  <c r="G103" i="56"/>
  <c r="F102" i="56"/>
  <c r="G100" i="56"/>
  <c r="J99" i="56"/>
  <c r="G99" i="56"/>
  <c r="J98" i="56"/>
  <c r="J93" i="56" s="1"/>
  <c r="G98" i="56"/>
  <c r="J97" i="56"/>
  <c r="F95" i="56"/>
  <c r="E95" i="56"/>
  <c r="E15" i="56" s="1"/>
  <c r="G90" i="56"/>
  <c r="G89" i="56"/>
  <c r="G88" i="56"/>
  <c r="F87" i="56"/>
  <c r="D86" i="56"/>
  <c r="G85" i="56"/>
  <c r="G84" i="56"/>
  <c r="G83" i="56"/>
  <c r="D81" i="56"/>
  <c r="H81" i="56"/>
  <c r="E80" i="56"/>
  <c r="F80" i="56" s="1"/>
  <c r="G80" i="56" s="1"/>
  <c r="J79" i="56"/>
  <c r="E79" i="56"/>
  <c r="F79" i="56" s="1"/>
  <c r="G79" i="56" s="1"/>
  <c r="J78" i="56"/>
  <c r="E78" i="56"/>
  <c r="F78" i="56" s="1"/>
  <c r="G78" i="56" s="1"/>
  <c r="J77" i="56"/>
  <c r="D76" i="56"/>
  <c r="G75" i="56"/>
  <c r="G74" i="56"/>
  <c r="G73" i="56"/>
  <c r="E72" i="56"/>
  <c r="E71" i="56" s="1"/>
  <c r="D71" i="56"/>
  <c r="G70" i="56"/>
  <c r="G69" i="56"/>
  <c r="G68" i="56"/>
  <c r="F67" i="56"/>
  <c r="E66" i="56"/>
  <c r="G65" i="56"/>
  <c r="G64" i="56"/>
  <c r="G63" i="56"/>
  <c r="F62" i="56"/>
  <c r="E61" i="56"/>
  <c r="G60" i="56"/>
  <c r="G59" i="56"/>
  <c r="G58" i="56"/>
  <c r="E57" i="56"/>
  <c r="F57" i="56" s="1"/>
  <c r="D56" i="56"/>
  <c r="G55" i="56"/>
  <c r="G54" i="56"/>
  <c r="G53" i="56"/>
  <c r="F52" i="56"/>
  <c r="D51" i="56"/>
  <c r="E51" i="56"/>
  <c r="G50" i="56"/>
  <c r="G49" i="56"/>
  <c r="G48" i="56"/>
  <c r="F47" i="56"/>
  <c r="E46" i="56"/>
  <c r="D46" i="56"/>
  <c r="G45" i="56"/>
  <c r="G44" i="56"/>
  <c r="G43" i="56"/>
  <c r="E42" i="56"/>
  <c r="F42" i="56" s="1"/>
  <c r="D41" i="56"/>
  <c r="G40" i="56"/>
  <c r="G39" i="56"/>
  <c r="G38" i="56"/>
  <c r="F37" i="56"/>
  <c r="D36" i="56"/>
  <c r="E36" i="56"/>
  <c r="G35" i="56"/>
  <c r="G34" i="56"/>
  <c r="G33" i="56"/>
  <c r="F32" i="56"/>
  <c r="E31" i="56"/>
  <c r="D31" i="56"/>
  <c r="E30" i="56"/>
  <c r="F30" i="56" s="1"/>
  <c r="G30" i="56" s="1"/>
  <c r="J29" i="56"/>
  <c r="E29" i="56"/>
  <c r="J28" i="56"/>
  <c r="E28" i="56"/>
  <c r="D28" i="56"/>
  <c r="J27" i="56"/>
  <c r="G25" i="56"/>
  <c r="D24" i="56"/>
  <c r="K16" i="56"/>
  <c r="J182" i="56" l="1"/>
  <c r="J92" i="56"/>
  <c r="J94" i="56"/>
  <c r="E17" i="56"/>
  <c r="E16" i="56" s="1"/>
  <c r="J22" i="56"/>
  <c r="D17" i="56"/>
  <c r="F17" i="56"/>
  <c r="D19" i="56"/>
  <c r="F19" i="56"/>
  <c r="E183" i="56"/>
  <c r="F183" i="56" s="1"/>
  <c r="E236" i="56"/>
  <c r="G195" i="56"/>
  <c r="G20" i="56"/>
  <c r="F236" i="56"/>
  <c r="G236" i="56" s="1"/>
  <c r="G95" i="56"/>
  <c r="F15" i="56"/>
  <c r="G15" i="56" s="1"/>
  <c r="E211" i="56"/>
  <c r="G272" i="56"/>
  <c r="D264" i="56"/>
  <c r="G194" i="56"/>
  <c r="G193" i="56"/>
  <c r="J23" i="56"/>
  <c r="F251" i="56"/>
  <c r="G229" i="56"/>
  <c r="D152" i="56"/>
  <c r="G230" i="56"/>
  <c r="F227" i="56"/>
  <c r="F226" i="56" s="1"/>
  <c r="G18" i="56"/>
  <c r="J226" i="56"/>
  <c r="J230" i="56" s="1"/>
  <c r="D201" i="56"/>
  <c r="G201" i="56" s="1"/>
  <c r="D196" i="56"/>
  <c r="E23" i="56"/>
  <c r="F23" i="56" s="1"/>
  <c r="G23" i="56" s="1"/>
  <c r="D185" i="56"/>
  <c r="D171" i="56"/>
  <c r="F250" i="56"/>
  <c r="G250" i="56" s="1"/>
  <c r="F191" i="56"/>
  <c r="G191" i="56" s="1"/>
  <c r="E247" i="56"/>
  <c r="E246" i="56" s="1"/>
  <c r="G177" i="56"/>
  <c r="D228" i="56"/>
  <c r="G228" i="56" s="1"/>
  <c r="E24" i="56"/>
  <c r="F24" i="56" s="1"/>
  <c r="G24" i="56" s="1"/>
  <c r="D231" i="56"/>
  <c r="G231" i="56" s="1"/>
  <c r="G32" i="56"/>
  <c r="G202" i="56"/>
  <c r="D247" i="56"/>
  <c r="G157" i="56"/>
  <c r="G169" i="56"/>
  <c r="D256" i="56"/>
  <c r="D262" i="56"/>
  <c r="G162" i="56"/>
  <c r="G223" i="56"/>
  <c r="G117" i="56"/>
  <c r="G173" i="56"/>
  <c r="E27" i="56"/>
  <c r="E26" i="56" s="1"/>
  <c r="F26" i="56" s="1"/>
  <c r="G62" i="56"/>
  <c r="E77" i="56"/>
  <c r="F77" i="56" s="1"/>
  <c r="E227" i="56"/>
  <c r="E251" i="56"/>
  <c r="J96" i="56"/>
  <c r="J100" i="56" s="1"/>
  <c r="G237" i="56"/>
  <c r="D66" i="56"/>
  <c r="E86" i="56"/>
  <c r="D29" i="56"/>
  <c r="D249" i="56"/>
  <c r="G249" i="56" s="1"/>
  <c r="J24" i="56"/>
  <c r="G218" i="56"/>
  <c r="J76" i="56"/>
  <c r="J80" i="56" s="1"/>
  <c r="D96" i="56"/>
  <c r="J246" i="56"/>
  <c r="J250" i="56" s="1"/>
  <c r="F263" i="56"/>
  <c r="G263" i="56" s="1"/>
  <c r="J261" i="56"/>
  <c r="J265" i="56" s="1"/>
  <c r="D61" i="56"/>
  <c r="G102" i="56"/>
  <c r="J216" i="56"/>
  <c r="J220" i="56" s="1"/>
  <c r="E264" i="56"/>
  <c r="E184" i="56" s="1"/>
  <c r="F184" i="56" s="1"/>
  <c r="G42" i="56"/>
  <c r="F41" i="56"/>
  <c r="G41" i="56" s="1"/>
  <c r="E41" i="56"/>
  <c r="D251" i="56"/>
  <c r="G141" i="56"/>
  <c r="G178" i="56"/>
  <c r="F212" i="56"/>
  <c r="D161" i="56"/>
  <c r="G252" i="56"/>
  <c r="G259" i="56"/>
  <c r="F72" i="56"/>
  <c r="G72" i="56" s="1"/>
  <c r="G87" i="56"/>
  <c r="D168" i="56"/>
  <c r="D93" i="56" s="1"/>
  <c r="G122" i="56"/>
  <c r="D156" i="56"/>
  <c r="G146" i="56"/>
  <c r="G67" i="56"/>
  <c r="D271" i="56"/>
  <c r="D176" i="56"/>
  <c r="G147" i="56"/>
  <c r="F121" i="56"/>
  <c r="G121" i="56" s="1"/>
  <c r="G112" i="56"/>
  <c r="F111" i="56"/>
  <c r="G111" i="56" s="1"/>
  <c r="F94" i="56"/>
  <c r="F51" i="56"/>
  <c r="G51" i="56" s="1"/>
  <c r="G52" i="56"/>
  <c r="G107" i="56"/>
  <c r="F106" i="56"/>
  <c r="G106" i="56" s="1"/>
  <c r="G172" i="56"/>
  <c r="F171" i="56"/>
  <c r="F36" i="56"/>
  <c r="G36" i="56" s="1"/>
  <c r="G37" i="56"/>
  <c r="G257" i="56"/>
  <c r="F247" i="56"/>
  <c r="F256" i="56"/>
  <c r="G222" i="56"/>
  <c r="F56" i="56"/>
  <c r="G56" i="56" s="1"/>
  <c r="G57" i="56"/>
  <c r="F46" i="56"/>
  <c r="G46" i="56" s="1"/>
  <c r="G47" i="56"/>
  <c r="J18" i="56"/>
  <c r="G132" i="56"/>
  <c r="F131" i="56"/>
  <c r="G131" i="56" s="1"/>
  <c r="E151" i="56"/>
  <c r="F152" i="56"/>
  <c r="F264" i="56"/>
  <c r="G274" i="56"/>
  <c r="E92" i="56"/>
  <c r="E96" i="56"/>
  <c r="F31" i="56"/>
  <c r="G31" i="56" s="1"/>
  <c r="E131" i="56"/>
  <c r="E168" i="56"/>
  <c r="F168" i="56" s="1"/>
  <c r="E171" i="56"/>
  <c r="J200" i="56"/>
  <c r="D217" i="56"/>
  <c r="D216" i="56" s="1"/>
  <c r="G232" i="56"/>
  <c r="G267" i="56"/>
  <c r="E281" i="56"/>
  <c r="F28" i="56"/>
  <c r="G28" i="56" s="1"/>
  <c r="E217" i="56"/>
  <c r="G254" i="56"/>
  <c r="F262" i="56"/>
  <c r="F281" i="56"/>
  <c r="J26" i="56"/>
  <c r="J21" i="56" s="1"/>
  <c r="E81" i="56"/>
  <c r="E176" i="56"/>
  <c r="E186" i="56"/>
  <c r="D27" i="56"/>
  <c r="D22" i="56" s="1"/>
  <c r="F29" i="56"/>
  <c r="F86" i="56"/>
  <c r="G86" i="56" s="1"/>
  <c r="E111" i="56"/>
  <c r="F116" i="56"/>
  <c r="G116" i="56" s="1"/>
  <c r="F156" i="56"/>
  <c r="F161" i="56"/>
  <c r="F176" i="56"/>
  <c r="J281" i="56"/>
  <c r="J276" i="56" s="1"/>
  <c r="J280" i="56" s="1"/>
  <c r="D286" i="56"/>
  <c r="G286" i="56" s="1"/>
  <c r="E94" i="56"/>
  <c r="D101" i="56"/>
  <c r="E106" i="56"/>
  <c r="F137" i="56"/>
  <c r="F97" i="56" s="1"/>
  <c r="G142" i="56"/>
  <c r="E256" i="56"/>
  <c r="D282" i="56"/>
  <c r="G282" i="56" s="1"/>
  <c r="E101" i="56"/>
  <c r="F153" i="56"/>
  <c r="J166" i="56"/>
  <c r="J170" i="56" s="1"/>
  <c r="E56" i="56"/>
  <c r="F61" i="56"/>
  <c r="F66" i="56"/>
  <c r="F101" i="56"/>
  <c r="D167" i="56"/>
  <c r="E221" i="56"/>
  <c r="F221" i="56" s="1"/>
  <c r="G221" i="56" s="1"/>
  <c r="D266" i="56"/>
  <c r="G266" i="56" s="1"/>
  <c r="F271" i="56"/>
  <c r="D154" i="56"/>
  <c r="F82" i="56"/>
  <c r="F187" i="56"/>
  <c r="F14" i="56" l="1"/>
  <c r="J1" i="56"/>
  <c r="J17" i="56"/>
  <c r="J7" i="56" s="1"/>
  <c r="D13" i="56"/>
  <c r="E182" i="56"/>
  <c r="G171" i="56"/>
  <c r="E226" i="56"/>
  <c r="G19" i="56"/>
  <c r="D1" i="56"/>
  <c r="G251" i="56"/>
  <c r="D261" i="56"/>
  <c r="G264" i="56"/>
  <c r="E14" i="56"/>
  <c r="D21" i="56"/>
  <c r="D16" i="56"/>
  <c r="D183" i="56"/>
  <c r="D8" i="56" s="1"/>
  <c r="J285" i="56"/>
  <c r="G61" i="56"/>
  <c r="G271" i="56"/>
  <c r="G29" i="56"/>
  <c r="F248" i="56"/>
  <c r="G248" i="56" s="1"/>
  <c r="F27" i="56"/>
  <c r="G27" i="56" s="1"/>
  <c r="G256" i="56"/>
  <c r="G156" i="56"/>
  <c r="G168" i="56"/>
  <c r="D246" i="56"/>
  <c r="D226" i="56"/>
  <c r="G226" i="56" s="1"/>
  <c r="D10" i="56"/>
  <c r="G10" i="56" s="1"/>
  <c r="G185" i="56"/>
  <c r="D184" i="56"/>
  <c r="G184" i="56" s="1"/>
  <c r="E22" i="56"/>
  <c r="E76" i="56"/>
  <c r="J181" i="56"/>
  <c r="J185" i="56" s="1"/>
  <c r="F9" i="65" s="1"/>
  <c r="G9" i="65" s="1"/>
  <c r="D26" i="56"/>
  <c r="G26" i="56" s="1"/>
  <c r="G176" i="56"/>
  <c r="E261" i="56"/>
  <c r="E9" i="56"/>
  <c r="F71" i="56"/>
  <c r="G71" i="56" s="1"/>
  <c r="G66" i="56"/>
  <c r="G212" i="56"/>
  <c r="F211" i="56"/>
  <c r="G211" i="56" s="1"/>
  <c r="G161" i="56"/>
  <c r="G227" i="56"/>
  <c r="D166" i="56"/>
  <c r="F197" i="56"/>
  <c r="F196" i="56" s="1"/>
  <c r="G196" i="56" s="1"/>
  <c r="E196" i="56"/>
  <c r="E166" i="56"/>
  <c r="F166" i="56"/>
  <c r="J30" i="56"/>
  <c r="G97" i="56"/>
  <c r="F92" i="56"/>
  <c r="F96" i="56"/>
  <c r="G96" i="56" s="1"/>
  <c r="D151" i="56"/>
  <c r="D94" i="56"/>
  <c r="G154" i="56"/>
  <c r="J91" i="56"/>
  <c r="J95" i="56" s="1"/>
  <c r="F8" i="65" s="1"/>
  <c r="E93" i="56"/>
  <c r="G153" i="56"/>
  <c r="F93" i="56"/>
  <c r="G17" i="56"/>
  <c r="F16" i="56"/>
  <c r="D182" i="56"/>
  <c r="D186" i="56"/>
  <c r="G167" i="56"/>
  <c r="J190" i="56"/>
  <c r="G247" i="56"/>
  <c r="D281" i="56"/>
  <c r="G281" i="56" s="1"/>
  <c r="D277" i="56"/>
  <c r="F151" i="56"/>
  <c r="G152" i="56"/>
  <c r="G101" i="56"/>
  <c r="G137" i="56"/>
  <c r="F136" i="56"/>
  <c r="G136" i="56" s="1"/>
  <c r="G187" i="56"/>
  <c r="F186" i="56"/>
  <c r="G77" i="56"/>
  <c r="F76" i="56"/>
  <c r="G76" i="56" s="1"/>
  <c r="E216" i="56"/>
  <c r="F217" i="56"/>
  <c r="G82" i="56"/>
  <c r="F81" i="56"/>
  <c r="G81" i="56" s="1"/>
  <c r="F261" i="56"/>
  <c r="G262" i="56"/>
  <c r="J25" i="56"/>
  <c r="F7" i="65" s="1"/>
  <c r="D92" i="56"/>
  <c r="D7" i="56" l="1"/>
  <c r="J16" i="56"/>
  <c r="J20" i="56" s="1"/>
  <c r="G261" i="56"/>
  <c r="E7" i="56"/>
  <c r="E12" i="56"/>
  <c r="E2" i="56" s="1"/>
  <c r="D12" i="56"/>
  <c r="G7" i="65"/>
  <c r="H7" i="65" s="1"/>
  <c r="I7" i="65"/>
  <c r="H9" i="65"/>
  <c r="I9" i="65"/>
  <c r="I8" i="65"/>
  <c r="G8" i="65"/>
  <c r="H8" i="65" s="1"/>
  <c r="G16" i="56"/>
  <c r="G93" i="56"/>
  <c r="F13" i="56"/>
  <c r="E91" i="56"/>
  <c r="E13" i="56"/>
  <c r="G94" i="56"/>
  <c r="D14" i="56"/>
  <c r="G14" i="56" s="1"/>
  <c r="F22" i="56"/>
  <c r="G183" i="56"/>
  <c r="F246" i="56"/>
  <c r="G246" i="56" s="1"/>
  <c r="D181" i="56"/>
  <c r="E21" i="56"/>
  <c r="G197" i="56"/>
  <c r="G166" i="56"/>
  <c r="G186" i="56"/>
  <c r="F182" i="56"/>
  <c r="E181" i="56"/>
  <c r="J13" i="56"/>
  <c r="J8" i="56" s="1"/>
  <c r="J14" i="56"/>
  <c r="J9" i="56" s="1"/>
  <c r="E8" i="56"/>
  <c r="F216" i="56"/>
  <c r="G216" i="56" s="1"/>
  <c r="G217" i="56"/>
  <c r="D91" i="56"/>
  <c r="G151" i="56"/>
  <c r="D9" i="56"/>
  <c r="D276" i="56"/>
  <c r="G276" i="56" s="1"/>
  <c r="G277" i="56"/>
  <c r="G92" i="56"/>
  <c r="F91" i="56"/>
  <c r="F12" i="56" l="1"/>
  <c r="F7" i="56"/>
  <c r="F21" i="56"/>
  <c r="G21" i="56" s="1"/>
  <c r="G13" i="56"/>
  <c r="G8" i="56"/>
  <c r="G22" i="56"/>
  <c r="G91" i="56"/>
  <c r="E6" i="56"/>
  <c r="E11" i="56"/>
  <c r="D11" i="56"/>
  <c r="G182" i="56"/>
  <c r="F181" i="56"/>
  <c r="G181" i="56" s="1"/>
  <c r="J11" i="56"/>
  <c r="J6" i="56" s="1"/>
  <c r="D6" i="56"/>
  <c r="F11" i="56"/>
  <c r="B1" i="56" s="1"/>
  <c r="G12" i="56"/>
  <c r="G11" i="56" l="1"/>
  <c r="J15" i="56"/>
  <c r="G7" i="56"/>
  <c r="J10" i="56"/>
  <c r="F6" i="65" s="1"/>
  <c r="G6" i="65" l="1"/>
  <c r="H6" i="65" s="1"/>
  <c r="I6" i="65"/>
  <c r="E46" i="3"/>
  <c r="E41" i="3"/>
  <c r="E242" i="3" l="1"/>
  <c r="D242" i="3"/>
  <c r="E181" i="3" l="1"/>
  <c r="J197" i="3"/>
  <c r="J213" i="3"/>
  <c r="J211" i="3"/>
  <c r="E213" i="3"/>
  <c r="E212" i="3"/>
  <c r="J243" i="3"/>
  <c r="J241" i="3"/>
  <c r="D253" i="3"/>
  <c r="J40" i="51" s="1"/>
  <c r="D268" i="3"/>
  <c r="D18" i="3" s="1"/>
  <c r="D266" i="3"/>
  <c r="D251" i="3"/>
  <c r="J38" i="51" s="1"/>
  <c r="J149" i="3"/>
  <c r="E116" i="3"/>
  <c r="E77" i="3"/>
  <c r="E78" i="3"/>
  <c r="E79" i="3"/>
  <c r="D281" i="3"/>
  <c r="E261" i="3"/>
  <c r="J195" i="3" l="1"/>
  <c r="J199" i="3" s="1"/>
  <c r="J212" i="3"/>
  <c r="D217" i="3"/>
  <c r="D212" i="3" s="1"/>
  <c r="F214" i="3"/>
  <c r="G214" i="3" s="1"/>
  <c r="F213" i="3"/>
  <c r="F212" i="3"/>
  <c r="G219" i="3"/>
  <c r="G218" i="3"/>
  <c r="E216" i="3"/>
  <c r="E206" i="3"/>
  <c r="D206" i="3"/>
  <c r="E172" i="3"/>
  <c r="E171" i="3"/>
  <c r="D172" i="3"/>
  <c r="D171" i="3"/>
  <c r="E166" i="3"/>
  <c r="E167" i="3"/>
  <c r="E156" i="3"/>
  <c r="D158" i="3"/>
  <c r="E151" i="3"/>
  <c r="F151" i="3" s="1"/>
  <c r="D167" i="3"/>
  <c r="D166" i="3"/>
  <c r="D156" i="3"/>
  <c r="D153" i="3"/>
  <c r="D151" i="3"/>
  <c r="E141" i="3"/>
  <c r="E136" i="3"/>
  <c r="F136" i="3" s="1"/>
  <c r="E131" i="3"/>
  <c r="E126" i="3"/>
  <c r="E121" i="3"/>
  <c r="E106" i="3"/>
  <c r="E101" i="3"/>
  <c r="G217" i="3" l="1"/>
  <c r="E215" i="3"/>
  <c r="E211" i="3"/>
  <c r="F206" i="3"/>
  <c r="E196" i="3"/>
  <c r="G213" i="3"/>
  <c r="J210" i="3"/>
  <c r="J214" i="3" s="1"/>
  <c r="G212" i="3"/>
  <c r="F216" i="3"/>
  <c r="F211" i="3" l="1"/>
  <c r="E210" i="3"/>
  <c r="F215" i="3"/>
  <c r="F210" i="3" l="1"/>
  <c r="E111" i="3"/>
  <c r="D141" i="3"/>
  <c r="D131" i="3"/>
  <c r="D126" i="3"/>
  <c r="D121" i="3"/>
  <c r="D116" i="3"/>
  <c r="D111" i="3"/>
  <c r="D106" i="3"/>
  <c r="D101" i="3"/>
  <c r="E86" i="3"/>
  <c r="G74" i="3"/>
  <c r="G73" i="3"/>
  <c r="G72" i="3"/>
  <c r="E81" i="3"/>
  <c r="D86" i="3"/>
  <c r="D81" i="3"/>
  <c r="E71" i="3"/>
  <c r="F71" i="3" s="1"/>
  <c r="D71" i="3"/>
  <c r="E66" i="3"/>
  <c r="D68" i="3"/>
  <c r="D66" i="3"/>
  <c r="E61" i="3"/>
  <c r="F61" i="3" s="1"/>
  <c r="D63" i="3"/>
  <c r="D61" i="3"/>
  <c r="E56" i="3"/>
  <c r="D56" i="3"/>
  <c r="E51" i="3"/>
  <c r="D51" i="3"/>
  <c r="D41" i="3"/>
  <c r="E36" i="3"/>
  <c r="E31" i="3"/>
  <c r="D31" i="3"/>
  <c r="E26" i="3" l="1"/>
  <c r="F81" i="3"/>
  <c r="E76" i="3"/>
  <c r="G71" i="3"/>
  <c r="E268" i="3" l="1"/>
  <c r="F248" i="3"/>
  <c r="E248" i="3"/>
  <c r="E253" i="3"/>
  <c r="K40" i="51" s="1"/>
  <c r="L40" i="51" s="1"/>
  <c r="M27" i="51"/>
  <c r="E266" i="3"/>
  <c r="K28" i="51" s="1"/>
  <c r="E251" i="3"/>
  <c r="K38" i="51" s="1"/>
  <c r="F246" i="3"/>
  <c r="K23" i="51"/>
  <c r="K22" i="51" s="1"/>
  <c r="K18" i="51"/>
  <c r="K17" i="51" s="1"/>
  <c r="E246" i="3"/>
  <c r="L18" i="51"/>
  <c r="L17" i="51" s="1"/>
  <c r="F231" i="3"/>
  <c r="E231" i="3"/>
  <c r="L14" i="51"/>
  <c r="M14" i="51"/>
  <c r="E185" i="3"/>
  <c r="H8" i="51"/>
  <c r="I8" i="51"/>
  <c r="H9" i="51"/>
  <c r="I9" i="51"/>
  <c r="J9" i="51"/>
  <c r="H10" i="51"/>
  <c r="I10" i="51"/>
  <c r="J10" i="51"/>
  <c r="H11" i="51"/>
  <c r="I11" i="51"/>
  <c r="J11" i="51"/>
  <c r="K11" i="51"/>
  <c r="L11" i="51"/>
  <c r="M11" i="51"/>
  <c r="H13" i="51"/>
  <c r="I13" i="51"/>
  <c r="J13" i="51"/>
  <c r="N13" i="51" s="1"/>
  <c r="H17" i="51"/>
  <c r="I17" i="51"/>
  <c r="J17" i="51"/>
  <c r="H22" i="51"/>
  <c r="I22" i="51"/>
  <c r="J22" i="51"/>
  <c r="L22" i="51"/>
  <c r="M22" i="51"/>
  <c r="M20" i="51" s="1"/>
  <c r="H27" i="51"/>
  <c r="I27" i="51"/>
  <c r="J27" i="51"/>
  <c r="H32" i="51"/>
  <c r="I32" i="51"/>
  <c r="M32" i="51"/>
  <c r="H37" i="51"/>
  <c r="I37" i="51"/>
  <c r="J37" i="51"/>
  <c r="M37" i="51"/>
  <c r="H42" i="51"/>
  <c r="I42" i="51"/>
  <c r="K42" i="51"/>
  <c r="L42" i="51"/>
  <c r="M42" i="51"/>
  <c r="J43" i="51"/>
  <c r="J42" i="51" s="1"/>
  <c r="H47" i="51"/>
  <c r="I47" i="51"/>
  <c r="J47" i="51"/>
  <c r="K47" i="51"/>
  <c r="L47" i="51"/>
  <c r="M47" i="51"/>
  <c r="N11" i="51" l="1"/>
  <c r="K30" i="51"/>
  <c r="K27" i="51" s="1"/>
  <c r="P27" i="51" s="1"/>
  <c r="E18" i="3"/>
  <c r="K15" i="51"/>
  <c r="L15" i="51" s="1"/>
  <c r="L9" i="51" s="1"/>
  <c r="N9" i="51" s="1"/>
  <c r="E222" i="3"/>
  <c r="E17" i="3"/>
  <c r="L33" i="51"/>
  <c r="L32" i="51" s="1"/>
  <c r="O32" i="51" s="1"/>
  <c r="E221" i="3"/>
  <c r="E16" i="3"/>
  <c r="K33" i="51"/>
  <c r="K32" i="51" s="1"/>
  <c r="P32" i="51" s="1"/>
  <c r="E241" i="3"/>
  <c r="I7" i="51"/>
  <c r="P17" i="51"/>
  <c r="K37" i="51"/>
  <c r="P37" i="51" s="1"/>
  <c r="P22" i="51"/>
  <c r="O22" i="51"/>
  <c r="H7" i="51"/>
  <c r="M10" i="51"/>
  <c r="M19" i="51"/>
  <c r="N22" i="51"/>
  <c r="N17" i="51"/>
  <c r="K9" i="51" l="1"/>
  <c r="K10" i="51"/>
  <c r="K14" i="51"/>
  <c r="M9" i="51"/>
  <c r="M18" i="51"/>
  <c r="M17" i="51" l="1"/>
  <c r="O17" i="51" s="1"/>
  <c r="M8" i="51"/>
  <c r="M7" i="51" s="1"/>
  <c r="F194" i="3" l="1"/>
  <c r="G194" i="3" s="1"/>
  <c r="F193" i="3"/>
  <c r="F192" i="3"/>
  <c r="F189" i="3"/>
  <c r="G189" i="3" s="1"/>
  <c r="F188" i="3"/>
  <c r="F187" i="3"/>
  <c r="F186" i="3"/>
  <c r="G254" i="3"/>
  <c r="F253" i="3"/>
  <c r="F252" i="3"/>
  <c r="E250" i="3"/>
  <c r="D250" i="3"/>
  <c r="G249" i="3"/>
  <c r="E245" i="3"/>
  <c r="J242" i="3"/>
  <c r="D244" i="3"/>
  <c r="G188" i="3" l="1"/>
  <c r="G247" i="3"/>
  <c r="G192" i="3"/>
  <c r="F185" i="3"/>
  <c r="J240" i="3"/>
  <c r="J244" i="3" s="1"/>
  <c r="E190" i="3"/>
  <c r="G187" i="3"/>
  <c r="G193" i="3"/>
  <c r="F190" i="3"/>
  <c r="G252" i="3"/>
  <c r="G253" i="3"/>
  <c r="F251" i="3"/>
  <c r="L38" i="51" l="1"/>
  <c r="L37" i="51" s="1"/>
  <c r="O37" i="51" s="1"/>
  <c r="F241" i="3"/>
  <c r="F250" i="3"/>
  <c r="G250" i="3" s="1"/>
  <c r="G251" i="3"/>
  <c r="N37" i="51" l="1"/>
  <c r="F199" i="3"/>
  <c r="G199" i="3" s="1"/>
  <c r="K195" i="3"/>
  <c r="E944" i="49" l="1"/>
  <c r="E943" i="49"/>
  <c r="E942" i="49"/>
  <c r="F941" i="49"/>
  <c r="F934" i="49" s="1"/>
  <c r="E940" i="49"/>
  <c r="E939" i="49"/>
  <c r="I938" i="49"/>
  <c r="H938" i="49"/>
  <c r="G938" i="49"/>
  <c r="I937" i="49"/>
  <c r="I930" i="49" s="1"/>
  <c r="H937" i="49"/>
  <c r="G937" i="49"/>
  <c r="G930" i="49" s="1"/>
  <c r="F937" i="49"/>
  <c r="F930" i="49" s="1"/>
  <c r="I936" i="49"/>
  <c r="I929" i="49" s="1"/>
  <c r="H936" i="49"/>
  <c r="H929" i="49" s="1"/>
  <c r="G936" i="49"/>
  <c r="G929" i="49" s="1"/>
  <c r="F936" i="49"/>
  <c r="F929" i="49" s="1"/>
  <c r="I935" i="49"/>
  <c r="I928" i="49" s="1"/>
  <c r="H935" i="49"/>
  <c r="H928" i="49" s="1"/>
  <c r="G935" i="49"/>
  <c r="F935" i="49"/>
  <c r="F928" i="49" s="1"/>
  <c r="I934" i="49"/>
  <c r="I927" i="49" s="1"/>
  <c r="H934" i="49"/>
  <c r="G934" i="49"/>
  <c r="G927" i="49" s="1"/>
  <c r="I933" i="49"/>
  <c r="H933" i="49"/>
  <c r="G933" i="49"/>
  <c r="F933" i="49"/>
  <c r="F926" i="49" s="1"/>
  <c r="I932" i="49"/>
  <c r="I925" i="49" s="1"/>
  <c r="H932" i="49"/>
  <c r="H925" i="49" s="1"/>
  <c r="G932" i="49"/>
  <c r="G925" i="49" s="1"/>
  <c r="F932" i="49"/>
  <c r="F925" i="49" s="1"/>
  <c r="H927" i="49"/>
  <c r="H926" i="49"/>
  <c r="E922" i="49"/>
  <c r="E921" i="49"/>
  <c r="F920" i="49"/>
  <c r="E919" i="49"/>
  <c r="E918" i="49"/>
  <c r="I917" i="49"/>
  <c r="G917" i="49"/>
  <c r="E915" i="49"/>
  <c r="E914" i="49"/>
  <c r="E913" i="49"/>
  <c r="E912" i="49"/>
  <c r="E911" i="49"/>
  <c r="I910" i="49"/>
  <c r="E910" i="49" s="1"/>
  <c r="E908" i="49"/>
  <c r="E907" i="49"/>
  <c r="E906" i="49"/>
  <c r="E905" i="49"/>
  <c r="E904" i="49"/>
  <c r="I903" i="49"/>
  <c r="H903" i="49"/>
  <c r="G903" i="49"/>
  <c r="F903" i="49"/>
  <c r="E902" i="49"/>
  <c r="E901" i="49"/>
  <c r="F900" i="49"/>
  <c r="F899" i="49"/>
  <c r="E899" i="49" s="1"/>
  <c r="E898" i="49"/>
  <c r="E897" i="49"/>
  <c r="I896" i="49"/>
  <c r="H896" i="49"/>
  <c r="G896" i="49"/>
  <c r="I895" i="49"/>
  <c r="H895" i="49"/>
  <c r="G895" i="49"/>
  <c r="F895" i="49"/>
  <c r="I894" i="49"/>
  <c r="H894" i="49"/>
  <c r="G894" i="49"/>
  <c r="F894" i="49"/>
  <c r="I893" i="49"/>
  <c r="H893" i="49"/>
  <c r="G893" i="49"/>
  <c r="I892" i="49"/>
  <c r="G892" i="49"/>
  <c r="I891" i="49"/>
  <c r="H891" i="49"/>
  <c r="G891" i="49"/>
  <c r="F891" i="49"/>
  <c r="I890" i="49"/>
  <c r="H890" i="49"/>
  <c r="G890" i="49"/>
  <c r="F890" i="49"/>
  <c r="E887" i="49"/>
  <c r="E886" i="49"/>
  <c r="E885" i="49"/>
  <c r="E884" i="49"/>
  <c r="E883" i="49"/>
  <c r="I882" i="49"/>
  <c r="H882" i="49"/>
  <c r="G882" i="49"/>
  <c r="F882" i="49"/>
  <c r="I880" i="49"/>
  <c r="I873" i="49" s="1"/>
  <c r="H880" i="49"/>
  <c r="H873" i="49" s="1"/>
  <c r="G880" i="49"/>
  <c r="G873" i="49" s="1"/>
  <c r="F880" i="49"/>
  <c r="F873" i="49" s="1"/>
  <c r="E880" i="49"/>
  <c r="E873" i="49" s="1"/>
  <c r="I879" i="49"/>
  <c r="I872" i="49" s="1"/>
  <c r="H879" i="49"/>
  <c r="D248" i="3" s="1"/>
  <c r="G879" i="49"/>
  <c r="G872" i="49" s="1"/>
  <c r="F879" i="49"/>
  <c r="E879" i="49"/>
  <c r="I878" i="49"/>
  <c r="I871" i="49" s="1"/>
  <c r="H878" i="49"/>
  <c r="H871" i="49" s="1"/>
  <c r="G878" i="49"/>
  <c r="G871" i="49" s="1"/>
  <c r="F878" i="49"/>
  <c r="M884" i="49" s="1"/>
  <c r="E878" i="49"/>
  <c r="I877" i="49"/>
  <c r="H877" i="49"/>
  <c r="H870" i="49" s="1"/>
  <c r="G877" i="49"/>
  <c r="G870" i="49" s="1"/>
  <c r="F877" i="49"/>
  <c r="F870" i="49" s="1"/>
  <c r="E877" i="49"/>
  <c r="I876" i="49"/>
  <c r="I869" i="49" s="1"/>
  <c r="H876" i="49"/>
  <c r="H869" i="49" s="1"/>
  <c r="G876" i="49"/>
  <c r="G869" i="49" s="1"/>
  <c r="F876" i="49"/>
  <c r="F869" i="49" s="1"/>
  <c r="E876" i="49"/>
  <c r="I875" i="49"/>
  <c r="H875" i="49"/>
  <c r="G875" i="49"/>
  <c r="F875" i="49"/>
  <c r="E875" i="49"/>
  <c r="I870" i="49"/>
  <c r="I866" i="49"/>
  <c r="H866" i="49"/>
  <c r="G866" i="49"/>
  <c r="F866" i="49"/>
  <c r="E866" i="49"/>
  <c r="I865" i="49"/>
  <c r="H865" i="49"/>
  <c r="G865" i="49"/>
  <c r="F865" i="49"/>
  <c r="D236" i="3" s="1"/>
  <c r="E865" i="49"/>
  <c r="I864" i="49"/>
  <c r="H864" i="49"/>
  <c r="G864" i="49"/>
  <c r="F864" i="49"/>
  <c r="E864" i="49"/>
  <c r="I863" i="49"/>
  <c r="H863" i="49"/>
  <c r="G863" i="49"/>
  <c r="F863" i="49"/>
  <c r="E863" i="49"/>
  <c r="I862" i="49"/>
  <c r="H862" i="49"/>
  <c r="G862" i="49"/>
  <c r="F862" i="49"/>
  <c r="E862" i="49"/>
  <c r="I861" i="49"/>
  <c r="H861" i="49"/>
  <c r="G861" i="49"/>
  <c r="F861" i="49"/>
  <c r="E861" i="49"/>
  <c r="I859" i="49"/>
  <c r="H859" i="49"/>
  <c r="G859" i="49"/>
  <c r="F859" i="49"/>
  <c r="E859" i="49"/>
  <c r="I858" i="49"/>
  <c r="H858" i="49"/>
  <c r="G858" i="49"/>
  <c r="F858" i="49"/>
  <c r="D231" i="3" s="1"/>
  <c r="E858" i="49"/>
  <c r="I857" i="49"/>
  <c r="H857" i="49"/>
  <c r="G857" i="49"/>
  <c r="F857" i="49"/>
  <c r="E857" i="49"/>
  <c r="I856" i="49"/>
  <c r="H856" i="49"/>
  <c r="G856" i="49"/>
  <c r="F856" i="49"/>
  <c r="E856" i="49"/>
  <c r="I855" i="49"/>
  <c r="H855" i="49"/>
  <c r="G855" i="49"/>
  <c r="F855" i="49"/>
  <c r="E855" i="49"/>
  <c r="I854" i="49"/>
  <c r="H854" i="49"/>
  <c r="G854" i="49"/>
  <c r="F854" i="49"/>
  <c r="E854" i="49"/>
  <c r="I852" i="49"/>
  <c r="H852" i="49"/>
  <c r="G852" i="49"/>
  <c r="F852" i="49"/>
  <c r="E852" i="49"/>
  <c r="I851" i="49"/>
  <c r="H851" i="49"/>
  <c r="G851" i="49"/>
  <c r="D227" i="3" s="1"/>
  <c r="D17" i="3" s="1"/>
  <c r="F851" i="49"/>
  <c r="D226" i="3" s="1"/>
  <c r="E851" i="49"/>
  <c r="I850" i="49"/>
  <c r="H850" i="49"/>
  <c r="G850" i="49"/>
  <c r="F850" i="49"/>
  <c r="I849" i="49"/>
  <c r="H849" i="49"/>
  <c r="G849" i="49"/>
  <c r="F849" i="49"/>
  <c r="E849" i="49"/>
  <c r="I848" i="49"/>
  <c r="H848" i="49"/>
  <c r="G848" i="49"/>
  <c r="F848" i="49"/>
  <c r="E848" i="49"/>
  <c r="I847" i="49"/>
  <c r="H847" i="49"/>
  <c r="G847" i="49"/>
  <c r="I845" i="49"/>
  <c r="H845" i="49"/>
  <c r="G845" i="49"/>
  <c r="E845" i="49"/>
  <c r="I844" i="49"/>
  <c r="H844" i="49"/>
  <c r="G844" i="49"/>
  <c r="I843" i="49"/>
  <c r="H843" i="49"/>
  <c r="I842" i="49"/>
  <c r="H842" i="49"/>
  <c r="G842" i="49"/>
  <c r="F842" i="49"/>
  <c r="E842" i="49"/>
  <c r="I841" i="49"/>
  <c r="H841" i="49"/>
  <c r="G841" i="49"/>
  <c r="F841" i="49"/>
  <c r="E841" i="49"/>
  <c r="I840" i="49"/>
  <c r="H840" i="49"/>
  <c r="E839" i="49"/>
  <c r="I838" i="49"/>
  <c r="I833" i="49" s="1"/>
  <c r="F837" i="49"/>
  <c r="E836" i="49"/>
  <c r="E835" i="49"/>
  <c r="E834" i="49"/>
  <c r="G833" i="49"/>
  <c r="I832" i="49"/>
  <c r="H832" i="49"/>
  <c r="G832" i="49"/>
  <c r="F832" i="49"/>
  <c r="G831" i="49"/>
  <c r="F831" i="49"/>
  <c r="I830" i="49"/>
  <c r="H830" i="49"/>
  <c r="G830" i="49"/>
  <c r="I829" i="49"/>
  <c r="H829" i="49"/>
  <c r="G829" i="49"/>
  <c r="F829" i="49"/>
  <c r="I828" i="49"/>
  <c r="H828" i="49"/>
  <c r="G828" i="49"/>
  <c r="F828" i="49"/>
  <c r="I827" i="49"/>
  <c r="H827" i="49"/>
  <c r="G827" i="49"/>
  <c r="F827" i="49"/>
  <c r="E825" i="49"/>
  <c r="F819" i="49"/>
  <c r="E819" i="49" s="1"/>
  <c r="E818" i="49"/>
  <c r="F812" i="49"/>
  <c r="E812" i="49" s="1"/>
  <c r="F811" i="49"/>
  <c r="E811" i="49" s="1"/>
  <c r="F809" i="49"/>
  <c r="E809" i="49" s="1"/>
  <c r="F808" i="49"/>
  <c r="E808" i="49" s="1"/>
  <c r="H807" i="49"/>
  <c r="E807" i="49" s="1"/>
  <c r="F806" i="49"/>
  <c r="E806" i="49" s="1"/>
  <c r="E804" i="49"/>
  <c r="E802" i="49"/>
  <c r="E801" i="49"/>
  <c r="H800" i="49"/>
  <c r="E800" i="49" s="1"/>
  <c r="E799" i="49"/>
  <c r="F798" i="49"/>
  <c r="E797" i="49"/>
  <c r="E795" i="49"/>
  <c r="E794" i="49"/>
  <c r="F793" i="49"/>
  <c r="H793" i="49" s="1"/>
  <c r="E793" i="49" s="1"/>
  <c r="E792" i="49"/>
  <c r="I791" i="49"/>
  <c r="G791" i="49"/>
  <c r="E790" i="49"/>
  <c r="E788" i="49"/>
  <c r="E787" i="49"/>
  <c r="F786" i="49"/>
  <c r="H786" i="49" s="1"/>
  <c r="E786" i="49" s="1"/>
  <c r="E785" i="49"/>
  <c r="I784" i="49"/>
  <c r="G784" i="49"/>
  <c r="E783" i="49"/>
  <c r="E781" i="49"/>
  <c r="E780" i="49"/>
  <c r="E779" i="49"/>
  <c r="E778" i="49"/>
  <c r="I777" i="49"/>
  <c r="H777" i="49"/>
  <c r="G777" i="49"/>
  <c r="F777" i="49"/>
  <c r="E776" i="49"/>
  <c r="E774" i="49"/>
  <c r="E773" i="49"/>
  <c r="E772" i="49"/>
  <c r="E771" i="49"/>
  <c r="I770" i="49"/>
  <c r="H770" i="49"/>
  <c r="G770" i="49"/>
  <c r="F770" i="49"/>
  <c r="E769" i="49"/>
  <c r="E767" i="49"/>
  <c r="E766" i="49"/>
  <c r="E765" i="49"/>
  <c r="E764" i="49"/>
  <c r="I763" i="49"/>
  <c r="H763" i="49"/>
  <c r="G763" i="49"/>
  <c r="F763" i="49"/>
  <c r="E762" i="49"/>
  <c r="E760" i="49"/>
  <c r="I759" i="49"/>
  <c r="I758" i="49" s="1"/>
  <c r="I757" i="49" s="1"/>
  <c r="I756" i="49" s="1"/>
  <c r="H758" i="49"/>
  <c r="H756" i="49" s="1"/>
  <c r="G756" i="49"/>
  <c r="G751" i="49" s="1"/>
  <c r="G750" i="49" s="1"/>
  <c r="F756" i="49"/>
  <c r="E755" i="49"/>
  <c r="E753" i="49"/>
  <c r="E752" i="49"/>
  <c r="H751" i="49"/>
  <c r="H749" i="49" s="1"/>
  <c r="I749" i="49"/>
  <c r="I748" i="49" s="1"/>
  <c r="I746" i="49" s="1"/>
  <c r="I745" i="49" s="1"/>
  <c r="I744" i="49" s="1"/>
  <c r="I743" i="49" s="1"/>
  <c r="I742" i="49" s="1"/>
  <c r="I741" i="49" s="1"/>
  <c r="I739" i="49" s="1"/>
  <c r="I738" i="49" s="1"/>
  <c r="I737" i="49" s="1"/>
  <c r="I736" i="49" s="1"/>
  <c r="I735" i="49" s="1"/>
  <c r="I734" i="49" s="1"/>
  <c r="I732" i="49" s="1"/>
  <c r="I731" i="49" s="1"/>
  <c r="I730" i="49" s="1"/>
  <c r="I729" i="49" s="1"/>
  <c r="I728" i="49" s="1"/>
  <c r="I727" i="49" s="1"/>
  <c r="I725" i="49" s="1"/>
  <c r="I724" i="49" s="1"/>
  <c r="I723" i="49" s="1"/>
  <c r="I722" i="49" s="1"/>
  <c r="I721" i="49" s="1"/>
  <c r="I720" i="49" s="1"/>
  <c r="F749" i="49"/>
  <c r="H742" i="49"/>
  <c r="F742" i="49"/>
  <c r="H737" i="49"/>
  <c r="H735" i="49" s="1"/>
  <c r="F735" i="49"/>
  <c r="H730" i="49"/>
  <c r="H728" i="49" s="1"/>
  <c r="F728" i="49"/>
  <c r="H721" i="49"/>
  <c r="F721" i="49"/>
  <c r="H716" i="49"/>
  <c r="H714" i="49" s="1"/>
  <c r="F714" i="49"/>
  <c r="E713" i="49"/>
  <c r="E711" i="49"/>
  <c r="E710" i="49"/>
  <c r="E709" i="49"/>
  <c r="E708" i="49"/>
  <c r="I707" i="49"/>
  <c r="H707" i="49"/>
  <c r="G707" i="49"/>
  <c r="F707" i="49"/>
  <c r="E706" i="49"/>
  <c r="E705" i="49"/>
  <c r="E704" i="49"/>
  <c r="E703" i="49"/>
  <c r="E702" i="49"/>
  <c r="E701" i="49"/>
  <c r="I700" i="49"/>
  <c r="H700" i="49"/>
  <c r="G700" i="49"/>
  <c r="F700" i="49"/>
  <c r="E699" i="49"/>
  <c r="E697" i="49"/>
  <c r="E696" i="49"/>
  <c r="E695" i="49"/>
  <c r="E694" i="49"/>
  <c r="I693" i="49"/>
  <c r="H693" i="49"/>
  <c r="G693" i="49"/>
  <c r="F693" i="49"/>
  <c r="E692" i="49"/>
  <c r="E690" i="49"/>
  <c r="E689" i="49"/>
  <c r="E688" i="49"/>
  <c r="E687" i="49"/>
  <c r="I686" i="49"/>
  <c r="H686" i="49"/>
  <c r="G686" i="49"/>
  <c r="F686" i="49"/>
  <c r="E685" i="49"/>
  <c r="E683" i="49"/>
  <c r="E682" i="49"/>
  <c r="E681" i="49"/>
  <c r="H680" i="49"/>
  <c r="H679" i="49" s="1"/>
  <c r="G679" i="49"/>
  <c r="F679" i="49"/>
  <c r="E678" i="49"/>
  <c r="E676" i="49"/>
  <c r="E675" i="49"/>
  <c r="H674" i="49"/>
  <c r="E674" i="49" s="1"/>
  <c r="H673" i="49"/>
  <c r="I672" i="49"/>
  <c r="G672" i="49"/>
  <c r="F672" i="49"/>
  <c r="E671" i="49"/>
  <c r="E669" i="49"/>
  <c r="E668" i="49"/>
  <c r="E667" i="49"/>
  <c r="E666" i="49"/>
  <c r="I665" i="49"/>
  <c r="H665" i="49"/>
  <c r="G665" i="49"/>
  <c r="F665" i="49"/>
  <c r="E664" i="49"/>
  <c r="E662" i="49"/>
  <c r="E661" i="49"/>
  <c r="E660" i="49"/>
  <c r="E659" i="49"/>
  <c r="E658" i="49"/>
  <c r="E657" i="49"/>
  <c r="E655" i="49"/>
  <c r="E654" i="49"/>
  <c r="E653" i="49"/>
  <c r="E652" i="49"/>
  <c r="I651" i="49"/>
  <c r="H651" i="49"/>
  <c r="G651" i="49"/>
  <c r="F651" i="49"/>
  <c r="H645" i="49"/>
  <c r="E645" i="49" s="1"/>
  <c r="I644" i="49"/>
  <c r="G644" i="49"/>
  <c r="F644" i="49"/>
  <c r="H638" i="49"/>
  <c r="E638" i="49" s="1"/>
  <c r="I637" i="49"/>
  <c r="G637" i="49"/>
  <c r="F637" i="49"/>
  <c r="H631" i="49"/>
  <c r="E631" i="49" s="1"/>
  <c r="I630" i="49"/>
  <c r="G630" i="49"/>
  <c r="F630" i="49"/>
  <c r="H624" i="49"/>
  <c r="H623" i="49" s="1"/>
  <c r="I623" i="49"/>
  <c r="G623" i="49"/>
  <c r="F623" i="49"/>
  <c r="H617" i="49"/>
  <c r="H616" i="49" s="1"/>
  <c r="I616" i="49"/>
  <c r="G616" i="49"/>
  <c r="F616" i="49"/>
  <c r="H610" i="49"/>
  <c r="E610" i="49" s="1"/>
  <c r="I609" i="49"/>
  <c r="G609" i="49"/>
  <c r="F609" i="49"/>
  <c r="E603" i="49"/>
  <c r="I602" i="49"/>
  <c r="H602" i="49"/>
  <c r="G602" i="49"/>
  <c r="F602" i="49"/>
  <c r="E601" i="49"/>
  <c r="E599" i="49"/>
  <c r="E598" i="49"/>
  <c r="F597" i="49"/>
  <c r="F576" i="49" s="1"/>
  <c r="F596" i="49"/>
  <c r="E596" i="49" s="1"/>
  <c r="I595" i="49"/>
  <c r="H595" i="49"/>
  <c r="G595" i="49"/>
  <c r="E594" i="49"/>
  <c r="E593" i="49"/>
  <c r="F592" i="49"/>
  <c r="F591" i="49"/>
  <c r="F588" i="49" s="1"/>
  <c r="E590" i="49"/>
  <c r="E589" i="49"/>
  <c r="I588" i="49"/>
  <c r="H588" i="49"/>
  <c r="G588" i="49"/>
  <c r="E587" i="49"/>
  <c r="I585" i="49"/>
  <c r="I574" i="49" s="1"/>
  <c r="F584" i="49"/>
  <c r="E583" i="49"/>
  <c r="E582" i="49"/>
  <c r="H581" i="49"/>
  <c r="G581" i="49"/>
  <c r="I580" i="49"/>
  <c r="I421" i="49" s="1"/>
  <c r="H580" i="49"/>
  <c r="H421" i="49" s="1"/>
  <c r="G580" i="49"/>
  <c r="F580" i="49"/>
  <c r="H579" i="49"/>
  <c r="F579" i="49"/>
  <c r="H578" i="49"/>
  <c r="F578" i="49"/>
  <c r="H577" i="49"/>
  <c r="I573" i="49"/>
  <c r="H573" i="49"/>
  <c r="G573" i="49"/>
  <c r="F573" i="49"/>
  <c r="E573" i="49"/>
  <c r="I572" i="49"/>
  <c r="H572" i="49"/>
  <c r="G572" i="49"/>
  <c r="F572" i="49"/>
  <c r="D191" i="3" s="1"/>
  <c r="E572" i="49"/>
  <c r="I571" i="49"/>
  <c r="H571" i="49"/>
  <c r="G571" i="49"/>
  <c r="F571" i="49"/>
  <c r="E571" i="49"/>
  <c r="I570" i="49"/>
  <c r="H570" i="49"/>
  <c r="G570" i="49"/>
  <c r="F570" i="49"/>
  <c r="E570" i="49"/>
  <c r="I569" i="49"/>
  <c r="H569" i="49"/>
  <c r="G569" i="49"/>
  <c r="F569" i="49"/>
  <c r="E569" i="49"/>
  <c r="I568" i="49"/>
  <c r="H568" i="49"/>
  <c r="G568" i="49"/>
  <c r="F568" i="49"/>
  <c r="E568" i="49"/>
  <c r="I567" i="49"/>
  <c r="H567" i="49"/>
  <c r="G567" i="49"/>
  <c r="F567" i="49"/>
  <c r="E567" i="49"/>
  <c r="I566" i="49"/>
  <c r="H566" i="49"/>
  <c r="G566" i="49"/>
  <c r="F566" i="49"/>
  <c r="D186" i="3" s="1"/>
  <c r="E566" i="49"/>
  <c r="I565" i="49"/>
  <c r="H565" i="49"/>
  <c r="G565" i="49"/>
  <c r="F565" i="49"/>
  <c r="E565" i="49"/>
  <c r="I564" i="49"/>
  <c r="H564" i="49"/>
  <c r="G564" i="49"/>
  <c r="F564" i="49"/>
  <c r="E564" i="49"/>
  <c r="I563" i="49"/>
  <c r="H563" i="49"/>
  <c r="G563" i="49"/>
  <c r="F563" i="49"/>
  <c r="E563" i="49"/>
  <c r="I562" i="49"/>
  <c r="H562" i="49"/>
  <c r="G562" i="49"/>
  <c r="F562" i="49"/>
  <c r="E562" i="49"/>
  <c r="E561" i="49"/>
  <c r="E559" i="49"/>
  <c r="E558" i="49"/>
  <c r="E557" i="49"/>
  <c r="E556" i="49"/>
  <c r="I555" i="49"/>
  <c r="H555" i="49"/>
  <c r="G555" i="49"/>
  <c r="F555" i="49"/>
  <c r="E554" i="49"/>
  <c r="E552" i="49"/>
  <c r="E551" i="49"/>
  <c r="E550" i="49"/>
  <c r="E549" i="49"/>
  <c r="I548" i="49"/>
  <c r="H548" i="49"/>
  <c r="F548" i="49"/>
  <c r="E547" i="49"/>
  <c r="E545" i="49"/>
  <c r="E544" i="49"/>
  <c r="E543" i="49"/>
  <c r="E542" i="49"/>
  <c r="I541" i="49"/>
  <c r="H541" i="49"/>
  <c r="G541" i="49"/>
  <c r="F541" i="49"/>
  <c r="E540" i="49"/>
  <c r="E538" i="49"/>
  <c r="E537" i="49"/>
  <c r="F536" i="49"/>
  <c r="E536" i="49" s="1"/>
  <c r="E535" i="49"/>
  <c r="I534" i="49"/>
  <c r="H534" i="49"/>
  <c r="G534" i="49"/>
  <c r="E533" i="49"/>
  <c r="E531" i="49"/>
  <c r="E530" i="49"/>
  <c r="E529" i="49"/>
  <c r="E528" i="49"/>
  <c r="I527" i="49"/>
  <c r="H527" i="49"/>
  <c r="G527" i="49"/>
  <c r="F527" i="49"/>
  <c r="E526" i="49"/>
  <c r="E524" i="49"/>
  <c r="E523" i="49"/>
  <c r="E522" i="49"/>
  <c r="E521" i="49"/>
  <c r="I520" i="49"/>
  <c r="I519" i="49" s="1"/>
  <c r="H520" i="49"/>
  <c r="F520" i="49"/>
  <c r="H515" i="49"/>
  <c r="H513" i="49" s="1"/>
  <c r="F513" i="49"/>
  <c r="H506" i="49"/>
  <c r="G506" i="49"/>
  <c r="G505" i="49" s="1"/>
  <c r="F506" i="49"/>
  <c r="H499" i="49"/>
  <c r="F499" i="49"/>
  <c r="E498" i="49"/>
  <c r="E496" i="49"/>
  <c r="E495" i="49"/>
  <c r="F494" i="49"/>
  <c r="H494" i="49" s="1"/>
  <c r="E494" i="49" s="1"/>
  <c r="E493" i="49"/>
  <c r="I492" i="49"/>
  <c r="G492" i="49"/>
  <c r="F492" i="49"/>
  <c r="E491" i="49"/>
  <c r="E489" i="49"/>
  <c r="E488" i="49"/>
  <c r="F487" i="49"/>
  <c r="E487" i="49" s="1"/>
  <c r="E486" i="49"/>
  <c r="I485" i="49"/>
  <c r="H485" i="49"/>
  <c r="G485" i="49"/>
  <c r="E484" i="49"/>
  <c r="E482" i="49"/>
  <c r="E481" i="49"/>
  <c r="E480" i="49"/>
  <c r="E479" i="49"/>
  <c r="I478" i="49"/>
  <c r="H478" i="49"/>
  <c r="G478" i="49"/>
  <c r="F478" i="49"/>
  <c r="E477" i="49"/>
  <c r="E475" i="49"/>
  <c r="E474" i="49"/>
  <c r="E473" i="49"/>
  <c r="E472" i="49"/>
  <c r="I471" i="49"/>
  <c r="H471" i="49"/>
  <c r="G471" i="49"/>
  <c r="F471" i="49"/>
  <c r="E470" i="49"/>
  <c r="E468" i="49"/>
  <c r="E467" i="49"/>
  <c r="E466" i="49"/>
  <c r="E465" i="49"/>
  <c r="I464" i="49"/>
  <c r="H464" i="49"/>
  <c r="G464" i="49"/>
  <c r="F464" i="49"/>
  <c r="E463" i="49"/>
  <c r="E461" i="49"/>
  <c r="E460" i="49"/>
  <c r="H459" i="49"/>
  <c r="E459" i="49" s="1"/>
  <c r="E458" i="49"/>
  <c r="I457" i="49"/>
  <c r="G457" i="49"/>
  <c r="F457" i="49"/>
  <c r="E456" i="49"/>
  <c r="E454" i="49"/>
  <c r="E453" i="49"/>
  <c r="E452" i="49"/>
  <c r="E451" i="49"/>
  <c r="I450" i="49"/>
  <c r="H450" i="49"/>
  <c r="G450" i="49"/>
  <c r="F450" i="49"/>
  <c r="E449" i="49"/>
  <c r="E447" i="49"/>
  <c r="E446" i="49"/>
  <c r="E445" i="49"/>
  <c r="E444" i="49"/>
  <c r="I443" i="49"/>
  <c r="H443" i="49"/>
  <c r="G443" i="49"/>
  <c r="F443" i="49"/>
  <c r="E442" i="49"/>
  <c r="E440" i="49"/>
  <c r="E439" i="49"/>
  <c r="E438" i="49"/>
  <c r="F437" i="49"/>
  <c r="F423" i="49" s="1"/>
  <c r="I436" i="49"/>
  <c r="G436" i="49"/>
  <c r="E435" i="49"/>
  <c r="E433" i="49"/>
  <c r="E432" i="49"/>
  <c r="E431" i="49"/>
  <c r="H430" i="49"/>
  <c r="E430" i="49" s="1"/>
  <c r="I429" i="49"/>
  <c r="G429" i="49"/>
  <c r="F429" i="49"/>
  <c r="H428" i="49"/>
  <c r="F428" i="49"/>
  <c r="H426" i="49"/>
  <c r="H425" i="49"/>
  <c r="F425" i="49"/>
  <c r="E414" i="49"/>
  <c r="E412" i="49"/>
  <c r="F411" i="49"/>
  <c r="F408" i="49" s="1"/>
  <c r="E410" i="49"/>
  <c r="E409" i="49"/>
  <c r="I408" i="49"/>
  <c r="H408" i="49"/>
  <c r="G408" i="49"/>
  <c r="E407" i="49"/>
  <c r="E406" i="49"/>
  <c r="E405" i="49"/>
  <c r="E404" i="49"/>
  <c r="E403" i="49"/>
  <c r="I402" i="49"/>
  <c r="H402" i="49"/>
  <c r="G402" i="49"/>
  <c r="F402" i="49"/>
  <c r="I401" i="49"/>
  <c r="H401" i="49"/>
  <c r="G401" i="49"/>
  <c r="F401" i="49"/>
  <c r="I400" i="49"/>
  <c r="H400" i="49"/>
  <c r="G400" i="49"/>
  <c r="F400" i="49"/>
  <c r="I399" i="49"/>
  <c r="H399" i="49"/>
  <c r="G399" i="49"/>
  <c r="I398" i="49"/>
  <c r="H398" i="49"/>
  <c r="G398" i="49"/>
  <c r="F398" i="49"/>
  <c r="I397" i="49"/>
  <c r="H397" i="49"/>
  <c r="G397" i="49"/>
  <c r="F397" i="49"/>
  <c r="E395" i="49"/>
  <c r="E394" i="49"/>
  <c r="E393" i="49"/>
  <c r="E392" i="49"/>
  <c r="E391" i="49"/>
  <c r="E390" i="49"/>
  <c r="I389" i="49"/>
  <c r="H389" i="49"/>
  <c r="G389" i="49"/>
  <c r="F389" i="49"/>
  <c r="E388" i="49"/>
  <c r="E386" i="49"/>
  <c r="E385" i="49"/>
  <c r="E384" i="49"/>
  <c r="E383" i="49"/>
  <c r="I382" i="49"/>
  <c r="H382" i="49"/>
  <c r="G382" i="49"/>
  <c r="F382" i="49"/>
  <c r="I381" i="49"/>
  <c r="H381" i="49"/>
  <c r="G381" i="49"/>
  <c r="F381" i="49"/>
  <c r="I380" i="49"/>
  <c r="H380" i="49"/>
  <c r="G380" i="49"/>
  <c r="F380" i="49"/>
  <c r="I379" i="49"/>
  <c r="H379" i="49"/>
  <c r="G379" i="49"/>
  <c r="F379" i="49"/>
  <c r="I378" i="49"/>
  <c r="H378" i="49"/>
  <c r="G378" i="49"/>
  <c r="F378" i="49"/>
  <c r="I377" i="49"/>
  <c r="H377" i="49"/>
  <c r="G377" i="49"/>
  <c r="F377" i="49"/>
  <c r="I376" i="49"/>
  <c r="H376" i="49"/>
  <c r="G376" i="49"/>
  <c r="F376" i="49"/>
  <c r="E374" i="49"/>
  <c r="E372" i="49"/>
  <c r="E371" i="49"/>
  <c r="E370" i="49"/>
  <c r="E369" i="49"/>
  <c r="I368" i="49"/>
  <c r="H368" i="49"/>
  <c r="G368" i="49"/>
  <c r="F368" i="49"/>
  <c r="E367" i="49"/>
  <c r="F365" i="49"/>
  <c r="F364" i="49"/>
  <c r="E364" i="49" s="1"/>
  <c r="E363" i="49"/>
  <c r="E362" i="49"/>
  <c r="I361" i="49"/>
  <c r="H361" i="49"/>
  <c r="G361" i="49"/>
  <c r="E360" i="49"/>
  <c r="E358" i="49"/>
  <c r="F357" i="49"/>
  <c r="E357" i="49" s="1"/>
  <c r="F356" i="49"/>
  <c r="E356" i="49" s="1"/>
  <c r="E355" i="49"/>
  <c r="I354" i="49"/>
  <c r="H354" i="49"/>
  <c r="G354" i="49"/>
  <c r="E353" i="49"/>
  <c r="E351" i="49"/>
  <c r="E350" i="49"/>
  <c r="E349" i="49"/>
  <c r="E348" i="49"/>
  <c r="I347" i="49"/>
  <c r="H347" i="49"/>
  <c r="G347" i="49"/>
  <c r="F347" i="49"/>
  <c r="E346" i="49"/>
  <c r="E344" i="49"/>
  <c r="E343" i="49"/>
  <c r="F342" i="49"/>
  <c r="F340" i="49" s="1"/>
  <c r="E342" i="49"/>
  <c r="E341" i="49"/>
  <c r="I340" i="49"/>
  <c r="H340" i="49"/>
  <c r="G340" i="49"/>
  <c r="E339" i="49"/>
  <c r="E337" i="49"/>
  <c r="E336" i="49"/>
  <c r="E335" i="49"/>
  <c r="E334" i="49"/>
  <c r="I333" i="49"/>
  <c r="H333" i="49"/>
  <c r="G333" i="49"/>
  <c r="F333" i="49"/>
  <c r="E332" i="49"/>
  <c r="E330" i="49"/>
  <c r="E329" i="49"/>
  <c r="E328" i="49"/>
  <c r="E327" i="49"/>
  <c r="I326" i="49"/>
  <c r="H326" i="49"/>
  <c r="G326" i="49"/>
  <c r="F326" i="49"/>
  <c r="E325" i="49"/>
  <c r="E324" i="49"/>
  <c r="E323" i="49"/>
  <c r="F322" i="49"/>
  <c r="E322" i="49" s="1"/>
  <c r="E321" i="49"/>
  <c r="E320" i="49"/>
  <c r="I319" i="49"/>
  <c r="H319" i="49"/>
  <c r="G319" i="49"/>
  <c r="E318" i="49"/>
  <c r="E316" i="49"/>
  <c r="E315" i="49"/>
  <c r="E313" i="49"/>
  <c r="I312" i="49"/>
  <c r="H312" i="49"/>
  <c r="G312" i="49"/>
  <c r="F312" i="49"/>
  <c r="E311" i="49"/>
  <c r="E309" i="49"/>
  <c r="E308" i="49"/>
  <c r="E307" i="49"/>
  <c r="E306" i="49"/>
  <c r="I305" i="49"/>
  <c r="H305" i="49"/>
  <c r="G305" i="49"/>
  <c r="F305" i="49"/>
  <c r="E304" i="49"/>
  <c r="E302" i="49"/>
  <c r="E301" i="49"/>
  <c r="E300" i="49"/>
  <c r="E299" i="49"/>
  <c r="I298" i="49"/>
  <c r="H298" i="49"/>
  <c r="G298" i="49"/>
  <c r="F298" i="49"/>
  <c r="E297" i="49"/>
  <c r="E294" i="49"/>
  <c r="F293" i="49"/>
  <c r="E293" i="49" s="1"/>
  <c r="E292" i="49"/>
  <c r="I291" i="49"/>
  <c r="H291" i="49"/>
  <c r="G291" i="49"/>
  <c r="E290" i="49"/>
  <c r="E288" i="49"/>
  <c r="E287" i="49"/>
  <c r="E286" i="49"/>
  <c r="E285" i="49"/>
  <c r="I284" i="49"/>
  <c r="H284" i="49"/>
  <c r="G284" i="49"/>
  <c r="F284" i="49"/>
  <c r="E283" i="49"/>
  <c r="E281" i="49"/>
  <c r="E280" i="49"/>
  <c r="E279" i="49"/>
  <c r="E278" i="49"/>
  <c r="I277" i="49"/>
  <c r="H277" i="49"/>
  <c r="G277" i="49"/>
  <c r="F277" i="49"/>
  <c r="E276" i="49"/>
  <c r="E274" i="49"/>
  <c r="E273" i="49"/>
  <c r="E272" i="49"/>
  <c r="E271" i="49"/>
  <c r="I270" i="49"/>
  <c r="H270" i="49"/>
  <c r="G270" i="49"/>
  <c r="F270" i="49"/>
  <c r="E269" i="49"/>
  <c r="E267" i="49"/>
  <c r="E266" i="49"/>
  <c r="E265" i="49"/>
  <c r="E264" i="49"/>
  <c r="I263" i="49"/>
  <c r="H263" i="49"/>
  <c r="G263" i="49"/>
  <c r="F263" i="49"/>
  <c r="E262" i="49"/>
  <c r="E260" i="49"/>
  <c r="E259" i="49"/>
  <c r="E258" i="49"/>
  <c r="E257" i="49"/>
  <c r="I256" i="49"/>
  <c r="H256" i="49"/>
  <c r="G256" i="49"/>
  <c r="F256" i="49"/>
  <c r="E255" i="49"/>
  <c r="E254" i="49"/>
  <c r="E253" i="49"/>
  <c r="F252" i="49"/>
  <c r="E252" i="49" s="1"/>
  <c r="F251" i="49"/>
  <c r="E251" i="49" s="1"/>
  <c r="E250" i="49"/>
  <c r="I249" i="49"/>
  <c r="H249" i="49"/>
  <c r="G249" i="49"/>
  <c r="E248" i="49"/>
  <c r="E247" i="49"/>
  <c r="E246" i="49"/>
  <c r="F245" i="49"/>
  <c r="E245" i="49" s="1"/>
  <c r="F244" i="49"/>
  <c r="E244" i="49" s="1"/>
  <c r="E243" i="49"/>
  <c r="I242" i="49"/>
  <c r="H242" i="49"/>
  <c r="G242" i="49"/>
  <c r="E241" i="49"/>
  <c r="E240" i="49"/>
  <c r="E239" i="49"/>
  <c r="E238" i="49"/>
  <c r="E237" i="49"/>
  <c r="F236" i="49"/>
  <c r="E236" i="49" s="1"/>
  <c r="I235" i="49"/>
  <c r="H235" i="49"/>
  <c r="G235" i="49"/>
  <c r="F235" i="49"/>
  <c r="E234" i="49"/>
  <c r="E233" i="49"/>
  <c r="E232" i="49"/>
  <c r="F231" i="49"/>
  <c r="E231" i="49" s="1"/>
  <c r="E230" i="49"/>
  <c r="E229" i="49"/>
  <c r="I228" i="49"/>
  <c r="H228" i="49"/>
  <c r="G228" i="49"/>
  <c r="E227" i="49"/>
  <c r="G226" i="49"/>
  <c r="E226" i="49" s="1"/>
  <c r="E225" i="49"/>
  <c r="F224" i="49"/>
  <c r="F223" i="49"/>
  <c r="E223" i="49" s="1"/>
  <c r="F222" i="49"/>
  <c r="E222" i="49" s="1"/>
  <c r="I221" i="49"/>
  <c r="H221" i="49"/>
  <c r="I220" i="49"/>
  <c r="H220" i="49"/>
  <c r="H213" i="49" s="1"/>
  <c r="G220" i="49"/>
  <c r="F220" i="49"/>
  <c r="F213" i="49" s="1"/>
  <c r="I219" i="49"/>
  <c r="I212" i="49" s="1"/>
  <c r="H219" i="49"/>
  <c r="F219" i="49"/>
  <c r="I218" i="49"/>
  <c r="I211" i="49" s="1"/>
  <c r="H218" i="49"/>
  <c r="G218" i="49"/>
  <c r="I217" i="49"/>
  <c r="H217" i="49"/>
  <c r="G217" i="49"/>
  <c r="I216" i="49"/>
  <c r="H216" i="49"/>
  <c r="G216" i="49"/>
  <c r="F216" i="49"/>
  <c r="I215" i="49"/>
  <c r="H215" i="49"/>
  <c r="G215" i="49"/>
  <c r="G213" i="49"/>
  <c r="E206" i="49"/>
  <c r="E204" i="49"/>
  <c r="E203" i="49"/>
  <c r="E202" i="49"/>
  <c r="E201" i="49"/>
  <c r="I200" i="49"/>
  <c r="H200" i="49"/>
  <c r="G200" i="49"/>
  <c r="F200" i="49"/>
  <c r="E199" i="49"/>
  <c r="E198" i="49"/>
  <c r="E197" i="49"/>
  <c r="F196" i="49"/>
  <c r="F193" i="49" s="1"/>
  <c r="E195" i="49"/>
  <c r="E194" i="49"/>
  <c r="I193" i="49"/>
  <c r="H193" i="49"/>
  <c r="G193" i="49"/>
  <c r="E192" i="49"/>
  <c r="E191" i="49"/>
  <c r="E190" i="49"/>
  <c r="F189" i="49"/>
  <c r="F186" i="49" s="1"/>
  <c r="E188" i="49"/>
  <c r="E187" i="49"/>
  <c r="I186" i="49"/>
  <c r="H186" i="49"/>
  <c r="G186" i="49"/>
  <c r="E185" i="49"/>
  <c r="E183" i="49"/>
  <c r="E182" i="49"/>
  <c r="E181" i="49"/>
  <c r="E180" i="49"/>
  <c r="I179" i="49"/>
  <c r="H179" i="49"/>
  <c r="G179" i="49"/>
  <c r="F179" i="49"/>
  <c r="I178" i="49"/>
  <c r="H178" i="49"/>
  <c r="G178" i="49"/>
  <c r="F178" i="49"/>
  <c r="I177" i="49"/>
  <c r="H177" i="49"/>
  <c r="G177" i="49"/>
  <c r="F177" i="49"/>
  <c r="I176" i="49"/>
  <c r="H176" i="49"/>
  <c r="G176" i="49"/>
  <c r="F176" i="49"/>
  <c r="D76" i="3" s="1"/>
  <c r="I175" i="49"/>
  <c r="H175" i="49"/>
  <c r="G175" i="49"/>
  <c r="I174" i="49"/>
  <c r="H174" i="49"/>
  <c r="G174" i="49"/>
  <c r="F174" i="49"/>
  <c r="I173" i="49"/>
  <c r="H173" i="49"/>
  <c r="G173" i="49"/>
  <c r="F173" i="49"/>
  <c r="E171" i="49"/>
  <c r="E169" i="49"/>
  <c r="E168" i="49"/>
  <c r="E167" i="49"/>
  <c r="E166" i="49"/>
  <c r="E164" i="49"/>
  <c r="E163" i="49"/>
  <c r="E162" i="49"/>
  <c r="F161" i="49"/>
  <c r="F158" i="49" s="1"/>
  <c r="E160" i="49"/>
  <c r="E159" i="49"/>
  <c r="I158" i="49"/>
  <c r="H158" i="49"/>
  <c r="G158" i="49"/>
  <c r="E157" i="49"/>
  <c r="H156" i="49"/>
  <c r="G156" i="49" s="1"/>
  <c r="E156" i="49" s="1"/>
  <c r="E155" i="49"/>
  <c r="E154" i="49"/>
  <c r="H153" i="49"/>
  <c r="G153" i="49" s="1"/>
  <c r="E153" i="49" s="1"/>
  <c r="H152" i="49"/>
  <c r="G152" i="49" s="1"/>
  <c r="I151" i="49"/>
  <c r="F151" i="49"/>
  <c r="E150" i="49"/>
  <c r="E149" i="49"/>
  <c r="E148" i="49"/>
  <c r="E147" i="49"/>
  <c r="E146" i="49"/>
  <c r="E145" i="49"/>
  <c r="I144" i="49"/>
  <c r="H144" i="49"/>
  <c r="G144" i="49"/>
  <c r="F144" i="49"/>
  <c r="H143" i="49"/>
  <c r="H66" i="49" s="1"/>
  <c r="H141" i="49"/>
  <c r="G141" i="49" s="1"/>
  <c r="H140" i="49"/>
  <c r="H64" i="49" s="1"/>
  <c r="F139" i="49"/>
  <c r="E138" i="49"/>
  <c r="I137" i="49"/>
  <c r="E136" i="49"/>
  <c r="E134" i="49"/>
  <c r="E133" i="49"/>
  <c r="E132" i="49"/>
  <c r="E131" i="49"/>
  <c r="I130" i="49"/>
  <c r="H130" i="49"/>
  <c r="G130" i="49"/>
  <c r="F130" i="49"/>
  <c r="E129" i="49"/>
  <c r="E128" i="49"/>
  <c r="E127" i="49"/>
  <c r="F126" i="49"/>
  <c r="E125" i="49"/>
  <c r="E124" i="49"/>
  <c r="I123" i="49"/>
  <c r="H123" i="49"/>
  <c r="G123" i="49"/>
  <c r="E121" i="49"/>
  <c r="E120" i="49"/>
  <c r="E119" i="49"/>
  <c r="E118" i="49"/>
  <c r="I117" i="49"/>
  <c r="H117" i="49"/>
  <c r="G117" i="49"/>
  <c r="F117" i="49"/>
  <c r="E116" i="49"/>
  <c r="E114" i="49"/>
  <c r="E113" i="49"/>
  <c r="F112" i="49"/>
  <c r="E112" i="49" s="1"/>
  <c r="E111" i="49"/>
  <c r="I110" i="49"/>
  <c r="H110" i="49"/>
  <c r="G110" i="49"/>
  <c r="E109" i="49"/>
  <c r="E108" i="49"/>
  <c r="E107" i="49"/>
  <c r="E106" i="49"/>
  <c r="E105" i="49"/>
  <c r="E104" i="49"/>
  <c r="I103" i="49"/>
  <c r="H103" i="49"/>
  <c r="G103" i="49"/>
  <c r="F103" i="49"/>
  <c r="E102" i="49"/>
  <c r="E101" i="49"/>
  <c r="F100" i="49"/>
  <c r="D46" i="3" s="1"/>
  <c r="F99" i="49"/>
  <c r="E99" i="49" s="1"/>
  <c r="E98" i="49"/>
  <c r="F97" i="49"/>
  <c r="F62" i="49" s="1"/>
  <c r="I96" i="49"/>
  <c r="H96" i="49"/>
  <c r="G96" i="49"/>
  <c r="E95" i="49"/>
  <c r="E94" i="49"/>
  <c r="E93" i="49"/>
  <c r="F92" i="49"/>
  <c r="E92" i="49" s="1"/>
  <c r="E91" i="49"/>
  <c r="E90" i="49"/>
  <c r="I89" i="49"/>
  <c r="H89" i="49"/>
  <c r="G89" i="49"/>
  <c r="E88" i="49"/>
  <c r="E87" i="49"/>
  <c r="E86" i="49"/>
  <c r="D36" i="3" s="1"/>
  <c r="D35" i="3" s="1"/>
  <c r="F85" i="49"/>
  <c r="F82" i="49" s="1"/>
  <c r="E84" i="49"/>
  <c r="E83" i="49"/>
  <c r="I82" i="49"/>
  <c r="H82" i="49"/>
  <c r="G82" i="49"/>
  <c r="E81" i="49"/>
  <c r="E79" i="49"/>
  <c r="E78" i="49"/>
  <c r="E77" i="49"/>
  <c r="E76" i="49"/>
  <c r="I75" i="49"/>
  <c r="H75" i="49"/>
  <c r="G75" i="49"/>
  <c r="F75" i="49"/>
  <c r="E74" i="49"/>
  <c r="E73" i="49"/>
  <c r="E72" i="49"/>
  <c r="F71" i="49"/>
  <c r="E71" i="49" s="1"/>
  <c r="E70" i="49"/>
  <c r="E69" i="49"/>
  <c r="I68" i="49"/>
  <c r="H68" i="49"/>
  <c r="G68" i="49"/>
  <c r="I67" i="49"/>
  <c r="H67" i="49"/>
  <c r="H32" i="49" s="1"/>
  <c r="G67" i="49"/>
  <c r="F67" i="49"/>
  <c r="I66" i="49"/>
  <c r="I65" i="49"/>
  <c r="H65" i="49"/>
  <c r="I64" i="49"/>
  <c r="I63" i="49"/>
  <c r="H63" i="49"/>
  <c r="G63" i="49"/>
  <c r="I62" i="49"/>
  <c r="H62" i="49"/>
  <c r="G62" i="49"/>
  <c r="E60" i="49"/>
  <c r="F58" i="49"/>
  <c r="F54" i="49" s="1"/>
  <c r="E57" i="49"/>
  <c r="E56" i="49"/>
  <c r="E55" i="49"/>
  <c r="I54" i="49"/>
  <c r="H54" i="49"/>
  <c r="G54" i="49"/>
  <c r="E53" i="49"/>
  <c r="E51" i="49"/>
  <c r="E50" i="49"/>
  <c r="E49" i="49"/>
  <c r="E48" i="49"/>
  <c r="I47" i="49"/>
  <c r="H47" i="49"/>
  <c r="G47" i="49"/>
  <c r="F47" i="49"/>
  <c r="E46" i="49"/>
  <c r="E44" i="49"/>
  <c r="E43" i="49"/>
  <c r="E42" i="49"/>
  <c r="E41" i="49"/>
  <c r="I40" i="49"/>
  <c r="H40" i="49"/>
  <c r="G40" i="49"/>
  <c r="F40" i="49"/>
  <c r="I39" i="49"/>
  <c r="H39" i="49"/>
  <c r="G39" i="49"/>
  <c r="F39" i="49"/>
  <c r="I37" i="49"/>
  <c r="H37" i="49"/>
  <c r="G37" i="49"/>
  <c r="I36" i="49"/>
  <c r="I29" i="49" s="1"/>
  <c r="H36" i="49"/>
  <c r="G36" i="49"/>
  <c r="F36" i="49"/>
  <c r="I35" i="49"/>
  <c r="H35" i="49"/>
  <c r="G35" i="49"/>
  <c r="F35" i="49"/>
  <c r="I34" i="49"/>
  <c r="H34" i="49"/>
  <c r="G34" i="49"/>
  <c r="F34" i="49"/>
  <c r="N19" i="49"/>
  <c r="N58" i="49" l="1"/>
  <c r="G209" i="49"/>
  <c r="I33" i="49"/>
  <c r="F399" i="49"/>
  <c r="E399" i="49" s="1"/>
  <c r="H210" i="49"/>
  <c r="G32" i="49"/>
  <c r="I209" i="49"/>
  <c r="G219" i="49"/>
  <c r="G212" i="49" s="1"/>
  <c r="F575" i="49"/>
  <c r="E870" i="49"/>
  <c r="F212" i="49"/>
  <c r="F218" i="49"/>
  <c r="F211" i="49" s="1"/>
  <c r="G221" i="49"/>
  <c r="F215" i="49"/>
  <c r="H805" i="49"/>
  <c r="H28" i="49"/>
  <c r="O14" i="49" s="1"/>
  <c r="F436" i="49"/>
  <c r="H30" i="49"/>
  <c r="D23" i="3" s="1"/>
  <c r="E34" i="49"/>
  <c r="I375" i="49"/>
  <c r="E277" i="49"/>
  <c r="H211" i="49"/>
  <c r="O16" i="49" s="1"/>
  <c r="G421" i="49"/>
  <c r="E520" i="49"/>
  <c r="E832" i="49"/>
  <c r="H872" i="49"/>
  <c r="H23" i="49" s="1"/>
  <c r="E216" i="49"/>
  <c r="F577" i="49"/>
  <c r="F574" i="49" s="1"/>
  <c r="E193" i="49"/>
  <c r="I210" i="49"/>
  <c r="E770" i="49"/>
  <c r="F791" i="49"/>
  <c r="D16" i="3"/>
  <c r="E186" i="49"/>
  <c r="E937" i="49"/>
  <c r="E173" i="49"/>
  <c r="D243" i="3"/>
  <c r="G248" i="3"/>
  <c r="G27" i="49"/>
  <c r="E381" i="49"/>
  <c r="E82" i="49"/>
  <c r="F421" i="49"/>
  <c r="H609" i="49"/>
  <c r="E609" i="49" s="1"/>
  <c r="F595" i="49"/>
  <c r="E595" i="49" s="1"/>
  <c r="F37" i="49"/>
  <c r="E37" i="49" s="1"/>
  <c r="D181" i="3"/>
  <c r="D185" i="3"/>
  <c r="G185" i="3" s="1"/>
  <c r="G186" i="3"/>
  <c r="E871" i="49"/>
  <c r="F872" i="49"/>
  <c r="D246" i="3"/>
  <c r="F217" i="49"/>
  <c r="F210" i="49" s="1"/>
  <c r="E210" i="49" s="1"/>
  <c r="E365" i="49"/>
  <c r="D136" i="3"/>
  <c r="I868" i="49"/>
  <c r="D190" i="3"/>
  <c r="G190" i="3" s="1"/>
  <c r="G191" i="3"/>
  <c r="H212" i="49"/>
  <c r="F833" i="49"/>
  <c r="D216" i="3"/>
  <c r="E869" i="49"/>
  <c r="H209" i="49"/>
  <c r="E478" i="49"/>
  <c r="E592" i="49"/>
  <c r="D201" i="3"/>
  <c r="D196" i="3" s="1"/>
  <c r="I889" i="49"/>
  <c r="F893" i="49"/>
  <c r="D261" i="3"/>
  <c r="I31" i="49"/>
  <c r="G210" i="49"/>
  <c r="G843" i="49"/>
  <c r="G840" i="49" s="1"/>
  <c r="E58" i="49"/>
  <c r="E54" i="49" s="1"/>
  <c r="E895" i="49"/>
  <c r="I517" i="49"/>
  <c r="E517" i="49" s="1"/>
  <c r="E519" i="49"/>
  <c r="E679" i="49"/>
  <c r="H930" i="49"/>
  <c r="H11" i="49" s="1"/>
  <c r="H18" i="49" s="1"/>
  <c r="F319" i="49"/>
  <c r="E319" i="49" s="1"/>
  <c r="F20" i="49"/>
  <c r="E220" i="49"/>
  <c r="G396" i="49"/>
  <c r="E597" i="49"/>
  <c r="F110" i="49"/>
  <c r="E110" i="49" s="1"/>
  <c r="H208" i="49"/>
  <c r="G211" i="49"/>
  <c r="I831" i="49"/>
  <c r="H838" i="49" s="1"/>
  <c r="H833" i="49" s="1"/>
  <c r="F63" i="49"/>
  <c r="E63" i="49" s="1"/>
  <c r="E929" i="49"/>
  <c r="F68" i="49"/>
  <c r="E68" i="49" s="1"/>
  <c r="E85" i="49"/>
  <c r="G140" i="49"/>
  <c r="F140" i="49" s="1"/>
  <c r="F64" i="49" s="1"/>
  <c r="E312" i="49"/>
  <c r="E347" i="49"/>
  <c r="E398" i="49"/>
  <c r="F424" i="49"/>
  <c r="F417" i="49" s="1"/>
  <c r="H672" i="49"/>
  <c r="E672" i="49" s="1"/>
  <c r="I214" i="49"/>
  <c r="F534" i="49"/>
  <c r="E534" i="49" s="1"/>
  <c r="F844" i="49"/>
  <c r="E844" i="49" s="1"/>
  <c r="H924" i="49"/>
  <c r="I30" i="49"/>
  <c r="E389" i="49"/>
  <c r="H492" i="49"/>
  <c r="E492" i="49" s="1"/>
  <c r="H151" i="49"/>
  <c r="E189" i="49"/>
  <c r="E555" i="49"/>
  <c r="E305" i="49"/>
  <c r="E333" i="49"/>
  <c r="F784" i="49"/>
  <c r="I172" i="49"/>
  <c r="E200" i="49"/>
  <c r="E377" i="49"/>
  <c r="E623" i="49"/>
  <c r="H931" i="49"/>
  <c r="G868" i="49"/>
  <c r="H24" i="49"/>
  <c r="F847" i="49"/>
  <c r="M851" i="49" s="1"/>
  <c r="F21" i="49"/>
  <c r="F416" i="49"/>
  <c r="F871" i="49"/>
  <c r="F22" i="49" s="1"/>
  <c r="I576" i="49"/>
  <c r="I417" i="49" s="1"/>
  <c r="I27" i="49"/>
  <c r="H31" i="49"/>
  <c r="E40" i="49"/>
  <c r="E47" i="49"/>
  <c r="I61" i="49"/>
  <c r="E67" i="49"/>
  <c r="F96" i="49"/>
  <c r="E96" i="49" s="1"/>
  <c r="E97" i="49"/>
  <c r="E130" i="49"/>
  <c r="G143" i="49"/>
  <c r="H172" i="49"/>
  <c r="E196" i="49"/>
  <c r="I208" i="49"/>
  <c r="I931" i="49"/>
  <c r="G33" i="49"/>
  <c r="I32" i="49"/>
  <c r="E103" i="49"/>
  <c r="E117" i="49"/>
  <c r="E139" i="49"/>
  <c r="E158" i="49"/>
  <c r="E165" i="49"/>
  <c r="G172" i="49"/>
  <c r="E176" i="49"/>
  <c r="I213" i="49"/>
  <c r="H214" i="49"/>
  <c r="F221" i="49"/>
  <c r="E221" i="49" s="1"/>
  <c r="E224" i="49"/>
  <c r="F242" i="49"/>
  <c r="E242" i="49" s="1"/>
  <c r="E270" i="49"/>
  <c r="E284" i="49"/>
  <c r="E298" i="49"/>
  <c r="E326" i="49"/>
  <c r="F354" i="49"/>
  <c r="E354" i="49" s="1"/>
  <c r="E361" i="49"/>
  <c r="H375" i="49"/>
  <c r="G375" i="49"/>
  <c r="E382" i="49"/>
  <c r="E397" i="49"/>
  <c r="I396" i="49"/>
  <c r="E408" i="49"/>
  <c r="E443" i="49"/>
  <c r="E527" i="49"/>
  <c r="E541" i="49"/>
  <c r="E548" i="49"/>
  <c r="H576" i="49"/>
  <c r="E616" i="49"/>
  <c r="E624" i="49"/>
  <c r="H637" i="49"/>
  <c r="E637" i="49" s="1"/>
  <c r="E673" i="49"/>
  <c r="E700" i="49"/>
  <c r="E759" i="49"/>
  <c r="E763" i="49"/>
  <c r="E882" i="49"/>
  <c r="E868" i="49" s="1"/>
  <c r="F896" i="49"/>
  <c r="E896" i="49" s="1"/>
  <c r="E900" i="49"/>
  <c r="E903" i="49"/>
  <c r="F917" i="49"/>
  <c r="E941" i="49"/>
  <c r="I28" i="49"/>
  <c r="F32" i="49"/>
  <c r="E39" i="49"/>
  <c r="E75" i="49"/>
  <c r="F89" i="49"/>
  <c r="E89" i="49" s="1"/>
  <c r="H29" i="49"/>
  <c r="E144" i="49"/>
  <c r="F175" i="49"/>
  <c r="E175" i="49" s="1"/>
  <c r="E177" i="49"/>
  <c r="E178" i="49"/>
  <c r="E179" i="49"/>
  <c r="G208" i="49"/>
  <c r="F209" i="49"/>
  <c r="E235" i="49"/>
  <c r="E256" i="49"/>
  <c r="E263" i="49"/>
  <c r="E368" i="49"/>
  <c r="E378" i="49"/>
  <c r="E380" i="49"/>
  <c r="E400" i="49"/>
  <c r="E402" i="49"/>
  <c r="E450" i="49"/>
  <c r="E471" i="49"/>
  <c r="F426" i="49"/>
  <c r="E588" i="49"/>
  <c r="E651" i="49"/>
  <c r="E693" i="49"/>
  <c r="E707" i="49"/>
  <c r="E777" i="49"/>
  <c r="F805" i="49"/>
  <c r="E805" i="49" s="1"/>
  <c r="G826" i="49"/>
  <c r="F845" i="49"/>
  <c r="F24" i="49" s="1"/>
  <c r="F843" i="49"/>
  <c r="H21" i="49"/>
  <c r="E872" i="49"/>
  <c r="G889" i="49"/>
  <c r="E933" i="49"/>
  <c r="E213" i="49"/>
  <c r="E340" i="49"/>
  <c r="F375" i="49"/>
  <c r="H396" i="49"/>
  <c r="E401" i="49"/>
  <c r="E429" i="49"/>
  <c r="H424" i="49"/>
  <c r="E464" i="49"/>
  <c r="F485" i="49"/>
  <c r="E485" i="49" s="1"/>
  <c r="E602" i="49"/>
  <c r="E665" i="49"/>
  <c r="E686" i="49"/>
  <c r="E827" i="49"/>
  <c r="E829" i="49"/>
  <c r="E850" i="49"/>
  <c r="E847" i="49" s="1"/>
  <c r="H868" i="49"/>
  <c r="E891" i="49"/>
  <c r="F892" i="49"/>
  <c r="E894" i="49"/>
  <c r="H920" i="49"/>
  <c r="E920" i="49" s="1"/>
  <c r="E932" i="49"/>
  <c r="E935" i="49"/>
  <c r="F938" i="49"/>
  <c r="E938" i="49" s="1"/>
  <c r="I575" i="49"/>
  <c r="I416" i="49" s="1"/>
  <c r="I6" i="49" s="1"/>
  <c r="E750" i="49"/>
  <c r="G749" i="49"/>
  <c r="G748" i="49" s="1"/>
  <c r="H61" i="49"/>
  <c r="F141" i="49"/>
  <c r="E141" i="49" s="1"/>
  <c r="G65" i="49"/>
  <c r="G30" i="49" s="1"/>
  <c r="E925" i="49"/>
  <c r="G11" i="49"/>
  <c r="G18" i="49" s="1"/>
  <c r="E62" i="49"/>
  <c r="F27" i="49"/>
  <c r="E152" i="49"/>
  <c r="G151" i="49"/>
  <c r="E756" i="49"/>
  <c r="F927" i="49"/>
  <c r="E934" i="49"/>
  <c r="G503" i="49"/>
  <c r="G428" i="49"/>
  <c r="E428" i="49" s="1"/>
  <c r="E421" i="49"/>
  <c r="I579" i="49"/>
  <c r="I718" i="49"/>
  <c r="I717" i="49" s="1"/>
  <c r="H27" i="49"/>
  <c r="E100" i="49"/>
  <c r="F123" i="49"/>
  <c r="E123" i="49" s="1"/>
  <c r="H137" i="49"/>
  <c r="F228" i="49"/>
  <c r="E228" i="49" s="1"/>
  <c r="F361" i="49"/>
  <c r="H437" i="49"/>
  <c r="E580" i="49"/>
  <c r="E584" i="49"/>
  <c r="E591" i="49"/>
  <c r="E617" i="49"/>
  <c r="H630" i="49"/>
  <c r="E630" i="49" s="1"/>
  <c r="E680" i="49"/>
  <c r="E757" i="49"/>
  <c r="G928" i="49"/>
  <c r="E928" i="49" s="1"/>
  <c r="E35" i="49"/>
  <c r="E174" i="49"/>
  <c r="F249" i="49"/>
  <c r="E249" i="49" s="1"/>
  <c r="E751" i="49"/>
  <c r="E215" i="49"/>
  <c r="E376" i="49"/>
  <c r="H575" i="49"/>
  <c r="E585" i="49"/>
  <c r="H644" i="49"/>
  <c r="E644" i="49" s="1"/>
  <c r="E758" i="49"/>
  <c r="E837" i="49"/>
  <c r="E890" i="49"/>
  <c r="G926" i="49"/>
  <c r="F931" i="49"/>
  <c r="E936" i="49"/>
  <c r="G931" i="49"/>
  <c r="G28" i="49"/>
  <c r="E161" i="49"/>
  <c r="F208" i="49"/>
  <c r="F291" i="49"/>
  <c r="E291" i="49" s="1"/>
  <c r="E411" i="49"/>
  <c r="H457" i="49"/>
  <c r="E457" i="49" s="1"/>
  <c r="F830" i="49"/>
  <c r="I926" i="49"/>
  <c r="I924" i="49" s="1"/>
  <c r="E379" i="49"/>
  <c r="H798" i="49"/>
  <c r="E798" i="49" s="1"/>
  <c r="E828" i="49"/>
  <c r="E893" i="49"/>
  <c r="H33" i="49"/>
  <c r="E36" i="49"/>
  <c r="E126" i="49"/>
  <c r="F396" i="49"/>
  <c r="E396" i="49" s="1"/>
  <c r="I578" i="49"/>
  <c r="I419" i="49" s="1"/>
  <c r="F581" i="49"/>
  <c r="H784" i="49"/>
  <c r="E784" i="49" s="1"/>
  <c r="H791" i="49"/>
  <c r="H429" i="49"/>
  <c r="I581" i="49"/>
  <c r="F868" i="49"/>
  <c r="F121" i="3"/>
  <c r="I516" i="49" l="1"/>
  <c r="F889" i="49"/>
  <c r="E219" i="49"/>
  <c r="I207" i="49"/>
  <c r="G214" i="49"/>
  <c r="E838" i="49"/>
  <c r="E217" i="49"/>
  <c r="E843" i="49"/>
  <c r="E840" i="49" s="1"/>
  <c r="I9" i="49"/>
  <c r="F172" i="49"/>
  <c r="I420" i="49"/>
  <c r="I10" i="49" s="1"/>
  <c r="I24" i="49" s="1"/>
  <c r="E151" i="49"/>
  <c r="F214" i="49"/>
  <c r="E218" i="49"/>
  <c r="E211" i="49"/>
  <c r="G137" i="49"/>
  <c r="E214" i="49"/>
  <c r="G64" i="49"/>
  <c r="G29" i="49" s="1"/>
  <c r="F65" i="49"/>
  <c r="E65" i="49" s="1"/>
  <c r="E32" i="49"/>
  <c r="G924" i="49"/>
  <c r="H207" i="49"/>
  <c r="E212" i="49"/>
  <c r="H419" i="49"/>
  <c r="H9" i="49" s="1"/>
  <c r="H16" i="49" s="1"/>
  <c r="M876" i="49"/>
  <c r="F422" i="49"/>
  <c r="E209" i="49"/>
  <c r="G207" i="49"/>
  <c r="E833" i="49"/>
  <c r="E375" i="49"/>
  <c r="F23" i="49"/>
  <c r="F19" i="49" s="1"/>
  <c r="E930" i="49"/>
  <c r="E791" i="49"/>
  <c r="F33" i="49"/>
  <c r="E33" i="49" s="1"/>
  <c r="J33" i="51"/>
  <c r="D241" i="3"/>
  <c r="D245" i="3"/>
  <c r="H831" i="49"/>
  <c r="O17" i="49" s="1"/>
  <c r="I826" i="49"/>
  <c r="F28" i="49"/>
  <c r="E28" i="49" s="1"/>
  <c r="D211" i="3"/>
  <c r="D215" i="3"/>
  <c r="G215" i="3" s="1"/>
  <c r="G216" i="3"/>
  <c r="E172" i="49"/>
  <c r="F11" i="49"/>
  <c r="F18" i="49" s="1"/>
  <c r="F840" i="49"/>
  <c r="F420" i="49"/>
  <c r="E931" i="49"/>
  <c r="E926" i="49"/>
  <c r="F418" i="49"/>
  <c r="I11" i="49"/>
  <c r="I18" i="49" s="1"/>
  <c r="I26" i="49"/>
  <c r="H574" i="49"/>
  <c r="H917" i="49"/>
  <c r="E917" i="49" s="1"/>
  <c r="H892" i="49"/>
  <c r="H22" i="49"/>
  <c r="F143" i="49"/>
  <c r="F137" i="49" s="1"/>
  <c r="G66" i="49"/>
  <c r="G31" i="49" s="1"/>
  <c r="N17" i="49" s="1"/>
  <c r="H417" i="49"/>
  <c r="H7" i="49" s="1"/>
  <c r="H14" i="49" s="1"/>
  <c r="N16" i="49"/>
  <c r="E64" i="49"/>
  <c r="F29" i="49"/>
  <c r="E748" i="49"/>
  <c r="G746" i="49"/>
  <c r="N14" i="49"/>
  <c r="F826" i="49"/>
  <c r="E830" i="49"/>
  <c r="H436" i="49"/>
  <c r="H20" i="49"/>
  <c r="H423" i="49"/>
  <c r="I716" i="49"/>
  <c r="I715" i="49" s="1"/>
  <c r="I714" i="49" s="1"/>
  <c r="I577" i="49"/>
  <c r="I418" i="49" s="1"/>
  <c r="I8" i="49" s="1"/>
  <c r="E927" i="49"/>
  <c r="F924" i="49"/>
  <c r="E924" i="49" s="1"/>
  <c r="I7" i="49"/>
  <c r="I21" i="49" s="1"/>
  <c r="E27" i="49"/>
  <c r="F6" i="49"/>
  <c r="F207" i="49"/>
  <c r="E208" i="49"/>
  <c r="F30" i="49"/>
  <c r="D21" i="3" s="1"/>
  <c r="G502" i="49"/>
  <c r="G426" i="49"/>
  <c r="F419" i="49"/>
  <c r="E437" i="49"/>
  <c r="E436" i="49" s="1"/>
  <c r="H26" i="49"/>
  <c r="E749" i="49"/>
  <c r="E581" i="49"/>
  <c r="I20" i="49"/>
  <c r="E516" i="49"/>
  <c r="I515" i="49"/>
  <c r="E140" i="49"/>
  <c r="E137" i="49" l="1"/>
  <c r="H420" i="49"/>
  <c r="H10" i="49" s="1"/>
  <c r="H17" i="49" s="1"/>
  <c r="E831" i="49"/>
  <c r="E207" i="49"/>
  <c r="D210" i="3"/>
  <c r="G210" i="3" s="1"/>
  <c r="G211" i="3"/>
  <c r="M14" i="49"/>
  <c r="F7" i="49"/>
  <c r="F14" i="49" s="1"/>
  <c r="J32" i="51"/>
  <c r="N32" i="51" s="1"/>
  <c r="J8" i="51"/>
  <c r="J7" i="51" s="1"/>
  <c r="H826" i="49"/>
  <c r="E826" i="49" s="1"/>
  <c r="G26" i="49"/>
  <c r="E11" i="49"/>
  <c r="H19" i="49"/>
  <c r="H418" i="49"/>
  <c r="H8" i="49" s="1"/>
  <c r="H15" i="49" s="1"/>
  <c r="H889" i="49"/>
  <c r="E889" i="49" s="1"/>
  <c r="E18" i="49"/>
  <c r="E892" i="49"/>
  <c r="G61" i="49"/>
  <c r="E143" i="49"/>
  <c r="F66" i="49"/>
  <c r="I5" i="49"/>
  <c r="G425" i="49"/>
  <c r="G501" i="49"/>
  <c r="M16" i="49"/>
  <c r="F9" i="49"/>
  <c r="E30" i="49"/>
  <c r="G745" i="49"/>
  <c r="E746" i="49"/>
  <c r="F13" i="49"/>
  <c r="H422" i="49"/>
  <c r="H416" i="49"/>
  <c r="E29" i="49"/>
  <c r="F8" i="49"/>
  <c r="F415" i="49"/>
  <c r="I514" i="49"/>
  <c r="E515" i="49"/>
  <c r="E426" i="49"/>
  <c r="E21" i="3"/>
  <c r="F61" i="49" l="1"/>
  <c r="E61" i="49" s="1"/>
  <c r="F31" i="49"/>
  <c r="E66" i="49"/>
  <c r="E514" i="49"/>
  <c r="I513" i="49"/>
  <c r="F16" i="49"/>
  <c r="G500" i="49"/>
  <c r="G424" i="49"/>
  <c r="E745" i="49"/>
  <c r="G744" i="49"/>
  <c r="F15" i="49"/>
  <c r="H415" i="49"/>
  <c r="H6" i="49"/>
  <c r="E425" i="49"/>
  <c r="F26" i="49" l="1"/>
  <c r="E26" i="49" s="1"/>
  <c r="E31" i="49"/>
  <c r="F10" i="49"/>
  <c r="M17" i="49"/>
  <c r="E424" i="49"/>
  <c r="H5" i="49"/>
  <c r="H13" i="49"/>
  <c r="H12" i="49" s="1"/>
  <c r="I512" i="49"/>
  <c r="E513" i="49"/>
  <c r="E744" i="49"/>
  <c r="G743" i="49"/>
  <c r="G499" i="49"/>
  <c r="G423" i="49"/>
  <c r="J28" i="3"/>
  <c r="J27" i="3"/>
  <c r="J26" i="3"/>
  <c r="J78" i="3"/>
  <c r="J77" i="3"/>
  <c r="J76" i="3"/>
  <c r="J98" i="3"/>
  <c r="J97" i="3"/>
  <c r="J96" i="3"/>
  <c r="J163" i="3"/>
  <c r="J162" i="3"/>
  <c r="J161" i="3"/>
  <c r="J181" i="3"/>
  <c r="J223" i="3"/>
  <c r="J222" i="3"/>
  <c r="J221" i="3"/>
  <c r="J258" i="3"/>
  <c r="J257" i="3"/>
  <c r="J256" i="3"/>
  <c r="J278" i="3"/>
  <c r="J273" i="3" s="1"/>
  <c r="J277" i="3"/>
  <c r="J272" i="3" s="1"/>
  <c r="J276" i="3"/>
  <c r="J271" i="3" s="1"/>
  <c r="G277" i="3"/>
  <c r="G278" i="3"/>
  <c r="G279" i="3"/>
  <c r="G272" i="3"/>
  <c r="G273" i="3"/>
  <c r="G274" i="3"/>
  <c r="G269" i="3"/>
  <c r="G179" i="3"/>
  <c r="G164" i="3"/>
  <c r="G149" i="3"/>
  <c r="G97" i="3"/>
  <c r="G98" i="3"/>
  <c r="G99" i="3"/>
  <c r="G102" i="3"/>
  <c r="G103" i="3"/>
  <c r="G104" i="3"/>
  <c r="G107" i="3"/>
  <c r="G108" i="3"/>
  <c r="G109" i="3"/>
  <c r="G112" i="3"/>
  <c r="G113" i="3"/>
  <c r="G114" i="3"/>
  <c r="G117" i="3"/>
  <c r="G118" i="3"/>
  <c r="G119" i="3"/>
  <c r="G122" i="3"/>
  <c r="G123" i="3"/>
  <c r="G124" i="3"/>
  <c r="G127" i="3"/>
  <c r="G128" i="3"/>
  <c r="G129" i="3"/>
  <c r="G132" i="3"/>
  <c r="G133" i="3"/>
  <c r="G134" i="3"/>
  <c r="G82" i="3"/>
  <c r="G83" i="3"/>
  <c r="G84" i="3"/>
  <c r="G87" i="3"/>
  <c r="G88" i="3"/>
  <c r="G89" i="3"/>
  <c r="G24" i="3"/>
  <c r="G14" i="3"/>
  <c r="J91" i="3" l="1"/>
  <c r="J177" i="3"/>
  <c r="J176" i="3"/>
  <c r="J178" i="3"/>
  <c r="F5" i="49"/>
  <c r="F17" i="49"/>
  <c r="F12" i="49" s="1"/>
  <c r="G422" i="49"/>
  <c r="E422" i="49" s="1"/>
  <c r="E423" i="49"/>
  <c r="E743" i="49"/>
  <c r="G742" i="49"/>
  <c r="E512" i="49"/>
  <c r="I510" i="49"/>
  <c r="J25" i="3"/>
  <c r="J75" i="3"/>
  <c r="J95" i="3"/>
  <c r="J160" i="3"/>
  <c r="J180" i="3"/>
  <c r="J220" i="3"/>
  <c r="J16" i="3" s="1"/>
  <c r="J255" i="3"/>
  <c r="E148" i="3"/>
  <c r="F148" i="3" s="1"/>
  <c r="E147" i="3"/>
  <c r="F147" i="3" s="1"/>
  <c r="E163" i="3"/>
  <c r="F163" i="3" s="1"/>
  <c r="J6" i="3" l="1"/>
  <c r="J175" i="3"/>
  <c r="I509" i="49"/>
  <c r="I23" i="49"/>
  <c r="E510" i="49"/>
  <c r="G741" i="49"/>
  <c r="E742" i="49"/>
  <c r="J17" i="3"/>
  <c r="J18" i="3"/>
  <c r="D9" i="3"/>
  <c r="G9" i="3" s="1"/>
  <c r="F184" i="3"/>
  <c r="G184" i="3" s="1"/>
  <c r="J15" i="3" l="1"/>
  <c r="E741" i="49"/>
  <c r="G739" i="49"/>
  <c r="E509" i="49"/>
  <c r="I508" i="49"/>
  <c r="I22" i="49"/>
  <c r="I19" i="49" s="1"/>
  <c r="F182" i="3"/>
  <c r="F19" i="3"/>
  <c r="G19" i="3" s="1"/>
  <c r="E508" i="49" l="1"/>
  <c r="I507" i="49"/>
  <c r="E739" i="49"/>
  <c r="G738" i="49"/>
  <c r="J23" i="3"/>
  <c r="J22" i="3"/>
  <c r="J21" i="3"/>
  <c r="J20" i="3"/>
  <c r="J93" i="3"/>
  <c r="J92" i="3"/>
  <c r="J90" i="3"/>
  <c r="F93" i="3"/>
  <c r="F94" i="3"/>
  <c r="G94" i="3" s="1"/>
  <c r="E93" i="3"/>
  <c r="E94" i="3"/>
  <c r="J224" i="3"/>
  <c r="F259" i="3"/>
  <c r="E259" i="3"/>
  <c r="E244" i="3" s="1"/>
  <c r="E276" i="3"/>
  <c r="E271" i="3" s="1"/>
  <c r="E270" i="3" l="1"/>
  <c r="G259" i="3"/>
  <c r="F244" i="3"/>
  <c r="G244" i="3" s="1"/>
  <c r="E507" i="49"/>
  <c r="I506" i="49"/>
  <c r="G737" i="49"/>
  <c r="E738" i="49"/>
  <c r="F171" i="3"/>
  <c r="F172" i="3"/>
  <c r="E258" i="3"/>
  <c r="F267" i="3"/>
  <c r="E256" i="3"/>
  <c r="E176" i="3" s="1"/>
  <c r="F224" i="3"/>
  <c r="F223" i="3"/>
  <c r="F222" i="3"/>
  <c r="F221" i="3"/>
  <c r="E224" i="3"/>
  <c r="E223" i="3"/>
  <c r="F198" i="3"/>
  <c r="F141" i="3"/>
  <c r="F131" i="3"/>
  <c r="F126" i="3"/>
  <c r="F116" i="3"/>
  <c r="E178" i="3" l="1"/>
  <c r="F197" i="3"/>
  <c r="E195" i="3"/>
  <c r="F196" i="3"/>
  <c r="E737" i="49"/>
  <c r="G736" i="49"/>
  <c r="I505" i="49"/>
  <c r="E506" i="49"/>
  <c r="F220" i="3"/>
  <c r="F257" i="3"/>
  <c r="F242" i="3" s="1"/>
  <c r="F156" i="3"/>
  <c r="E146" i="3"/>
  <c r="E162" i="3"/>
  <c r="F166" i="3"/>
  <c r="E161" i="3"/>
  <c r="F167" i="3"/>
  <c r="F276" i="3"/>
  <c r="F16" i="3"/>
  <c r="F17" i="3"/>
  <c r="E257" i="3"/>
  <c r="F266" i="3"/>
  <c r="L28" i="51" s="1"/>
  <c r="F268" i="3"/>
  <c r="L30" i="51" s="1"/>
  <c r="L10" i="51" s="1"/>
  <c r="N10" i="51" s="1"/>
  <c r="F106" i="3"/>
  <c r="E29" i="3"/>
  <c r="F29" i="3" s="1"/>
  <c r="G29" i="3" s="1"/>
  <c r="E28" i="3"/>
  <c r="F28" i="3" s="1"/>
  <c r="E27" i="3"/>
  <c r="F27" i="3" s="1"/>
  <c r="E255" i="3" l="1"/>
  <c r="E177" i="3"/>
  <c r="L27" i="51"/>
  <c r="L8" i="51"/>
  <c r="E240" i="3"/>
  <c r="K8" i="51"/>
  <c r="K7" i="51" s="1"/>
  <c r="K13" i="51"/>
  <c r="P13" i="51" s="1"/>
  <c r="E220" i="3"/>
  <c r="F195" i="3"/>
  <c r="E736" i="49"/>
  <c r="G735" i="49"/>
  <c r="I503" i="49"/>
  <c r="E505" i="49"/>
  <c r="F258" i="3"/>
  <c r="F176" i="3"/>
  <c r="F161" i="3"/>
  <c r="E160" i="3"/>
  <c r="E145" i="3"/>
  <c r="F146" i="3"/>
  <c r="F256" i="3"/>
  <c r="F271" i="3"/>
  <c r="F177" i="3"/>
  <c r="F183" i="3"/>
  <c r="F178" i="3"/>
  <c r="F162" i="3"/>
  <c r="E92" i="3"/>
  <c r="F181" i="3"/>
  <c r="E180" i="3"/>
  <c r="F111" i="3"/>
  <c r="F101" i="3"/>
  <c r="E96" i="3"/>
  <c r="E91" i="3" s="1"/>
  <c r="E6" i="3" s="1"/>
  <c r="N27" i="51" l="1"/>
  <c r="O27" i="51"/>
  <c r="N8" i="51"/>
  <c r="L7" i="51"/>
  <c r="N7" i="51" s="1"/>
  <c r="I502" i="49"/>
  <c r="E503" i="49"/>
  <c r="G734" i="49"/>
  <c r="E735" i="49"/>
  <c r="F255" i="3"/>
  <c r="F92" i="3"/>
  <c r="F145" i="3"/>
  <c r="E175" i="3"/>
  <c r="F270" i="3"/>
  <c r="F175" i="3"/>
  <c r="F180" i="3"/>
  <c r="F160" i="3"/>
  <c r="E90" i="3"/>
  <c r="E95" i="3"/>
  <c r="F96" i="3"/>
  <c r="E734" i="49" l="1"/>
  <c r="G732" i="49"/>
  <c r="I501" i="49"/>
  <c r="E502" i="49"/>
  <c r="F95" i="3"/>
  <c r="F91" i="3"/>
  <c r="I500" i="49" l="1"/>
  <c r="E501" i="49"/>
  <c r="E732" i="49"/>
  <c r="G731" i="49"/>
  <c r="F90" i="3"/>
  <c r="E731" i="49" l="1"/>
  <c r="G730" i="49"/>
  <c r="I499" i="49"/>
  <c r="E499" i="49" s="1"/>
  <c r="E500" i="49"/>
  <c r="F79" i="3"/>
  <c r="E23" i="3"/>
  <c r="E13" i="3" s="1"/>
  <c r="F66" i="3"/>
  <c r="G729" i="49" l="1"/>
  <c r="E730" i="49"/>
  <c r="F13" i="3"/>
  <c r="E8" i="3"/>
  <c r="F8" i="3" s="1"/>
  <c r="F78" i="3"/>
  <c r="F77" i="3"/>
  <c r="E22" i="3"/>
  <c r="F56" i="3"/>
  <c r="F51" i="3"/>
  <c r="F46" i="3"/>
  <c r="F41" i="3"/>
  <c r="F36" i="3"/>
  <c r="F275" i="3"/>
  <c r="E275" i="3"/>
  <c r="F280" i="3"/>
  <c r="E280" i="3"/>
  <c r="G284" i="3"/>
  <c r="G283" i="3"/>
  <c r="G282" i="3"/>
  <c r="G281" i="3"/>
  <c r="F265" i="3"/>
  <c r="E265" i="3"/>
  <c r="G267" i="3"/>
  <c r="F260" i="3"/>
  <c r="E260" i="3"/>
  <c r="G264" i="3"/>
  <c r="G263" i="3"/>
  <c r="G262" i="3"/>
  <c r="G204" i="3"/>
  <c r="F170" i="3"/>
  <c r="E170" i="3"/>
  <c r="G174" i="3"/>
  <c r="G173" i="3"/>
  <c r="G172" i="3"/>
  <c r="F165" i="3"/>
  <c r="E165" i="3"/>
  <c r="G169" i="3"/>
  <c r="G168" i="3"/>
  <c r="G167" i="3"/>
  <c r="E7" i="3" l="1"/>
  <c r="F7" i="3" s="1"/>
  <c r="E12" i="3"/>
  <c r="F12" i="3" s="1"/>
  <c r="G203" i="3"/>
  <c r="G198" i="3"/>
  <c r="G201" i="3"/>
  <c r="G202" i="3"/>
  <c r="G197" i="3"/>
  <c r="E729" i="49"/>
  <c r="G728" i="49"/>
  <c r="D276" i="3"/>
  <c r="G276" i="3" s="1"/>
  <c r="D162" i="3"/>
  <c r="G162" i="3" s="1"/>
  <c r="D280" i="3"/>
  <c r="G280" i="3" s="1"/>
  <c r="D163" i="3"/>
  <c r="G163" i="3" s="1"/>
  <c r="D200" i="3"/>
  <c r="G200" i="3" s="1"/>
  <c r="D257" i="3"/>
  <c r="F22" i="3"/>
  <c r="F86" i="3"/>
  <c r="F235" i="3"/>
  <c r="E235" i="3"/>
  <c r="G239" i="3"/>
  <c r="G238" i="3"/>
  <c r="G237" i="3"/>
  <c r="G236" i="3"/>
  <c r="F230" i="3"/>
  <c r="E230" i="3"/>
  <c r="G234" i="3"/>
  <c r="G233" i="3"/>
  <c r="G232" i="3"/>
  <c r="G231" i="3"/>
  <c r="F225" i="3"/>
  <c r="E225" i="3"/>
  <c r="G229" i="3"/>
  <c r="G228" i="3"/>
  <c r="F205" i="3"/>
  <c r="E205" i="3"/>
  <c r="G209" i="3"/>
  <c r="G208" i="3"/>
  <c r="G207" i="3"/>
  <c r="G206" i="3"/>
  <c r="G257" i="3" l="1"/>
  <c r="G242" i="3"/>
  <c r="D195" i="3"/>
  <c r="G195" i="3" s="1"/>
  <c r="G196" i="3"/>
  <c r="G727" i="49"/>
  <c r="E728" i="49"/>
  <c r="D271" i="3"/>
  <c r="G271" i="3" s="1"/>
  <c r="D275" i="3"/>
  <c r="G275" i="3" s="1"/>
  <c r="D222" i="3"/>
  <c r="G227" i="3"/>
  <c r="D225" i="3"/>
  <c r="G225" i="3" s="1"/>
  <c r="G226" i="3"/>
  <c r="G17" i="3"/>
  <c r="D205" i="3"/>
  <c r="G205" i="3" s="1"/>
  <c r="G183" i="3"/>
  <c r="D230" i="3"/>
  <c r="G230" i="3" s="1"/>
  <c r="G182" i="3"/>
  <c r="D221" i="3"/>
  <c r="D223" i="3"/>
  <c r="D235" i="3"/>
  <c r="G235" i="3" s="1"/>
  <c r="D224" i="3"/>
  <c r="G224" i="3" s="1"/>
  <c r="F76" i="3"/>
  <c r="E75" i="3"/>
  <c r="F155" i="3"/>
  <c r="E155" i="3"/>
  <c r="G159" i="3"/>
  <c r="G158" i="3"/>
  <c r="G157" i="3"/>
  <c r="G156" i="3"/>
  <c r="F150" i="3"/>
  <c r="E150" i="3"/>
  <c r="G154" i="3"/>
  <c r="G153" i="3"/>
  <c r="G152" i="3"/>
  <c r="G222" i="3" l="1"/>
  <c r="D177" i="3"/>
  <c r="G177" i="3" s="1"/>
  <c r="G223" i="3"/>
  <c r="G221" i="3"/>
  <c r="G725" i="49"/>
  <c r="E727" i="49"/>
  <c r="D270" i="3"/>
  <c r="G270" i="3" s="1"/>
  <c r="F75" i="3"/>
  <c r="D146" i="3"/>
  <c r="G146" i="3" s="1"/>
  <c r="G151" i="3"/>
  <c r="D150" i="3"/>
  <c r="G150" i="3" s="1"/>
  <c r="D147" i="3"/>
  <c r="D148" i="3"/>
  <c r="D155" i="3"/>
  <c r="G155" i="3" s="1"/>
  <c r="F140" i="3"/>
  <c r="E140" i="3"/>
  <c r="E725" i="49" l="1"/>
  <c r="G724" i="49"/>
  <c r="D145" i="3"/>
  <c r="G145" i="3" s="1"/>
  <c r="D92" i="3"/>
  <c r="G147" i="3"/>
  <c r="D93" i="3"/>
  <c r="G148" i="3"/>
  <c r="D220" i="3"/>
  <c r="G220" i="3" s="1"/>
  <c r="G144" i="3"/>
  <c r="G143" i="3"/>
  <c r="G142" i="3"/>
  <c r="G141" i="3"/>
  <c r="F135" i="3"/>
  <c r="E135" i="3"/>
  <c r="G139" i="3"/>
  <c r="G138" i="3"/>
  <c r="G137" i="3"/>
  <c r="G136" i="3"/>
  <c r="F130" i="3"/>
  <c r="E130" i="3"/>
  <c r="F70" i="3"/>
  <c r="E70" i="3"/>
  <c r="F65" i="3"/>
  <c r="E65" i="3"/>
  <c r="F60" i="3"/>
  <c r="E60" i="3"/>
  <c r="F80" i="3"/>
  <c r="E80" i="3"/>
  <c r="F85" i="3"/>
  <c r="E85" i="3"/>
  <c r="F125" i="3"/>
  <c r="E125" i="3"/>
  <c r="G126" i="3"/>
  <c r="F120" i="3"/>
  <c r="E120" i="3"/>
  <c r="G121" i="3"/>
  <c r="F110" i="3"/>
  <c r="E110" i="3"/>
  <c r="G111" i="3"/>
  <c r="F115" i="3"/>
  <c r="E115" i="3"/>
  <c r="F105" i="3"/>
  <c r="E105" i="3"/>
  <c r="F100" i="3"/>
  <c r="E100" i="3"/>
  <c r="G101" i="3"/>
  <c r="G93" i="3" l="1"/>
  <c r="D13" i="3"/>
  <c r="G92" i="3"/>
  <c r="D12" i="3"/>
  <c r="E724" i="49"/>
  <c r="G723" i="49"/>
  <c r="G78" i="3"/>
  <c r="D85" i="3"/>
  <c r="G85" i="3" s="1"/>
  <c r="G86" i="3"/>
  <c r="G77" i="3"/>
  <c r="D80" i="3"/>
  <c r="G80" i="3" s="1"/>
  <c r="G81" i="3"/>
  <c r="G79" i="3"/>
  <c r="D100" i="3"/>
  <c r="G100" i="3" s="1"/>
  <c r="D125" i="3"/>
  <c r="G125" i="3" s="1"/>
  <c r="D120" i="3"/>
  <c r="G120" i="3" s="1"/>
  <c r="D135" i="3"/>
  <c r="G135" i="3" s="1"/>
  <c r="D110" i="3"/>
  <c r="G110" i="3" s="1"/>
  <c r="D140" i="3"/>
  <c r="G140" i="3" s="1"/>
  <c r="G69" i="3"/>
  <c r="G68" i="3"/>
  <c r="G67" i="3"/>
  <c r="G66" i="3"/>
  <c r="E723" i="49" l="1"/>
  <c r="G722" i="49"/>
  <c r="D75" i="3"/>
  <c r="G75" i="3" s="1"/>
  <c r="G76" i="3"/>
  <c r="D70" i="3"/>
  <c r="G70" i="3" s="1"/>
  <c r="F31" i="3"/>
  <c r="D65" i="3"/>
  <c r="G65" i="3" s="1"/>
  <c r="G64" i="3"/>
  <c r="G63" i="3"/>
  <c r="G62" i="3"/>
  <c r="G721" i="49" l="1"/>
  <c r="E722" i="49"/>
  <c r="D60" i="3"/>
  <c r="G60" i="3" s="1"/>
  <c r="G61" i="3"/>
  <c r="E11" i="3"/>
  <c r="F26" i="3"/>
  <c r="E25" i="3"/>
  <c r="F25" i="3" s="1"/>
  <c r="F55" i="3"/>
  <c r="E55" i="3"/>
  <c r="G59" i="3"/>
  <c r="G58" i="3"/>
  <c r="G57" i="3"/>
  <c r="G56" i="3"/>
  <c r="F50" i="3"/>
  <c r="E50" i="3"/>
  <c r="G54" i="3"/>
  <c r="G53" i="3"/>
  <c r="G52" i="3"/>
  <c r="G51" i="3"/>
  <c r="F45" i="3"/>
  <c r="E45" i="3"/>
  <c r="G49" i="3"/>
  <c r="G48" i="3"/>
  <c r="G47" i="3"/>
  <c r="F40" i="3"/>
  <c r="E40" i="3"/>
  <c r="G44" i="3"/>
  <c r="G43" i="3"/>
  <c r="G42" i="3"/>
  <c r="G39" i="3"/>
  <c r="G38" i="3"/>
  <c r="G37" i="3"/>
  <c r="F35" i="3"/>
  <c r="G35" i="3" s="1"/>
  <c r="E35" i="3"/>
  <c r="G36" i="3"/>
  <c r="F30" i="3"/>
  <c r="E30" i="3"/>
  <c r="G34" i="3"/>
  <c r="G33" i="3"/>
  <c r="G32" i="3"/>
  <c r="E721" i="49" l="1"/>
  <c r="G720" i="49"/>
  <c r="E10" i="3"/>
  <c r="D50" i="3"/>
  <c r="G50" i="3" s="1"/>
  <c r="D55" i="3"/>
  <c r="G55" i="3" s="1"/>
  <c r="D27" i="3"/>
  <c r="D28" i="3"/>
  <c r="F21" i="3"/>
  <c r="E20" i="3"/>
  <c r="G31" i="3"/>
  <c r="G131" i="3"/>
  <c r="G171" i="3"/>
  <c r="G261" i="3"/>
  <c r="G579" i="49" l="1"/>
  <c r="E720" i="49"/>
  <c r="G718" i="49"/>
  <c r="G24" i="49"/>
  <c r="E24" i="49" s="1"/>
  <c r="F11" i="3"/>
  <c r="F10" i="3" s="1"/>
  <c r="G23" i="3"/>
  <c r="G28" i="3"/>
  <c r="F20" i="3"/>
  <c r="G22" i="3"/>
  <c r="G27" i="3"/>
  <c r="G268" i="3"/>
  <c r="G166" i="3"/>
  <c r="E5" i="3"/>
  <c r="F6" i="3"/>
  <c r="G116" i="3"/>
  <c r="G106" i="3"/>
  <c r="G266" i="3"/>
  <c r="D260" i="3"/>
  <c r="G260" i="3" s="1"/>
  <c r="D170" i="3"/>
  <c r="G170" i="3" s="1"/>
  <c r="D130" i="3"/>
  <c r="G130" i="3" s="1"/>
  <c r="D30" i="3"/>
  <c r="G30" i="3" s="1"/>
  <c r="G578" i="49" l="1"/>
  <c r="E718" i="49"/>
  <c r="G717" i="49"/>
  <c r="G23" i="49"/>
  <c r="E23" i="49" s="1"/>
  <c r="E579" i="49"/>
  <c r="G420" i="49"/>
  <c r="G13" i="3"/>
  <c r="D7" i="3"/>
  <c r="G7" i="3" s="1"/>
  <c r="D256" i="3"/>
  <c r="D176" i="3" s="1"/>
  <c r="G12" i="3"/>
  <c r="F5" i="3"/>
  <c r="D26" i="3"/>
  <c r="G26" i="3" s="1"/>
  <c r="G41" i="3"/>
  <c r="D45" i="3"/>
  <c r="G45" i="3" s="1"/>
  <c r="G46" i="3"/>
  <c r="D40" i="3"/>
  <c r="G40" i="3" s="1"/>
  <c r="D105" i="3"/>
  <c r="G105" i="3" s="1"/>
  <c r="D96" i="3"/>
  <c r="G96" i="3" s="1"/>
  <c r="D115" i="3"/>
  <c r="G115" i="3" s="1"/>
  <c r="D258" i="3"/>
  <c r="D265" i="3"/>
  <c r="G265" i="3" s="1"/>
  <c r="G16" i="3"/>
  <c r="D165" i="3"/>
  <c r="G165" i="3" s="1"/>
  <c r="D161" i="3"/>
  <c r="G181" i="3"/>
  <c r="G243" i="3" l="1"/>
  <c r="D178" i="3"/>
  <c r="G178" i="3" s="1"/>
  <c r="G256" i="3"/>
  <c r="D240" i="3"/>
  <c r="E420" i="49"/>
  <c r="G10" i="49"/>
  <c r="E717" i="49"/>
  <c r="G577" i="49"/>
  <c r="G716" i="49"/>
  <c r="G22" i="49"/>
  <c r="E22" i="49" s="1"/>
  <c r="E578" i="49"/>
  <c r="G419" i="49"/>
  <c r="G21" i="3"/>
  <c r="D160" i="3"/>
  <c r="G160" i="3" s="1"/>
  <c r="G161" i="3"/>
  <c r="D25" i="3"/>
  <c r="G25" i="3" s="1"/>
  <c r="G258" i="3"/>
  <c r="D91" i="3"/>
  <c r="D11" i="3" s="1"/>
  <c r="D95" i="3"/>
  <c r="G95" i="3" s="1"/>
  <c r="D255" i="3"/>
  <c r="G255" i="3" s="1"/>
  <c r="G176" i="3"/>
  <c r="D180" i="3"/>
  <c r="G180" i="3" s="1"/>
  <c r="G9" i="49" l="1"/>
  <c r="E419" i="49"/>
  <c r="G21" i="49"/>
  <c r="E21" i="49" s="1"/>
  <c r="E716" i="49"/>
  <c r="G576" i="49"/>
  <c r="G715" i="49"/>
  <c r="G17" i="49"/>
  <c r="E17" i="49" s="1"/>
  <c r="E10" i="49"/>
  <c r="E577" i="49"/>
  <c r="G418" i="49"/>
  <c r="D20" i="3"/>
  <c r="G20" i="3" s="1"/>
  <c r="D10" i="3"/>
  <c r="G10" i="3" s="1"/>
  <c r="D6" i="3"/>
  <c r="G6" i="3" s="1"/>
  <c r="D90" i="3"/>
  <c r="G90" i="3" s="1"/>
  <c r="G91" i="3"/>
  <c r="D8" i="3"/>
  <c r="G8" i="3" s="1"/>
  <c r="D175" i="3"/>
  <c r="G175" i="3" s="1"/>
  <c r="G11" i="3" l="1"/>
  <c r="E418" i="49"/>
  <c r="G8" i="49"/>
  <c r="E576" i="49"/>
  <c r="G417" i="49"/>
  <c r="G20" i="49"/>
  <c r="E715" i="49"/>
  <c r="G714" i="49"/>
  <c r="E714" i="49" s="1"/>
  <c r="G575" i="49"/>
  <c r="G16" i="49"/>
  <c r="E16" i="49" s="1"/>
  <c r="E9" i="49"/>
  <c r="D5" i="3"/>
  <c r="G5" i="3" s="1"/>
  <c r="G19" i="49" l="1"/>
  <c r="E19" i="49" s="1"/>
  <c r="E20" i="49"/>
  <c r="G15" i="49"/>
  <c r="E15" i="49" s="1"/>
  <c r="E8" i="49"/>
  <c r="G574" i="49"/>
  <c r="E574" i="49" s="1"/>
  <c r="E575" i="49"/>
  <c r="G416" i="49"/>
  <c r="E417" i="49"/>
  <c r="G7" i="49"/>
  <c r="G415" i="49" l="1"/>
  <c r="E415" i="49" s="1"/>
  <c r="G6" i="49"/>
  <c r="E416" i="49"/>
  <c r="G14" i="49"/>
  <c r="E14" i="49" s="1"/>
  <c r="E7" i="49"/>
  <c r="J24" i="3"/>
  <c r="G13" i="49" l="1"/>
  <c r="G5" i="49"/>
  <c r="E5" i="49" s="1"/>
  <c r="E6" i="49"/>
  <c r="J29" i="3"/>
  <c r="G12" i="49" l="1"/>
  <c r="E12" i="49" s="1"/>
  <c r="M5" i="49" s="1"/>
  <c r="E13" i="49"/>
  <c r="J19" i="3"/>
  <c r="J99" i="3" l="1"/>
  <c r="J164" i="3"/>
  <c r="J79" i="3" l="1"/>
  <c r="K15" i="3" l="1"/>
  <c r="H80" i="3"/>
  <c r="J94" i="3" l="1"/>
  <c r="J259" i="3"/>
  <c r="J184" i="3"/>
  <c r="J179" i="3" l="1"/>
  <c r="D15" i="3" l="1"/>
  <c r="E15" i="3"/>
  <c r="F18" i="3"/>
  <c r="G18" i="3" s="1"/>
  <c r="F15" i="3" l="1"/>
  <c r="G15" i="3" s="1"/>
  <c r="J275" i="3" l="1"/>
  <c r="J279" i="3" l="1"/>
  <c r="J270" i="3"/>
  <c r="J274" i="3" l="1"/>
  <c r="J13" i="3"/>
  <c r="J8" i="3" s="1"/>
  <c r="J12" i="3"/>
  <c r="J7" i="3" s="1"/>
  <c r="J10" i="3" l="1"/>
  <c r="J5" i="3" s="1"/>
  <c r="J14" i="3" l="1"/>
  <c r="J9" i="3"/>
  <c r="F245" i="3"/>
  <c r="G245" i="3" s="1"/>
  <c r="G246" i="3"/>
  <c r="F240" i="3"/>
  <c r="G240" i="3" s="1"/>
  <c r="G241" i="3" l="1"/>
  <c r="G9" i="56"/>
  <c r="F6" i="56"/>
  <c r="G6" i="56" s="1"/>
</calcChain>
</file>

<file path=xl/comments1.xml><?xml version="1.0" encoding="utf-8"?>
<comments xmlns="http://schemas.openxmlformats.org/spreadsheetml/2006/main">
  <authors>
    <author>Семенова</author>
  </authors>
  <commentList>
    <comment ref="D13" authorId="0">
      <text>
        <r>
          <rPr>
            <b/>
            <sz val="9"/>
            <color indexed="81"/>
            <rFont val="Tahoma"/>
            <family val="2"/>
            <charset val="204"/>
          </rPr>
          <t>Семенова:</t>
        </r>
        <r>
          <rPr>
            <sz val="9"/>
            <color indexed="81"/>
            <rFont val="Tahoma"/>
            <family val="2"/>
            <charset val="204"/>
          </rPr>
          <t xml:space="preserve">
в ГП стоит 6002,4 кв.м</t>
        </r>
      </text>
    </comment>
    <comment ref="F13" authorId="0">
      <text>
        <r>
          <rPr>
            <b/>
            <sz val="9"/>
            <color indexed="81"/>
            <rFont val="Tahoma"/>
            <family val="2"/>
            <charset val="204"/>
          </rPr>
          <t>Семенова:</t>
        </r>
        <r>
          <rPr>
            <sz val="9"/>
            <color indexed="81"/>
            <rFont val="Tahoma"/>
            <family val="2"/>
            <charset val="204"/>
          </rPr>
          <t xml:space="preserve">
в ГП 920148,8</t>
        </r>
      </text>
    </comment>
    <comment ref="K14" authorId="0">
      <text>
        <r>
          <rPr>
            <b/>
            <sz val="9"/>
            <color indexed="81"/>
            <rFont val="Tahoma"/>
            <family val="2"/>
            <charset val="204"/>
          </rPr>
          <t>Семенова:</t>
        </r>
        <r>
          <rPr>
            <sz val="9"/>
            <color indexed="81"/>
            <rFont val="Tahoma"/>
            <family val="2"/>
            <charset val="204"/>
          </rPr>
          <t xml:space="preserve">
у минфина 107488,7</t>
        </r>
      </text>
    </comment>
    <comment ref="K15" authorId="0">
      <text>
        <r>
          <rPr>
            <b/>
            <sz val="9"/>
            <color indexed="81"/>
            <rFont val="Tahoma"/>
            <family val="2"/>
            <charset val="204"/>
          </rPr>
          <t>Семенова:</t>
        </r>
        <r>
          <rPr>
            <sz val="9"/>
            <color indexed="81"/>
            <rFont val="Tahoma"/>
            <family val="2"/>
            <charset val="204"/>
          </rPr>
          <t xml:space="preserve">
у минфина 67844,5</t>
        </r>
      </text>
    </comment>
    <comment ref="A52" authorId="0">
      <text>
        <r>
          <rPr>
            <b/>
            <sz val="9"/>
            <color indexed="81"/>
            <rFont val="Tahoma"/>
            <family val="2"/>
            <charset val="204"/>
          </rPr>
          <t>Семенова:</t>
        </r>
        <r>
          <rPr>
            <sz val="9"/>
            <color indexed="81"/>
            <rFont val="Tahoma"/>
            <family val="2"/>
            <charset val="204"/>
          </rPr>
          <t xml:space="preserve">
В ГП по 2024 году есть деньги по ОКСу "Строительство бестровозводимого бассейна в пгт.Печенга. Почему его не включаете в отчет?</t>
        </r>
      </text>
    </comment>
  </commentList>
</comments>
</file>

<file path=xl/comments2.xml><?xml version="1.0" encoding="utf-8"?>
<comments xmlns="http://schemas.openxmlformats.org/spreadsheetml/2006/main">
  <authors>
    <author>Семенова</author>
  </authors>
  <commentList>
    <comment ref="D7" authorId="0">
      <text>
        <r>
          <rPr>
            <b/>
            <sz val="9"/>
            <color indexed="81"/>
            <rFont val="Tahoma"/>
            <family val="2"/>
            <charset val="204"/>
          </rPr>
          <t>Семенова:</t>
        </r>
        <r>
          <rPr>
            <sz val="9"/>
            <color indexed="81"/>
            <rFont val="Tahoma"/>
            <family val="2"/>
            <charset val="204"/>
          </rPr>
          <t xml:space="preserve">
у минфина 3422981,6 по ОБ</t>
        </r>
      </text>
    </comment>
    <comment ref="E7" authorId="0">
      <text>
        <r>
          <rPr>
            <b/>
            <sz val="9"/>
            <color indexed="81"/>
            <rFont val="Tahoma"/>
            <family val="2"/>
            <charset val="204"/>
          </rPr>
          <t>Семенова:</t>
        </r>
        <r>
          <rPr>
            <sz val="9"/>
            <color indexed="81"/>
            <rFont val="Tahoma"/>
            <family val="2"/>
            <charset val="204"/>
          </rPr>
          <t xml:space="preserve">
у минфина 3394484,5</t>
        </r>
      </text>
    </comment>
    <comment ref="D92" authorId="0">
      <text>
        <r>
          <rPr>
            <b/>
            <sz val="9"/>
            <color indexed="81"/>
            <rFont val="Tahoma"/>
            <family val="2"/>
            <charset val="204"/>
          </rPr>
          <t>Семенова:</t>
        </r>
        <r>
          <rPr>
            <sz val="9"/>
            <color indexed="81"/>
            <rFont val="Tahoma"/>
            <family val="2"/>
            <charset val="204"/>
          </rPr>
          <t xml:space="preserve">
у минфина 1412016,6</t>
        </r>
      </text>
    </comment>
    <comment ref="E92" authorId="0">
      <text>
        <r>
          <rPr>
            <b/>
            <sz val="9"/>
            <color indexed="81"/>
            <rFont val="Tahoma"/>
            <family val="2"/>
            <charset val="204"/>
          </rPr>
          <t>Семенова:</t>
        </r>
        <r>
          <rPr>
            <sz val="9"/>
            <color indexed="81"/>
            <rFont val="Tahoma"/>
            <family val="2"/>
            <charset val="204"/>
          </rPr>
          <t xml:space="preserve">
у минфина 1410684,4</t>
        </r>
      </text>
    </comment>
    <comment ref="I156" authorId="0">
      <text>
        <r>
          <rPr>
            <b/>
            <sz val="9"/>
            <color indexed="81"/>
            <rFont val="Tahoma"/>
            <family val="2"/>
            <charset val="204"/>
          </rPr>
          <t>Семенова:</t>
        </r>
        <r>
          <rPr>
            <sz val="9"/>
            <color indexed="81"/>
            <rFont val="Tahoma"/>
            <family val="2"/>
            <charset val="204"/>
          </rPr>
          <t xml:space="preserve">
имеется ввиду 2024 год? И почему частично, если освоение 100%?</t>
        </r>
      </text>
    </comment>
    <comment ref="H171" authorId="0">
      <text>
        <r>
          <rPr>
            <b/>
            <sz val="9"/>
            <color indexed="81"/>
            <rFont val="Tahoma"/>
            <family val="2"/>
            <charset val="204"/>
          </rPr>
          <t>Семенова:</t>
        </r>
        <r>
          <rPr>
            <sz val="9"/>
            <color indexed="81"/>
            <rFont val="Tahoma"/>
            <family val="2"/>
            <charset val="204"/>
          </rPr>
          <t xml:space="preserve">
оставила только про 24 год, тк отчет за 24</t>
        </r>
      </text>
    </comment>
    <comment ref="I176" authorId="0">
      <text>
        <r>
          <rPr>
            <b/>
            <sz val="9"/>
            <color indexed="81"/>
            <rFont val="Tahoma"/>
            <family val="2"/>
            <charset val="204"/>
          </rPr>
          <t>Семенова:</t>
        </r>
        <r>
          <rPr>
            <sz val="9"/>
            <color indexed="81"/>
            <rFont val="Tahoma"/>
            <family val="2"/>
            <charset val="204"/>
          </rPr>
          <t xml:space="preserve">
перефразировала</t>
        </r>
      </text>
    </comment>
    <comment ref="D197" authorId="0">
      <text>
        <r>
          <rPr>
            <b/>
            <sz val="9"/>
            <color indexed="81"/>
            <rFont val="Tahoma"/>
            <family val="2"/>
            <charset val="204"/>
          </rPr>
          <t>Семенова:</t>
        </r>
        <r>
          <rPr>
            <sz val="9"/>
            <color indexed="81"/>
            <rFont val="Tahoma"/>
            <family val="2"/>
            <charset val="204"/>
          </rPr>
          <t xml:space="preserve">
у минфина 11926,3
</t>
        </r>
        <r>
          <rPr>
            <b/>
            <sz val="9"/>
            <color indexed="81"/>
            <rFont val="Tahoma"/>
            <family val="2"/>
            <charset val="204"/>
          </rPr>
          <t>Шевцова: Финансирование по мероприятию 3.2.36 "Капитальный ремонт здания плавательного бассейна по ул. Челюскинцев, д.2, г. Мурманск (разработка ПД)" не было предусмотрено СБР 2024 года. Я писала в замечаниях к форме, чтобы удалили это мероприятие.</t>
        </r>
      </text>
    </comment>
    <comment ref="E197" authorId="0">
      <text>
        <r>
          <rPr>
            <b/>
            <sz val="9"/>
            <color indexed="81"/>
            <rFont val="Tahoma"/>
            <family val="2"/>
            <charset val="204"/>
          </rPr>
          <t>Семенова:</t>
        </r>
        <r>
          <rPr>
            <sz val="9"/>
            <color indexed="81"/>
            <rFont val="Tahoma"/>
            <family val="2"/>
            <charset val="204"/>
          </rPr>
          <t xml:space="preserve">
у минфина 11355,4</t>
        </r>
      </text>
    </comment>
    <comment ref="L216" authorId="0">
      <text>
        <r>
          <rPr>
            <b/>
            <sz val="9"/>
            <color indexed="81"/>
            <rFont val="Tahoma"/>
            <family val="2"/>
            <charset val="204"/>
          </rPr>
          <t>Семенова:</t>
        </r>
        <r>
          <rPr>
            <sz val="9"/>
            <color indexed="81"/>
            <rFont val="Tahoma"/>
            <family val="2"/>
            <charset val="204"/>
          </rPr>
          <t xml:space="preserve">
в связи с чем?
</t>
        </r>
        <r>
          <rPr>
            <b/>
            <sz val="9"/>
            <color indexed="81"/>
            <rFont val="Tahoma"/>
            <family val="2"/>
            <charset val="204"/>
          </rPr>
          <t>Шевцова: Я УКАЗЫВАЛА В ЗАМЕЧАНИЯХ К ФОРМЕ ОТЧЕТА, ЧТО СБР НА 2024 ГОД СРЕДСТВА НЕ ПРЕДУСМОТРЕНЫ. ЭТОТ ОТЧЕТ ДЕЛАЕТСЯ В СООТВЕТСТВИИ С СБР. ПОЧЕМУ МЕРОПРИЯТИЕ ФИГУРИРУЕТ В ОТЧЕТЕ И ОТКУДА ВЗЯЛИ ПЛАНОВЫЕ СУММЫ?</t>
        </r>
      </text>
    </comment>
    <comment ref="D226" authorId="0">
      <text>
        <r>
          <rPr>
            <b/>
            <sz val="9"/>
            <color indexed="81"/>
            <rFont val="Tahoma"/>
            <family val="2"/>
            <charset val="204"/>
          </rPr>
          <t>Семенова:</t>
        </r>
        <r>
          <rPr>
            <sz val="9"/>
            <color indexed="81"/>
            <rFont val="Tahoma"/>
            <family val="2"/>
            <charset val="204"/>
          </rPr>
          <t xml:space="preserve">
у минфина 99088,6 по ОБ</t>
        </r>
      </text>
    </comment>
    <comment ref="E227" authorId="0">
      <text>
        <r>
          <rPr>
            <b/>
            <sz val="9"/>
            <color indexed="81"/>
            <rFont val="Tahoma"/>
            <family val="2"/>
            <charset val="204"/>
          </rPr>
          <t>Семенова:</t>
        </r>
        <r>
          <rPr>
            <sz val="9"/>
            <color indexed="81"/>
            <rFont val="Tahoma"/>
            <family val="2"/>
            <charset val="204"/>
          </rPr>
          <t xml:space="preserve">
у минфина по ОБ98859,2</t>
        </r>
      </text>
    </comment>
    <comment ref="D232" authorId="0">
      <text>
        <r>
          <rPr>
            <b/>
            <sz val="9"/>
            <color indexed="81"/>
            <rFont val="Tahoma"/>
            <family val="2"/>
            <charset val="204"/>
          </rPr>
          <t>Семенова:</t>
        </r>
        <r>
          <rPr>
            <sz val="9"/>
            <color indexed="81"/>
            <rFont val="Tahoma"/>
            <family val="2"/>
            <charset val="204"/>
          </rPr>
          <t xml:space="preserve">
у минфина по ОБ 1055812,6
</t>
        </r>
        <r>
          <rPr>
            <b/>
            <sz val="9"/>
            <color indexed="81"/>
            <rFont val="Tahoma"/>
            <family val="2"/>
            <charset val="204"/>
          </rPr>
          <t>Шевцова:</t>
        </r>
        <r>
          <rPr>
            <sz val="9"/>
            <color indexed="81"/>
            <rFont val="Tahoma"/>
            <family val="2"/>
            <charset val="204"/>
          </rPr>
          <t xml:space="preserve"> в отчете Минфина это сумма ОБ и ФБ, расхождение с отчетом на сумму 67 844,51 за счет остатков прошлых лет по мероприятию Строительство крытого бассейна в ЗАТО г. Североморск, которая не учитывается в плановом знечении  </t>
        </r>
      </text>
    </comment>
    <comment ref="E232" authorId="0">
      <text>
        <r>
          <rPr>
            <b/>
            <sz val="9"/>
            <color indexed="81"/>
            <rFont val="Tahoma"/>
            <family val="2"/>
            <charset val="204"/>
          </rPr>
          <t>Семенова:</t>
        </r>
        <r>
          <rPr>
            <sz val="9"/>
            <color indexed="81"/>
            <rFont val="Tahoma"/>
            <family val="2"/>
            <charset val="204"/>
          </rPr>
          <t xml:space="preserve">
у минфина 1040506,7
</t>
        </r>
        <r>
          <rPr>
            <b/>
            <sz val="9"/>
            <color indexed="81"/>
            <rFont val="Tahoma"/>
            <family val="2"/>
            <charset val="204"/>
          </rPr>
          <t>Шевцова:</t>
        </r>
        <r>
          <rPr>
            <sz val="9"/>
            <color indexed="81"/>
            <rFont val="Tahoma"/>
            <family val="2"/>
            <charset val="204"/>
          </rPr>
          <t xml:space="preserve"> в отчете Минфина это сумма ОБ и ФБ, расхождение с отчетом на сумму 67 844,51 за счет остатков прошлых лет по мероприятию Строительство крытого бассейна в ЗАТО г. Североморск, которая не учитывается в плановом знечении   </t>
        </r>
      </text>
    </comment>
  </commentList>
</comments>
</file>

<file path=xl/sharedStrings.xml><?xml version="1.0" encoding="utf-8"?>
<sst xmlns="http://schemas.openxmlformats.org/spreadsheetml/2006/main" count="6444" uniqueCount="1088">
  <si>
    <t xml:space="preserve"> № п/п</t>
  </si>
  <si>
    <t>Объемы и источники финансирования (тыс. руб.)</t>
  </si>
  <si>
    <t>Соисполнители, участники, исполнители</t>
  </si>
  <si>
    <t>Всего</t>
  </si>
  <si>
    <t>ОБ</t>
  </si>
  <si>
    <t>ФБ</t>
  </si>
  <si>
    <t>МБ</t>
  </si>
  <si>
    <t>ВБС</t>
  </si>
  <si>
    <t>1.</t>
  </si>
  <si>
    <t>Субсидия на финансовое обеспечение выполнения государственного задания</t>
  </si>
  <si>
    <t>ГАУМО "ЦСП"</t>
  </si>
  <si>
    <t>1.2.1.</t>
  </si>
  <si>
    <t>2.</t>
  </si>
  <si>
    <t>2.1.1.</t>
  </si>
  <si>
    <t>Организация и проведение церемонии награждения спортсменов, тренеров, ветеранов спорта и физкультурного актива  Мурманской области</t>
  </si>
  <si>
    <t>2.2.1.</t>
  </si>
  <si>
    <t>2.2.2.</t>
  </si>
  <si>
    <t>3.</t>
  </si>
  <si>
    <t>Подпрограмма 3 "Развитие спортивной инфраструктуры"</t>
  </si>
  <si>
    <t xml:space="preserve">Возмещение затрат юридических лиц  в части  содержания государственного имущества    </t>
  </si>
  <si>
    <t>4.</t>
  </si>
  <si>
    <t>Подпрограмма 4 "Обеспечение реализации государственной программы"</t>
  </si>
  <si>
    <t>4.1.</t>
  </si>
  <si>
    <t>4.1.1.</t>
  </si>
  <si>
    <t>Государственная программа, подпрограмма, основное мероприятие</t>
  </si>
  <si>
    <t xml:space="preserve"> Результаты выполнения мероприятий </t>
  </si>
  <si>
    <t>Источник</t>
  </si>
  <si>
    <t>Запланировано на отчетный год</t>
  </si>
  <si>
    <t>Фактическое исполнение</t>
  </si>
  <si>
    <t>Ожидаемые результаты реализации (краткая характеристика) мероприятий в соответствии с планом</t>
  </si>
  <si>
    <t>Фактические результаты реализации (краткая характеристика) мероприятий</t>
  </si>
  <si>
    <t>Выполнение (да/нет/частично)*</t>
  </si>
  <si>
    <t>Код ГРБС</t>
  </si>
  <si>
    <t>Кассовое исполнение</t>
  </si>
  <si>
    <t>Степень освоения средств</t>
  </si>
  <si>
    <t>823/807</t>
  </si>
  <si>
    <t>Присвоение спортивных разрядов: "Первый юношеский спортивный разряд", "Второй юношеский спортивный разряд", "Третий юношеский спортивный разряд"</t>
  </si>
  <si>
    <t>Минстрой МО, администрация муниципального образования</t>
  </si>
  <si>
    <t>2.2.</t>
  </si>
  <si>
    <t>1.2.3.</t>
  </si>
  <si>
    <t>2.1.2.</t>
  </si>
  <si>
    <t>2.1.3.</t>
  </si>
  <si>
    <t>2.1.4.</t>
  </si>
  <si>
    <t>2.1.5.</t>
  </si>
  <si>
    <t xml:space="preserve">Устройство спортивных площадок </t>
  </si>
  <si>
    <t>Количество мероприятий, всего, в т.ч.:</t>
  </si>
  <si>
    <t>Выполнено в полном объеме</t>
  </si>
  <si>
    <t>Выполнено частично</t>
  </si>
  <si>
    <t>Не выполнено</t>
  </si>
  <si>
    <t>Степень выполнения мероприятий</t>
  </si>
  <si>
    <t xml:space="preserve">ОБ </t>
  </si>
  <si>
    <t>№ п/п</t>
  </si>
  <si>
    <t>Кассовые расходы</t>
  </si>
  <si>
    <t>3.2.1</t>
  </si>
  <si>
    <t>3.2.26</t>
  </si>
  <si>
    <t xml:space="preserve">Региональный проект «Спорт - норма жизни» </t>
  </si>
  <si>
    <t>3.4.3.</t>
  </si>
  <si>
    <t>Министрество строительства Мурманской области</t>
  </si>
  <si>
    <t>Реализация мероприятий по оснащению объектов спортивной инфраструктуры спортивно-технологическим оборудованием</t>
  </si>
  <si>
    <t xml:space="preserve"> Основное мероприятие 1 Обеспечение реализации государственных функций и оказание государственных услуг в сфере физической культуры и спорта</t>
  </si>
  <si>
    <t>Основное мероприятие 2 «Проведение капитального и текущего ремонта, реализация мероприятий по энергоэффективности спортивных сооружений Мурманской области»</t>
  </si>
  <si>
    <t>3.4.1.</t>
  </si>
  <si>
    <t>3.4.2.</t>
  </si>
  <si>
    <t>Министерство спорта   Мурманской области</t>
  </si>
  <si>
    <t>Министерство спорта МО и подведомственные организации Минспорту МО</t>
  </si>
  <si>
    <t>Министерство спорта МО</t>
  </si>
  <si>
    <t xml:space="preserve">Министерство спорта Мо и подведомственные учреждения администрации </t>
  </si>
  <si>
    <t>Миистерство спорта МО и подведомственные учреждения Минспорту МО</t>
  </si>
  <si>
    <t>Министерство спорта МО и подведомственные учреждения Минспорта МО</t>
  </si>
  <si>
    <t>Министерстов спорта МО</t>
  </si>
  <si>
    <t>Министерство спорта МО, подведомственные организации., Минстрой МО, Администрации МО.</t>
  </si>
  <si>
    <t>1.2.4.</t>
  </si>
  <si>
    <t>1.2.5.</t>
  </si>
  <si>
    <t xml:space="preserve">Реализация социально значимых проектов и программ в сфере физической культуры и спорта </t>
  </si>
  <si>
    <t>Содействие развитию физической культуры и спорта на территории Мурманской области, достижение целевого показателя в рамках национальной цели "Сохранение населения, здоровья и благополучия людей"</t>
  </si>
  <si>
    <t xml:space="preserve">Количество приобретенных зачетных книжек и нагрудных знаков </t>
  </si>
  <si>
    <t>Обеспечение подготовки спортивного резерва для сборных команд РФ</t>
  </si>
  <si>
    <t>Частичное финансовое обеспечение затрат, направленных на подготовку спортивного резерва в соответствии с федеральными стандартами  спортивной подготовки по виду спорта «хоккей», предусмотренных соглашениями между Правительством Мурманской области и градообразующим предприятием</t>
  </si>
  <si>
    <t>Субсидии бюджетам муниципальных образований Мурманской области на оказание финансовой поддержки спортивным организациям, осуществляющим спортивную подготовку в соответствии с федеральными стандартами спортивной подготовки</t>
  </si>
  <si>
    <t>Частичное финансовое обеспечение затрат, направленных на подготовку спортивного резерва в соответствии с федеральными стандартами  спортивной подготовки</t>
  </si>
  <si>
    <t xml:space="preserve"> Численность спортсменов МО, включенных в список кандидатов в спортивные сборные команды Российской Федерации. 2.3 Доля граждан в возрасте 6-15 лет, занимающихся в спортивных организациях, в общей численности детей и молодежи в возрасте 6-15 лет. 2.4 Доля спортсменов-разрядников в общем количестве лиц, занимающихся в системе  спортивных школ олимпийского резерва. </t>
  </si>
  <si>
    <t xml:space="preserve">3.3 Эффективность использования существующих объектов спорта. 3.4 Единовременная пропускная способность объектов спорта, введенных в эксплуатацию в рамках Программы. </t>
  </si>
  <si>
    <t>Строительство крытого бассейна в ЗАТО г. Североморск</t>
  </si>
  <si>
    <t xml:space="preserve">3.2 Количество спортивных сооружений, на которых осуществлен капитальный и текущий  ремонт. 3.3 Эффективность использования существующих объектов спорта. </t>
  </si>
  <si>
    <t>Субсидия на капитальный ремонт футбольного поля с искуственным покрытием и легкоатлетическими беговыми дорожками</t>
  </si>
  <si>
    <t xml:space="preserve">Ежегодно реализация 77 государственных функций и оказание 8 государственных услуг </t>
  </si>
  <si>
    <t>Обеспечение реализации государственных функций и государственных услуг Министерства спорта</t>
  </si>
  <si>
    <t>Министерство спорта и подведомственные организации</t>
  </si>
  <si>
    <t>2.1</t>
  </si>
  <si>
    <t xml:space="preserve">Министерство спорта МО </t>
  </si>
  <si>
    <t>Ежегодное назначение и выплата единовременного денежного вознаграждения спортсменам и их тренерам</t>
  </si>
  <si>
    <t xml:space="preserve">Ежегодная организация оздоровительного процесса в плавательном бассейне ГОУП "УСДЦ" и муниципальных образованиях МО для граждан пожилого возраста, инвалидов, граждан, находящихся в трудной жизненной ситуации, детей-сирот, детей, оставшихся без попечения родителей в колличестве не менее 7000 чел./посещений </t>
  </si>
  <si>
    <t>Министерство спорта МО, администрации муниципальных образований МО</t>
  </si>
  <si>
    <t>Министрой МО, администрации муниципальных образований</t>
  </si>
  <si>
    <t>Региональный проект «Спорт - норма жизни»</t>
  </si>
  <si>
    <t>Приобретено оборудование, инвентарь и экипировка для спортивных школ, осуществляющих спортивную подготовку, спортсмены направлены на тренировочные мероприятия и спортивные соревнования</t>
  </si>
  <si>
    <t xml:space="preserve">Региональный проект «Спорт - норма жизни»  </t>
  </si>
  <si>
    <t>П 2.1.</t>
  </si>
  <si>
    <t>П 2.1.1.</t>
  </si>
  <si>
    <t>П 2.1.2.</t>
  </si>
  <si>
    <t>П 3.1</t>
  </si>
  <si>
    <t>П.3.1.1</t>
  </si>
  <si>
    <t>П.3.1.4.</t>
  </si>
  <si>
    <t xml:space="preserve">Министерство спорта МО и подведомственные учреждения администрации </t>
  </si>
  <si>
    <t>Министерство спорта МО  и Минстрой МО</t>
  </si>
  <si>
    <t>Министерство Спорта МО,ГОКУ "УКС МО", ГОУП УСДЦ,ГАУМО,Мончегорская, СШОР по горнолыжному спорту</t>
  </si>
  <si>
    <t>Возмещение НКО расходов на частичное финансовое обеспечение затрат, связанных с подготовкой и участием спортивной команды в физкультурных мероприятиях, а также с оплатой труда и начислениями на оплату труда работников</t>
  </si>
  <si>
    <t xml:space="preserve">Предоставление субсидий из областного бюджета некоммерческим организациям осуществляющим деятельность в сфере физической культуры и спорта по виду спорта "футбол" </t>
  </si>
  <si>
    <t>Предоставление грантов в форме субсидии муниципальным учреждениям по итогам соревнований «Кубок Губернатора Мурманской области среди школьных спортивных клубов»</t>
  </si>
  <si>
    <t>1.2.6</t>
  </si>
  <si>
    <t>Подпрограмма 1 "Развитие массового спорта, реализация мероприятий по профилактике терроризма и информированию граждан"</t>
  </si>
  <si>
    <t>1.2.9</t>
  </si>
  <si>
    <t>Подпрограмма 2 "Подготовка спортивного резерва, реализация календарного плана официальных физкультурных мероприятий и спортивных мероприятий Мурманской области"</t>
  </si>
  <si>
    <t xml:space="preserve">Основновное мероприятие 1 "Подготовка спортивного резерва , организация и проведение физкультурных и спортивных меропритяий , реализация программ споривной подготовки подведомственными Министерсту учреждениями" </t>
  </si>
  <si>
    <t>Выплата единовременного денежного вознаграждения спортсменам, проживающим в Мурманской области и выступившим в составе спортивных сборных команд Мурманской области и Российской Федерации по Олимпийским видам спорта, и их тренерам за победу и призовые места на Олимпийских, Паралимпийских и Сурдлимпийских Играх, чемпионатах, Кубка мира и Европы, чемпионатах России</t>
  </si>
  <si>
    <t>2.1.11</t>
  </si>
  <si>
    <t>Приобретением имущества (за исключением недвижимого имущества)</t>
  </si>
  <si>
    <t>2.1.15</t>
  </si>
  <si>
    <t>Проведение мероприятий международного традиционного Праздника Севера и Праздника Севера учащихся</t>
  </si>
  <si>
    <t xml:space="preserve">Основное мероприятие 2 "Поддержка спортивных организаций, осуществляющих спортивную подготовку в соответствии с федеральными стандартами спортивной подготовки" </t>
  </si>
  <si>
    <t>Субсидии бюджетам муниципальных образований Мурманской области на оказание финансовой поддержки спортивным организациям, осуществляющим спортивную подготовку в соответствии с федеральными стандартами спортивной подготовки в рамках реализации соглашений между Правительством Мурманской области и градообразующими предприятиями</t>
  </si>
  <si>
    <t>Лыжная трасса в ЗАТО Александровск</t>
  </si>
  <si>
    <t>Разработка ПСД на строительство лыжной трассы в ЗАТО  Заозерск</t>
  </si>
  <si>
    <t xml:space="preserve">Подготовка проектно-сметной документации и капитальный ремонт здания Дома физкультуры МУС "УСЦ", расположенного по адресу: г. Оленегорск, ул. Строительная, д.47 </t>
  </si>
  <si>
    <t xml:space="preserve">Субсидия на содержание и эксплуатацию государственного имущества </t>
  </si>
  <si>
    <t>Капитальный ремонт кровли и помещений спорткомплекса ДЮСШ п.Ревда</t>
  </si>
  <si>
    <t>3.2.2</t>
  </si>
  <si>
    <t>3.2.18</t>
  </si>
  <si>
    <t>Министерство спорта МО и подведомственные Минспорту МО организации</t>
  </si>
  <si>
    <t>Министерство строительства МО, администрация муниципального образования МО</t>
  </si>
  <si>
    <t xml:space="preserve">Строительство объекта в 2023 г. </t>
  </si>
  <si>
    <t>Реконструкция Ледового дворца, расположенного по адресу: Мурманская обл. г. Оленегорск ул. Строительная д. 40</t>
  </si>
  <si>
    <t>Минспорт МО,
 АО Корпорация развития МО</t>
  </si>
  <si>
    <t>2023-2024 - строительство объекта</t>
  </si>
  <si>
    <t>Минстрой МО,
АО Корпорация развития МО</t>
  </si>
  <si>
    <t>Министерство строительства  МО, ГОКУ «Управление капитального строительства Мурманской области»</t>
  </si>
  <si>
    <t>Министерство строительства  МО, Министерство спорта МО, ГОКУ «Управление капитального строительства Мурманской области»,
 АО Корпорация развития МО</t>
  </si>
  <si>
    <t>Основное мероприятие 4 «Реализация мероприятий Плана социального развития центров экономического роста Мурманской области»</t>
  </si>
  <si>
    <t>ОМ 3.4</t>
  </si>
  <si>
    <t>Министерство спорта МО, администрация муниципального образования МО</t>
  </si>
  <si>
    <t>Министерство спорта МО, ГАУМО "ЦСП"</t>
  </si>
  <si>
    <t xml:space="preserve"> Выполнен капитальный ремонт кровли и помещений спорткомплекса ДЮСШ п.Ревда
2022 год - 60 %,
2023 год - 100%</t>
  </si>
  <si>
    <t>Министерство спорта МО, ГОУП "УСДЦ"</t>
  </si>
  <si>
    <t xml:space="preserve">2022-2023 год - подготовлена проектно-сметной документации и капитальный ремонт здания Дома физкультуры МУС "УСЦ", расположенного по адресу: г. Оленегорск, ул. Строительная, д.47 </t>
  </si>
  <si>
    <t xml:space="preserve">Возмещение затрат ГОУП «УСДЦ»  в части  содержания государственного имущества. </t>
  </si>
  <si>
    <t>Все организации спортивной подготовки предоставляют услуги населению в соответствии с федеральными стандартами спортивной подготовки</t>
  </si>
  <si>
    <t>Государственная поддержка спортивных организаций, осуществляющих подготовку спортивного резерва для спортивных сборных команд, в том числе спортивных сборных команд Российской Федерации</t>
  </si>
  <si>
    <t>Реализация мероприятий по приобретению спортивного оборудования и инвентаря для приведения  организаций спортивной подготовки в нормативное состояние</t>
  </si>
  <si>
    <t>2.2 Доля организаций, оказывающих услуги по спортивной подготовке в соответствии с федеральными стандартами спортивной подготовки, в общем количестве организаций в сфере физической культуры и спорта, в том числе для лиц с ограниченными возможностями здоровья и инвалидов. 2.3 Доля граждан в возрасте 6-15 лет, занимающихся в спортивных организациях, в общей численности детей и молодежи в возрасте 6-15 лет. ДП 2.3 Доля занимающихся на этапе высшего спортивного мастерства в организациях, осуществляющих спортивную подготовку, в общем количестве занимающихся на этапе совершенствования спортивного мастерства в организациях, осуществляющих спортивную подготовку</t>
  </si>
  <si>
    <t>Министерство спорта МО,ГАУМО "ЦСП"</t>
  </si>
  <si>
    <t xml:space="preserve">Функционирование парка культуры и отдыха «Патриот» Северного флота </t>
  </si>
  <si>
    <t>Проведение мероприятий, направленных на эффективное использование и совершенствование объектов спортивный инфраструктуры, находящихся на территории военно-патриотического парка культуры и отдыха «Патриот» Северного флота</t>
  </si>
  <si>
    <t>2.1.21</t>
  </si>
  <si>
    <t>Проведен комплекс инженерных изысканий для получения необходимых и достаточных материалов с целью дальнейшей подготовки проектной и рабочей документации по объекту «Манеж с полноразмерным футбольным полем» в 2022-2023 году</t>
  </si>
  <si>
    <t>2.1.20</t>
  </si>
  <si>
    <t>Приобретение имущества (за исключением недвижимого имущества)</t>
  </si>
  <si>
    <t>Ежегодная организация и проведение церемоний награждения спортсменов, тренеров, ветеранов спорта и физкультурного актива  Мурманской области с количеством награжденных не менее 3 человек, с участием в церемонии не менее 60 человек</t>
  </si>
  <si>
    <t xml:space="preserve">2.1 Численность спортсменов МО, включенных в список кандидатов в спортивные сборные команды Российской Федерации.  2.4 Доля спортсменов-разрядников в общем количестве лиц, занимающихся в системе спортивных школ олимпийского резерва.      </t>
  </si>
  <si>
    <t>Оказание услуг по организации сеансов свободного плавания для мужчин, достигших возраста 55 лет, и женщин, достигших возраста 50 лет, инвалидов, граждан, находящихся в трудной жизненной ситуации, детей-сирот, детей, оставшихся без попечения родителей</t>
  </si>
  <si>
    <t>1.4 Доля граждан Мурманской области, занимающихся физической культурой и спортом по месту работы, в общей численности населения, занятого в экономике</t>
  </si>
  <si>
    <t>Предоставление субсидии образовательным организациям на развитие студенческих спортивных клубов по различным видам спорта</t>
  </si>
  <si>
    <t>Грант на развитие студенческих споривных клубов</t>
  </si>
  <si>
    <t>1.2.14</t>
  </si>
  <si>
    <t>Открытие спортивных пространств для молодежи</t>
  </si>
  <si>
    <t>1.2.13</t>
  </si>
  <si>
    <t xml:space="preserve">Развитие физкультурно-спортивной работы </t>
  </si>
  <si>
    <t>1.2.12</t>
  </si>
  <si>
    <t>Предоставлены гранты в форме субсидии муниципальным бюджетным и автономным учреждениям по итогам соревнований «Кубок Губернатора Мурманской области среди школьных спортивных клубов»</t>
  </si>
  <si>
    <t>Финансовое обеспечение деятельности  автономной некоммерческой организации «Агентство по проведению спортивно-массовых и культурно-зрелищных мероприятий «СпортКульт51»</t>
  </si>
  <si>
    <t>Возмещение НКО расходов на частичное финансовое обеспечение затрат, связанных с подготовкой и участием спортивной команды в физкультурных мероприятиях и спортивных мероприятиях по хоккею, а также с оплатой труда и начислениями на оплату труда работников</t>
  </si>
  <si>
    <t>ОМ 1.2</t>
  </si>
  <si>
    <t>П 1.1.</t>
  </si>
  <si>
    <t>П 1.1.2.</t>
  </si>
  <si>
    <t>П 1.1.3.</t>
  </si>
  <si>
    <t>Предоставление субсидий из областного бюждета некоммерческим организациям , осуществляющим деятельность в сфере физической культуры и спорта по виду спорта "Хоккей"</t>
  </si>
  <si>
    <t>Обучение навыкам плавания детей и подростков в возрасте  от 6 до 14 лет</t>
  </si>
  <si>
    <t>Возмещение затрат ГОУП «УСДЦ»  в части  содержания и эксплуатации государственного имущества.</t>
  </si>
  <si>
    <t>Да</t>
  </si>
  <si>
    <t>Частично</t>
  </si>
  <si>
    <t>Приложение №2</t>
  </si>
  <si>
    <t>Государственная программа, подпрограмма, объект капитального строительства</t>
  </si>
  <si>
    <t>Соисполнитель (ГРБС), заказчик-застройщик</t>
  </si>
  <si>
    <t>Проектная мощность</t>
  </si>
  <si>
    <t>Сроки выполнения работ</t>
  </si>
  <si>
    <t>Общая стоимость объекта, тыс. рублей &lt;**&gt;</t>
  </si>
  <si>
    <t>Источ-ник</t>
  </si>
  <si>
    <t>Предусмотрено программой на год, тыс. рублей &lt;**&gt;</t>
  </si>
  <si>
    <t>Техническая готовность объекта  &lt;****&gt;%</t>
  </si>
  <si>
    <t>Остаточная стоимость работ, тыс. рублей &lt;*****&gt;</t>
  </si>
  <si>
    <t xml:space="preserve">Краткая характеристика работ, выполненных за отчетный период, причины отставания </t>
  </si>
  <si>
    <t>Кассовые расходы по состоянию на начало отчетного периода, тыс. рублей</t>
  </si>
  <si>
    <t>Стоимость работ, выполненных по состоянию на начало отчетного периода, тыс. рублей</t>
  </si>
  <si>
    <t>Выполнено за счет средств, предусмотренных на год, тыс. рублей</t>
  </si>
  <si>
    <t>Выполнено за счет средств, не использованных на начало года, тыс. рублей</t>
  </si>
  <si>
    <t xml:space="preserve">Степень выполнения  &lt;***&gt; % </t>
  </si>
  <si>
    <t>Государственная программа 4 "Развитие физической культуры и спорта"</t>
  </si>
  <si>
    <t>Подпрограмма "Развитие спортивной инфраструктуры"</t>
  </si>
  <si>
    <t xml:space="preserve">Минстрой МО, ГОКУ УКС
</t>
  </si>
  <si>
    <t xml:space="preserve">Общая площадь здания - 1835 кв. м
</t>
  </si>
  <si>
    <t xml:space="preserve">2023 - 2024 строительство
</t>
  </si>
  <si>
    <t xml:space="preserve">Минстрой МО, АО Корпорация развития МО
</t>
  </si>
  <si>
    <t xml:space="preserve">Будет установлена после разработки ПСД
</t>
  </si>
  <si>
    <t xml:space="preserve">2023 - 2032 строительство и эксплуатация
</t>
  </si>
  <si>
    <t xml:space="preserve">Минспорт МО, АО Корпорация развития МО
</t>
  </si>
  <si>
    <t xml:space="preserve">Реконструкция Ледового дворца, расположенного по адресу: Мурманская обл., г. Оленегорск, ул. Строительная, д. 40
</t>
  </si>
  <si>
    <t xml:space="preserve">Минстрой МО, администрация муниципального образования г. Оленегорск МО
</t>
  </si>
  <si>
    <t>Нет</t>
  </si>
  <si>
    <t xml:space="preserve">Министерство спорта и подведомственные учреждения Минспорту МО: "МОСШОР" по зимним видам спорта", ГАУМО "Кировская СОШ", ГАУМО "МОСШОР", "Мончегорская СШОР", ГОБУ "МОСШ" </t>
  </si>
  <si>
    <t xml:space="preserve">Подведомственные учреждения Минспорту МО: "МОСШОР" по зимним видам спорта", ГАУМО "Кировская СОШ", ГАУМО "МОСШОР", ГАУМО "ЦСП", ГАУМО "Мончегорская СШОР", ГОБУ "МОСШ", ГОКУ "Кандалакшская школа по санному спорту", ГАУМО "Комплексная СШОР"  </t>
  </si>
  <si>
    <t>Министерстов спорта МО, ГАУМО "КСШОР", ГАУМО "МОСШОР по ЗВС"</t>
  </si>
  <si>
    <t>Основное мероприятие 2 "Поддержка социально ориентированных некоммерческих организаций, осуществляющих деятельность в сфере физической культуры и спорта"</t>
  </si>
  <si>
    <t>Предоставление грантов  в форме субсидий по итогам проведения конкурса для реализации социально значимых проектов в сфере физической культуры и спорта</t>
  </si>
  <si>
    <t>Подготовка спортивного резерва осуществляется в соответствии с федеральными стандартами  спортивной подготовки и подготовки спортсменов -кандидатов в спортивные сборные команды России по видам спорта</t>
  </si>
  <si>
    <t xml:space="preserve">Компенсация  расходов на оплату стоимости проезда и провоза багажа к месту использования отпуска и обратно лицам, работающим в организациях,финансируемых из областного бюджета </t>
  </si>
  <si>
    <t>Предоставление компенсации расходов на оплату стоимости проезда и провоза багажа к месту использования отпуска и обратно всем сотрудникам, заявившимся на получение указанной компенсации</t>
  </si>
  <si>
    <t>Компенсация фактически понесенных расходов на оплату проезда и провоза багажа осуществлялась всем сотрудникам, заявившимся на получение указанной компенсации</t>
  </si>
  <si>
    <t>3.4 Единовременная пропускная способность объектов спорта, введенных в эксплуатацию в рамках Программы</t>
  </si>
  <si>
    <t xml:space="preserve">2023 - 2024 разработка ПСД,СМР
</t>
  </si>
  <si>
    <t>Предоставление субсидий из областного бюджета некомерческими оргаизациями, осуществляющими деятельность в сфере физической культуры и спорта по виду спорта "Хоккей с мячом"</t>
  </si>
  <si>
    <t xml:space="preserve">Предоставлена субсидия региональной общественной организации "Федерация футбола Мурманской области" на возмещение расходов на подготовку и участие спортивной команды в спортивных и физкультурных мероприятиях </t>
  </si>
  <si>
    <t xml:space="preserve">На территории региона проведены мероприятия среди различных категорий населения: Проведены следующин основные мероприятия:
- Всероссийский спортивный фестиваль "Спортивная студенческая ночь"
- Предматчевые шоу ХК "Арктика" январь
- Предматчевые шоу ХК "Арктика" февраль
- Фестиваль по зимним видам спорта "Эривейв"
- Фестиваль молодежных субкультур. Летняя версия
- Всероссийский олимпийский день
- 10 000 шагов
- Бодрое воскресенье
</t>
  </si>
  <si>
    <t>Возмещение затрат в отчетном периоде не осуществлялось</t>
  </si>
  <si>
    <t>Приобретение имущества (за исключением недвижимого имущества) в отчетном периоде не осуществлялось</t>
  </si>
  <si>
    <t>Причины низкой степени освоения средств, достижения показателей результативности (менее 45%)</t>
  </si>
  <si>
    <t>С целью обеспечения реализации функций и услуг произведены расходы по выплате заработной платы, содержанию имущества (коммунальные расходы)</t>
  </si>
  <si>
    <t>Реализация мероприятия рассчитана до конца т.г.</t>
  </si>
  <si>
    <t xml:space="preserve">Освоение бюджетных средств заплаинровано в 4 квартале 2023 года </t>
  </si>
  <si>
    <t>В отчетном периоде устройство спортивных площадок на территории региона не осуществлялось</t>
  </si>
  <si>
    <t xml:space="preserve">Государственная программа "Физическая культура и спорт" </t>
  </si>
  <si>
    <t>План реализации государственной программы на 2021-2026 годы</t>
  </si>
  <si>
    <t>Государственная программа, подпрограмма, основное мероприятие, мероприятие</t>
  </si>
  <si>
    <t xml:space="preserve"> Срок выполнения</t>
  </si>
  <si>
    <t>Связь основных мероприятий с показателями подпрограмм, ожидаемые результаты реализации (краткая характеристика) мероприятий</t>
  </si>
  <si>
    <t>По годам реализации</t>
  </si>
  <si>
    <t xml:space="preserve">Государственная программа Мурманской области "Физическая культура и спорт" </t>
  </si>
  <si>
    <t>2021-2026</t>
  </si>
  <si>
    <t>Министерство спорта МО, Министерство строительства МО</t>
  </si>
  <si>
    <t>Министерство спорта Мурманской области</t>
  </si>
  <si>
    <t xml:space="preserve">Министерство строительства Мурманской области </t>
  </si>
  <si>
    <t>Министерство строительства МО</t>
  </si>
  <si>
    <t>1</t>
  </si>
  <si>
    <t>Министерство спорта МО, подведомственные Министерству учреждения</t>
  </si>
  <si>
    <t>сверено</t>
  </si>
  <si>
    <t>ОМ 1.1</t>
  </si>
  <si>
    <t>Основное мероприятие 1                                 "Информатизация сферы спорта"</t>
  </si>
  <si>
    <t>0.1 доля населения, систематически занимающегося физической культурой и спортом, в общей численности населения</t>
  </si>
  <si>
    <t>Министерство спорта МО, подведомственные Министерству учреждения, организации</t>
  </si>
  <si>
    <t>1.1.1</t>
  </si>
  <si>
    <t>Мероприятия в области информационно-коммуникационной и статистической системы управления спортом Мурманской области</t>
  </si>
  <si>
    <t>2021-2021</t>
  </si>
  <si>
    <t>Создание автоматизированной информационной системы информационно-коммуникационного и статистического обеспечения контроля и прогнозирования развития спортивной отрасли в 2021 году</t>
  </si>
  <si>
    <t>1.1.2</t>
  </si>
  <si>
    <t>Приобретение оборудования для зон награждения победителей и призеров официальных физкультурных и спортивных мероприятий, проводимых на территориях муниципальных образований Мурманской области</t>
  </si>
  <si>
    <t>2021 год - приобретение оборудования для зон награждения победителей и призеров официальных физкультурных и спортивных мероприятий, проводимых на территориях муниципальных образований Мурманской области</t>
  </si>
  <si>
    <t>Министерство спорта МО, подведомственные Министерству учреждения, администрации муниципальных образований МО</t>
  </si>
  <si>
    <t>1.1.3</t>
  </si>
  <si>
    <t>Оказание услуг по организации сеансов катания на коньках на крытых катках для мужчин, достигших возраста 55 лет, и женщин, достигших возраста 50 лет</t>
  </si>
  <si>
    <t>Организация катания на коньках на крытых катках в муниципальных образованиях МО для граждан пожилого возраста</t>
  </si>
  <si>
    <t>Основное мероприятие 2                                 "Поддержка социально ориентированных некоммерческих организаций, осуществляющих деятельность в сфере физической культуры и спорта"</t>
  </si>
  <si>
    <t>1.1 Доля граждан в возрасте 3-29 лет, систематически занимающихся физической культурой и спортом, в общей численности граждан данной возрастной категории
1.2 Доля граждан в возрасте от  30 до 54 года включительно (женщины) и до 59 лет включительно (мужчины), систематически занимающихся физической культурой и спортом, в общей численности граждан данной возрастной категории                           1.3. Доля граждан в возрасте от  55 лет (женщины) и от 60 лет (мужчины) до 79 лет включительно, систематически занимающихся физической культурой и спортом, в общей численности граждан данной возрастной категории</t>
  </si>
  <si>
    <t>1.2.1</t>
  </si>
  <si>
    <t>Предоставление субсидий из областного бюджета некоммерческим организациям, осуществляющим деятельность в сфере физической культуры и спорта по виду спорта "Хоккей с мячом"</t>
  </si>
  <si>
    <t>Возмещение НКО расходов на частичное финансовое обеспечение затрат, связанных с подготовкой и участием спортивной команды в физкультурных мероприятиях и спортивных мероприятиях, а также с оплатой труда и начислениями на оплату труда работников</t>
  </si>
  <si>
    <t>1.2.2</t>
  </si>
  <si>
    <t>Предоставление субсидий из областного бюджета некоммерческим организациям, осуществляющим деятельность в сфере физической культуры и спорта по виду спорта "Баскетбол"</t>
  </si>
  <si>
    <t>Возмещение НКО расходов на частичное финансовое обеспечение затрат, связанных с подготовкой и участием спортивной команды в физкультурных мероприятиях по баскетболу, а также с оплатой труда и начислениями на оплату труда работников</t>
  </si>
  <si>
    <t>1.2.3</t>
  </si>
  <si>
    <t>Предоставление субсидий из областного бюджета некоммерческим организациям, осуществляющим деятельность в сфере физической культуры и спорта по виду спорта "Хоккей"</t>
  </si>
  <si>
    <t>1.2.4</t>
  </si>
  <si>
    <t>Предоставление  грантов в форме субсидий по итогам проведения конкурса для реализации социально-значимых проектов в сфере физической культуры и спорта</t>
  </si>
  <si>
    <t>уменьшение в связи с отказом участников и перераспределение на переезд</t>
  </si>
  <si>
    <t>1.2.5</t>
  </si>
  <si>
    <t>2022-2026</t>
  </si>
  <si>
    <t>Возмещение НКО расходов на частичное финансовое обеспечение затрат, связанных с подготовкой и участием спортивной команды в физкультурных мероприятиях по футболу, а также с оплатой труда и начислениями на оплату труда работников</t>
  </si>
  <si>
    <t>1.2.7</t>
  </si>
  <si>
    <t>Предоставление грантов в форме субсидий государственным областным и муниципальным общеобразовательным организациям, не являющимся казенными учреждениями, на развитие школьных спортивных клубов</t>
  </si>
  <si>
    <t>Предоставлены гранты в форме субсидии государственным областным и муниципальным общеобразовательным организациям, не являющимся казенными учреждениями, на развитие школьных спортивных клубов</t>
  </si>
  <si>
    <t>1.2.8</t>
  </si>
  <si>
    <t>Предоставление грантов в форме субсидии муниципальным автономным учреждениям на развитие школьных спортивных клубов ИСКЛЮЧЕНО</t>
  </si>
  <si>
    <t xml:space="preserve">Предоставление грантов в форме субсидии муниципальным автономным учреждениям на развитие школьных спортивных клубов </t>
  </si>
  <si>
    <t>1.2.10</t>
  </si>
  <si>
    <t xml:space="preserve">Субсидии муниципальным образованиям на развитие физкультурно-спортивной работы </t>
  </si>
  <si>
    <t>2021-2022</t>
  </si>
  <si>
    <t xml:space="preserve"> Субсидия распеределна между муниципальными образованиями для организации физкультурно-спортивной работы (администрация муниципального образования город Апатиты с подведомственной территорией Мурманской области,
администрация Ковдорского муниципального округа Мурманской области
администрация Кольского района,
Муниципальное образование Город-герой Мурманск,
Муниципальное образование городской округ закрытое административно-территориальное образование Александровск Мурманской области)</t>
  </si>
  <si>
    <t>1.2.11</t>
  </si>
  <si>
    <t>Субсидия муниципальным образованиям на открытие спортивных пространств для молодежи</t>
  </si>
  <si>
    <t>2023-2026</t>
  </si>
  <si>
    <t xml:space="preserve"> Субсидия распределяется между муниципальными образованиями для организации физкультурно-спортивной работы </t>
  </si>
  <si>
    <t xml:space="preserve"> Субсидия распределяется между муниципальными образованиями для организации работы по открытию спортивных пространст для молодежи </t>
  </si>
  <si>
    <t>1.2.15</t>
  </si>
  <si>
    <t>Создание молодежного спортивного пространства "СОПКИ.СПОРТ"*</t>
  </si>
  <si>
    <t>2023-2025</t>
  </si>
  <si>
    <t xml:space="preserve">Обеспечение материально-технической базой нового спортивного пространства </t>
  </si>
  <si>
    <t>П 1.1</t>
  </si>
  <si>
    <t>1.4 Доля граждан трудоспособного возраста, систематически занимающихся физической культурой и спортом</t>
  </si>
  <si>
    <t>Министерство спорта МО,  подведомственные Министерству учреждения</t>
  </si>
  <si>
    <t>П 1.1.1</t>
  </si>
  <si>
    <t>2021-2024</t>
  </si>
  <si>
    <t>Закупка комплекта спортивного оборудования. 2021- ЗАТО Александровск. 2022 - Кольский район, н.п. Зверосовхоз, 2023 - Варзуга</t>
  </si>
  <si>
    <t>Министерство спорта МО,  администрации муниципальных образований МО</t>
  </si>
  <si>
    <t>П 1.1.2</t>
  </si>
  <si>
    <t>Обучение навыкам плавания  детей и подростков в возрасте от 6 до 14 лет</t>
  </si>
  <si>
    <t xml:space="preserve">Обучение плаванию ежегодно не менее 500 человек </t>
  </si>
  <si>
    <t>П 1.1.3</t>
  </si>
  <si>
    <t>П 1.1.4</t>
  </si>
  <si>
    <t>Закупка комплекта спортивного оборудования для создания физкультурно-оздоровительного комплекса открытого типа в п. Сафоново ЗАТО Североморск</t>
  </si>
  <si>
    <t>не сверено, 1203,8</t>
  </si>
  <si>
    <t>ОМ 2.1</t>
  </si>
  <si>
    <t>Основное мероприятие 1 "Подготовка спортивного резерва, организация и проведение физкультурных и спортивных мероприятий, реализация программ спортивной подготовки подведомственными Министерству учреждениями"</t>
  </si>
  <si>
    <t>2.1.1</t>
  </si>
  <si>
    <t>доп с софин фб</t>
  </si>
  <si>
    <t>2.1.2</t>
  </si>
  <si>
    <t>2.1.3</t>
  </si>
  <si>
    <t>Присвоение спортивных разрядов : "Первый юношеский спортивный разряд", "Второй юношеский спортивный разряд", "Третий юношеский спортивный разряд"</t>
  </si>
  <si>
    <t>Количество приобретенных зачетных книжек и нагрудных знаков</t>
  </si>
  <si>
    <t>2.1.4</t>
  </si>
  <si>
    <t xml:space="preserve">Обеспечение подготовки спортивного резерва для сборных команд Российской Федерации  </t>
  </si>
  <si>
    <t>ГАУМО «КСШОР», ГАУМО «МОСШОР по ЗВС», ГАУМО «Кировская СШОР по горнолыжному спорту», ГАУМО "МОСШОР", ГАУМО "ЦСП", ГАУМО "Мончегорская СШОР по горнолыжному спорту", ГОБУ "МОСШ"</t>
  </si>
  <si>
    <t>2.1.5</t>
  </si>
  <si>
    <t>Компенсация расходов на оплату стоимости проезда и провоза багажа к месту использования отпуска и обратно лицам, работающим в организациях, финансируемых из областного бюджета</t>
  </si>
  <si>
    <t>Предоставление компенсации расходов на оплату стоимости проезда и провоза багажа к месту использования отпуска и обратно всем сотрудникам, заявившимся на получение указанной компенсации.</t>
  </si>
  <si>
    <t>2.1.6</t>
  </si>
  <si>
    <t>Приобретение спортивного оборудования в соответствии с федеральными стандартами спортивной подготовки, программами спортивной подготовки</t>
  </si>
  <si>
    <t>Приобретение подведомственными учреждениями спортивного оборудования в соответствии с федеральными стандартами спортивной подготовки, программами спортивной подготовки</t>
  </si>
  <si>
    <t>ГАУМО «МОСШОР», ГАУМО «Кировская СШОР по горнолыжному спорту»</t>
  </si>
  <si>
    <t>2.1.7</t>
  </si>
  <si>
    <t xml:space="preserve">Расходы, связанные с приобретением недвижимого имущества, расположенного по адресу Мурманская область г. Мурманск ул. Челюскинцев д.1, в государственную собственность Мурманской области </t>
  </si>
  <si>
    <t>Финансовое обеспечение расходов, связанных с приобретением недвижимого имущества в государственную собственность Мурманской области.</t>
  </si>
  <si>
    <t>ГАУМО «ЦСП», министерство спорта МО</t>
  </si>
  <si>
    <t>2.1.8</t>
  </si>
  <si>
    <t>Компенсация расходов на оплату стоимости проезда и провоза багажа при переезде лиц (работников), а также членов их семей, при заключении (расторжении) трудовых договоров (контрактов) с организациями, финансируемыми из областного бюджета</t>
  </si>
  <si>
    <t>Предоставление компенсации расходов на оплату стоимости проезда и провоза багажа при переезде лиц (работников), а также членов их семей, при заключении (расторжении) трудовых договоров (контрактов) с организациями, финансируемыми из областного бюджета</t>
  </si>
  <si>
    <t>ГАУМО «ЦСП»</t>
  </si>
  <si>
    <t>в соотсвевии с бюджетной росписью, перераспределено с грантов</t>
  </si>
  <si>
    <t>2.1.9</t>
  </si>
  <si>
    <t>Разработка дизайнерского решения единого пространства среды спортивного комплекса «Долина Уюта» и лесного массива Первомайского района</t>
  </si>
  <si>
    <t>Проведение закупки «Разработка дизайнерского решения единого пространства среды спортивного комплекса «Долина Уюта» и лесного массива Первомайского района»</t>
  </si>
  <si>
    <t>2.1.10</t>
  </si>
  <si>
    <t>Приобретение самоходной машины с заправочным баком для воды и специализированным съемным оборудованием, в том числе для заливки льда</t>
  </si>
  <si>
    <t>2021 год - приобретение самоходной машины</t>
  </si>
  <si>
    <t>Приобретение имущества (за исключением недвижимого имущества) подведомственными учреждениями</t>
  </si>
  <si>
    <t>Министерство спорта МО, ГАУМО "ЦСП", МКУ "СШ по санному спорту", ГАУМО "Кировская СШОР"</t>
  </si>
  <si>
    <t>2.1.12</t>
  </si>
  <si>
    <t>Выполнение работ по посадке зеленых насаждений хвойных пород на территории спортивного комплекса «Долина Уюта»</t>
  </si>
  <si>
    <t>2021 год - выполнены работы по посадке зеленых насаждений хвойных пород на территории спортивного комплекса «Долина Уюта»</t>
  </si>
  <si>
    <t>ГАУМО «ЦСП», Министерство спорта МО</t>
  </si>
  <si>
    <t>Количество спортивных сооружений, в которых осуществлен капитальный и текущий ремонт</t>
  </si>
  <si>
    <t>2.1.13</t>
  </si>
  <si>
    <t>Проведение экспресс-тестирования на коронавирусную инфекцию (COVID-19) спортсменов, тренеров, персонала, судей и организаторов Всероссийских соревнований по горнолыжному спорту на территории Мурманской области</t>
  </si>
  <si>
    <t>2021 год - проведено экспресс-тестирование на коронавирусную инфекцию (COVID-19) спортсменов, тренеров, персонала, судей и организаторов Всероссийских соревнований по горнолыжному спорту на территории Мурманской области</t>
  </si>
  <si>
    <t>2.1.14</t>
  </si>
  <si>
    <t>Поощрения в рамках церемонии награждения спортсменов, тренеров, ветеранов спорта и физкультурного актива  Мурманской области</t>
  </si>
  <si>
    <t>Ежегодное поощрение в рамках церемоний награждения спортсменов, тренеров, ветеранов спорта и физкультурного актива  Мурманской области с количеством награжденных не менее 3 человек</t>
  </si>
  <si>
    <t>2.1.16</t>
  </si>
  <si>
    <t>Приобретение оборудование медицинского кабинета ИСКЛЮЧЕНО</t>
  </si>
  <si>
    <t>2022 - оборудован медицинский кабинет</t>
  </si>
  <si>
    <t>Министерство спорта МО, ГАУМО "Кировская СШОР по горнолыжному спорту"</t>
  </si>
  <si>
    <t>2.1.17</t>
  </si>
  <si>
    <t>Субсидия на реализацию мероприятий по приобретению спортивного оборудования и инвентаря для организации и проведения спортивных мероприятий по хоккею</t>
  </si>
  <si>
    <t>Поставка оборудования и инвентаря</t>
  </si>
  <si>
    <t>ГОУП "УСДЦ"</t>
  </si>
  <si>
    <t>2.1.18</t>
  </si>
  <si>
    <t xml:space="preserve">Создание объектов спортивной инфраструктуры, находящихся на территории Военно-патриотического парка культуры и отдыха «Патриот» Северного флота </t>
  </si>
  <si>
    <t>Cоздание 4 объектов спортивной инфраструктуры (двух элементов комплексных полос препятствий, открытого уличного скалодрома и веревочного парка), находящихся на территории Военно-патриотического парка культуры и отдыха «Патриот» Северного флота.</t>
  </si>
  <si>
    <t>2.1.19</t>
  </si>
  <si>
    <t>Реализация мероприятий по приобретению и установке блок-контейнеров для хранения и подготовки спортивного инвентаря ИСКЛЮЧЕНО</t>
  </si>
  <si>
    <t>Приобретение и установка блок-контейнеров для хранения и подготовки спортивного инвентаря команд - участников официальных физкультурных и спортивных мероприятий</t>
  </si>
  <si>
    <t xml:space="preserve">Проведение инженерных изысканий территории для оценки возможности размещения спортивных объектов» </t>
  </si>
  <si>
    <t>2022-2023</t>
  </si>
  <si>
    <t>2.1.22</t>
  </si>
  <si>
    <t xml:space="preserve">Благоустройство территорий и подготовка оснований  для монтажа «умных» спортивных площадок </t>
  </si>
  <si>
    <t>2021-2025</t>
  </si>
  <si>
    <t xml:space="preserve">Проведение инженерных изысканий, разработка проектно-сметной документации, направление полученных результатов инженерных изысканий и проектно-сметной документации на прохождение государственной экспертизы, благоустройство территории и подготовка основания для монтажа «умной» спортивной площадки </t>
  </si>
  <si>
    <t>ОМ 2.2</t>
  </si>
  <si>
    <t>2.2.1</t>
  </si>
  <si>
    <t>2.2.2</t>
  </si>
  <si>
    <t>П 2.1</t>
  </si>
  <si>
    <t xml:space="preserve">2.1 Численность спортсменов МО, включенных в список кандидатов в спортивные сборные команды Российской Федерации. 2.3 Доля граждан в возрасте 6-15 лет, занимающихся в спортивных организациях, в общей численности детей и молодежи в возрасте 6-15 лет. 2.4 Доля спортсменов-разрядников в общем количестве лиц, занимающихся в системе  спортивных школ олимпийского резерва. </t>
  </si>
  <si>
    <t>П 2.1.1</t>
  </si>
  <si>
    <t>Поставка оборудования и инвентаря в организации спортивной подготовки:
в 2022 году – 2 организации (Кировская СШОР, Мончегорская СШОР);
в 2023 году – 2 организации (ГАУМО "МОСШОР по ЗВС" и ГАУМО "Комплексная СШОР");
в 2024 году - 2 организации</t>
  </si>
  <si>
    <t>П 2.1.2</t>
  </si>
  <si>
    <t>3</t>
  </si>
  <si>
    <t>Министерство спорта МО, Минстрой МО, ГОУП "УСДЦ", ГОКУ "УКС МО", администрации муниципальных образований МО, АО Корпорация развития МО, ГАУМО "ЦСП"</t>
  </si>
  <si>
    <t>ОМ 3.1</t>
  </si>
  <si>
    <t>Основное мероприятие 1 "Строительство, реконструкция и модернизация спортивных объектов Мурманской области"</t>
  </si>
  <si>
    <t xml:space="preserve"> 3.3 Эффективность использования существующих объектов спорта. 3.4 Единовременная пропускная способность объектов спорта, введенных в эксплуатацию в рамках Программы. </t>
  </si>
  <si>
    <t xml:space="preserve"> Министерство строительства МО,   администрации муниципальных образований МО</t>
  </si>
  <si>
    <t>правильно</t>
  </si>
  <si>
    <t>3.1.1</t>
  </si>
  <si>
    <t>2021-2023</t>
  </si>
  <si>
    <t>2021 – разработка ПСД</t>
  </si>
  <si>
    <t>3.1.2</t>
  </si>
  <si>
    <t>Реконструкция стадиона МБОУ "Гимназия №1" г. Полярные Зори Мурманской области"</t>
  </si>
  <si>
    <t>2021 – реконструкция</t>
  </si>
  <si>
    <t>3.1.3</t>
  </si>
  <si>
    <t xml:space="preserve">Административно-спортивный комплекс специализированной детско-юношеской спортивной школы олимпийского резерва по горнолыжному спорту в г. Кировске  </t>
  </si>
  <si>
    <t xml:space="preserve">2021 год -  завершение строительства здания "АСК" г. Кировск </t>
  </si>
  <si>
    <t>Министерство строительства МО, ГОКУ «УКС МО»</t>
  </si>
  <si>
    <t>3.1.4</t>
  </si>
  <si>
    <t>Поставка и установка информационных стендов для спортивных площадок, устанавливаемых в муниципальных образованиях</t>
  </si>
  <si>
    <t>поставка и установка информационных стендов в количестве восьми штук для спортивных площадок, которые устанавливаются в муниципальных образованиях</t>
  </si>
  <si>
    <t>исправила</t>
  </si>
  <si>
    <t>3.1.5</t>
  </si>
  <si>
    <t xml:space="preserve">Строительство объекта «Лыжная база в городе Полярные Зори Мурманской области» </t>
  </si>
  <si>
    <t xml:space="preserve">2021 -2023  - строительство объекта «Лыжная база в г. Полярные Зори с подведомственной территорией Мурманской области». </t>
  </si>
  <si>
    <t>3.1.6</t>
  </si>
  <si>
    <t>Поставка и установка оборудования по хоккею в Ледовый дворец Государственного областного унитарного предприятия «Универсальный спортивно-досуговый центр»</t>
  </si>
  <si>
    <t>2021 год - поставка и установка оборудования по хоккею в Ледовый дворец Государственного областного унитарного предприятия «Универсальный спортивно-досуговый центр»</t>
  </si>
  <si>
    <t>областной объек, УКСт</t>
  </si>
  <si>
    <t>3.1.7</t>
  </si>
  <si>
    <t>Разработка ПСД на строительство полноразмерного футбольного манежа в г. Мурманске</t>
  </si>
  <si>
    <t xml:space="preserve">2022 год - разработана ПСД на строительство полноразмерного футбольного манежа в г. Мурманске. </t>
  </si>
  <si>
    <t>областной объект, УКС</t>
  </si>
  <si>
    <t>3.1.8</t>
  </si>
  <si>
    <t>Разработка ПСД и строительство ФОК с бассейном но адресу: г. Мурманск, ул.Скальная</t>
  </si>
  <si>
    <t xml:space="preserve">2023 год - разработана ПСД, строительство ФОК с бассейном но адресу: г. Мурманск, ул.Старостина </t>
  </si>
  <si>
    <t>Министерство строительства МО, ГОКУ "УКС МО"</t>
  </si>
  <si>
    <t>3.1.9</t>
  </si>
  <si>
    <t xml:space="preserve">Выполнение компенсационного озеленения в рамках обязательств по выданным разрешениям на снос, пересадку, санитарную обрезку зеленных насаждений от 15.07.2019 № 142 и от 23.07.2020 № 131 в рамках реализации проекта «Комплексное развитие спорткомплекса «Долина Уюта» </t>
  </si>
  <si>
    <t xml:space="preserve">2022 год - выполнено компенсационное озеленение в рамках обязательств по выданным разрешениям на снос, пересадку, санитарную обрезку зеленных насаждений </t>
  </si>
  <si>
    <t>Министерство строительства МО, ГОУП "УСДЦ"</t>
  </si>
  <si>
    <t>3.1.10</t>
  </si>
  <si>
    <t>Разработка проектной документации "Крытого катка с искусственным льдом в г. Кандалакше"</t>
  </si>
  <si>
    <t xml:space="preserve">2022 год - разработана проектной документации "Крытого катка с искусственным льдом в г. Кандалакше". </t>
  </si>
  <si>
    <t>3.1.11</t>
  </si>
  <si>
    <t>Разработка проектно-сметной документации на строительство лыжной трассы в ЗАТО Видяево</t>
  </si>
  <si>
    <t>2022 год - разработана ПСД на строительство лыжной трассы в ЗАТО Видяево</t>
  </si>
  <si>
    <t>3.1.12</t>
  </si>
  <si>
    <t>2022 год - разработана ПСД на строительство лыжной трассы в г. Снежногорске</t>
  </si>
  <si>
    <t>3.1.13</t>
  </si>
  <si>
    <t xml:space="preserve">2022 год - разработана ПСД на строительство лыжной трассы в ЗАТО  Заозерск. </t>
  </si>
  <si>
    <t>3.1.14</t>
  </si>
  <si>
    <t>Разработка ПСД и строительство ФОК с бассейном по адресу: г. Мурманск, ул. Копытова</t>
  </si>
  <si>
    <t>2023 год - разработана ПСД и строительство ФОК с бассейном по адресу: г. Мурманск, ул. Копытова</t>
  </si>
  <si>
    <t>3.1.15</t>
  </si>
  <si>
    <t>Строительство регионального центра по натурбану в г. Кандалакша</t>
  </si>
  <si>
    <t xml:space="preserve">2022 год - строительство </t>
  </si>
  <si>
    <t>3.1.17</t>
  </si>
  <si>
    <t>Проект благоустройства общественной территории западной части комплекса "Долина Уюта" в границах улиц Ломоносова, Морской, Лыжного проезда и Кольского проспекта в городе Мурманск</t>
  </si>
  <si>
    <t>2022 год - разработка проекта</t>
  </si>
  <si>
    <t>3.1.18</t>
  </si>
  <si>
    <t>Разработка проектно-сметной документации на реконструкцию стадиона с.п. Ловозеро</t>
  </si>
  <si>
    <t>2022 год - разработана проектно-сметная документация на реконструкцию стадиона с.п. Ловозеро</t>
  </si>
  <si>
    <t>3.1.19</t>
  </si>
  <si>
    <t>Разработка ПСД на строительство горнолыжного подъемника МБОУ ДО ДЮСШ п.Ревда, Ловозерского района на горе Кедыквырпахк</t>
  </si>
  <si>
    <t xml:space="preserve">2022 год - разработана проектно-сметная документация на строительство горнолыжного подъемника </t>
  </si>
  <si>
    <t>3.1.20</t>
  </si>
  <si>
    <t xml:space="preserve">Строительство и эксплуатация быстровозводимого спортивного комплекса
с плавательным бассейном и тренажерным залом на Кольском проспекте в г. Мурманске 
</t>
  </si>
  <si>
    <t xml:space="preserve">Строительство объекта СК с плавательных бассейном
3.3 Эффективность использования существующих объектов спорта. 3.4 Единовременная пропускная способность объектов спорта, введенных в эксплуатацию в рамках Программы. </t>
  </si>
  <si>
    <t>/3.1.21</t>
  </si>
  <si>
    <t>Футбольный манеж в спортивном комплексе "Долина Уюта" в г. Мурманск (разработка ПД)</t>
  </si>
  <si>
    <t xml:space="preserve">2024 год - разработана проектной документация на строительство футбольного манежа </t>
  </si>
  <si>
    <t>Министерство строительства МО, ГОКУ УКС</t>
  </si>
  <si>
    <t>/3.1.22</t>
  </si>
  <si>
    <t>Реконструкция здания плавательного бассейна по ул. Челюскинцев, д.2, г. Мурманск (разработка ПД)</t>
  </si>
  <si>
    <t>2024 год - разработана проектной документация на реконструкцию здания плавательного бассейна</t>
  </si>
  <si>
    <t>ОМ 3.2</t>
  </si>
  <si>
    <t xml:space="preserve">3.2 Количество спортивных сооружений, в которых осуществлен капитальный и текущий ремонт
3.3 Эффективность использования существующих объектов спорта. </t>
  </si>
  <si>
    <t>Министерство спорта МО, Министерство строительства МО, администрации муниципальных образований МО, ГОУП "УСДЦ"</t>
  </si>
  <si>
    <t>2022 - 2023 капитальный ремонт искусственного покрытия футбольного поля с легкоатлетическими дорожками ЗАТО Александровск</t>
  </si>
  <si>
    <t>3.2.3</t>
  </si>
  <si>
    <t>Текущие и капитальные ремонтные работы в подведомственных учреждениях</t>
  </si>
  <si>
    <t>Финансовое обеспечение затрат подведомственных учреждений, связанных с проведением текущих и капитальных ремонтных работ</t>
  </si>
  <si>
    <t>3.2.4</t>
  </si>
  <si>
    <t xml:space="preserve">Субсидия на подготовку территории-основания и установку комплекта спортивно-технологического оборудования для создания или модернизации физкультурно-оздоровительных комплексов открытого типа  </t>
  </si>
  <si>
    <t>Подготовка основания для создания физкультурно-оздоровительного комплекса открытого типа</t>
  </si>
  <si>
    <t>3.2.5</t>
  </si>
  <si>
    <t>Капитальный ремонт вентиляционной системы Ледового дворца МУС «Учебно­спортивный центр» в г. Оленегорск</t>
  </si>
  <si>
    <t>2021 год - ремонт вентиляционной системы Ледового дворца МБУ «Учебно­спортивный центр» в г. Оленегорск</t>
  </si>
  <si>
    <t>3.2.6</t>
  </si>
  <si>
    <t>Капитальный ремонт полов спортивного зала Дома физкультуры МУС «Учебно­спортивный центр» в г. Оленегорск</t>
  </si>
  <si>
    <t>2021 год - капитальный ремонт полов спортивного зала Дома физкультуры МБУ «Учебно­спортивный центр» в г. Оленегорск</t>
  </si>
  <si>
    <t>3.2.7</t>
  </si>
  <si>
    <t>Капитальный ремонт системы освещения арены стадиона в г. Мончегорск</t>
  </si>
  <si>
    <t>2021 год - капитальный ремонт системы освещения арены стадиона в г. Мончегорск</t>
  </si>
  <si>
    <t>3.2.8</t>
  </si>
  <si>
    <t>Ремонт фасада МАУ спортивная школа ул.50 лет Октября 31 г. Кировск</t>
  </si>
  <si>
    <t>2021 год - ремонт фасада МАУ спортивная школа ул.50 лет Октября 31 г. Кировск</t>
  </si>
  <si>
    <t>3.2.9</t>
  </si>
  <si>
    <t>Ремонт хоккейного корта г. Кандалакша</t>
  </si>
  <si>
    <t>2021 год - ремонт хоккейного корта г. Кандалакша</t>
  </si>
  <si>
    <t>3.2.10</t>
  </si>
  <si>
    <t>Капитальный ремонт внутренних помещений, вентиляции и системы электроснабжения МБУ СШ "Олимп" г. Оленегорск</t>
  </si>
  <si>
    <t>2021 год - капитальный ремонт внутренних помещений, вентиляции и системы электроснабжения МБУ СШ "Олимп" г. Оленегорск</t>
  </si>
  <si>
    <t>3.2.11</t>
  </si>
  <si>
    <t>Капитальный ремонт «Безопорной буксировочной канатной дороги на горнолыжном склоне по ул. Гагарина в   г. Полярном ЗАТО Александровск»</t>
  </si>
  <si>
    <t>2021-2022 годы Капитальный ремонт «Безопорной буксировочной канатной дороги на горнолыжном склоне по ул. Гагарина в г. Полярном ЗАТО Александровск»</t>
  </si>
  <si>
    <t>3.2.12</t>
  </si>
  <si>
    <t>Капитальный ремонт ограждающих конструкций и устройство вентилируемого фасада из композитных панелей здания Дома физкультуры муниципального учреждения спорта «Учебно-спортивный центр» в г. Оленегорске</t>
  </si>
  <si>
    <t>2021 год - Капитальный ремонт ограждающих конструкций и устройство вентилируемого фасада из композитных панелей здания Дома физкультуры МУС "УСЦ"</t>
  </si>
  <si>
    <t>3.2.13</t>
  </si>
  <si>
    <t>Разработка рабочей документации капитального ремонта спортивного сооружения «Стрельбище для биатлона» на территории спортивного комплекса «Долина Уюта»</t>
  </si>
  <si>
    <t>2021 год - Разработана рабочая документация капитального ремонта спортивного сооружения «Стрельбище для биатлона» на территории спортивного комплекса «Долина Уюта»</t>
  </si>
  <si>
    <t>3.2.14.</t>
  </si>
  <si>
    <t>Капитальный ремонт здания ДЮСШ по адресу: Мурманская область, Печенгский район, нп Спутник, улица Новая, дом 6 (проведение наружных работ)</t>
  </si>
  <si>
    <t>2021 - капитальный ремонт здания ДЮСШ по адресу: Мурманская область, Печенгский район, нп Спутник, улица Новая, дом 6 (проведение наружных работ)</t>
  </si>
  <si>
    <t>3.2.15</t>
  </si>
  <si>
    <t>Капитальный ремонт ограждающих конструкций с устройством вентилируемого фасада из композитных панелей здания Дома физкультуры МУС «Учебно-спортивный центр» по адресу: Мурманская область, г. Оленегорск, ул. Строительная, д. 47</t>
  </si>
  <si>
    <t>2021 год - капитальный ремонт ограждающих конструкций с устройством вентилируемого фасада из композитных панелей здания Дома физкультуры МУС «Учебно-спортивный центр» по адресу: Мурманская область, г. Оленегорск, ул. Строительная, д. 47</t>
  </si>
  <si>
    <t>3.2.16.</t>
  </si>
  <si>
    <t xml:space="preserve">Устройство асфальто-бетонного покрытия лыжероллерной трассы в спорткомплексе "Долина Уюта" </t>
  </si>
  <si>
    <t xml:space="preserve">2022 год - выполнено устройство асфальто-бетонного покрытия лыжероллерной трассы в спорткомплексе "Долина Уюта" </t>
  </si>
  <si>
    <t>Министерство строительства МО, ГОКУ "УКС"</t>
  </si>
  <si>
    <t>3.2.17.</t>
  </si>
  <si>
    <t xml:space="preserve">Возмещение затрат ГОУП «УСДЦ»  в части  содержания и эксплуатации государственного имущества. </t>
  </si>
  <si>
    <t>3.2.19</t>
  </si>
  <si>
    <t>Капитальный ремонт зданий и сооружений МБУ СШ «Олимп», г. Оленегорск</t>
  </si>
  <si>
    <t>2022 год - выполнен капитальный ремонт зданий и сооружений МБУ СШ «Олимп», г. Оленегорск</t>
  </si>
  <si>
    <t>3.2.20</t>
  </si>
  <si>
    <t>Разработка проектной документации на капитальный ремонт спортивного объекта "Межшкольный стадион" ЗАТО Видяево</t>
  </si>
  <si>
    <t>2022 год - разработана проектная документация на капитальный ремонт спортивного объекта "Межшкольный стадион" г. Видяево</t>
  </si>
  <si>
    <t>3.2.21</t>
  </si>
  <si>
    <t>МБУДО "ДЮСШ" Капитальный ремонт универсального спортзала , расположеного по адресу г. Снежногорск, ул. Октябрьская, 25А</t>
  </si>
  <si>
    <t>2022 год - выполнен капитальный ремонт универсального спортзала МБУДО "ДЮСШ", расположеного по адресу г. Снежногорск, ул. Октябрьская, 25А</t>
  </si>
  <si>
    <t>3.2.22</t>
  </si>
  <si>
    <t>МБУ ДО ДЮСШ Ремонт мягкой кровли здания, расположенного по адресу г. Гаджиево, ул. Душенова д. 86/А</t>
  </si>
  <si>
    <t>2022 год - выполнен ремонт мягкой кровли здания  МБУ ДО ДЮСШ, расположенного по адресу г. Гаджиево, ул. Душенова д. 86/А</t>
  </si>
  <si>
    <t>3.2.23</t>
  </si>
  <si>
    <t>Капитальный ремонт (освещение, установка раздевалок) лыжной трассы в г. Заполярный</t>
  </si>
  <si>
    <t>2022 год - выполнен капитальный ремонт (освещение, установка раздевалок) лыжной трассы в г. Заполярный</t>
  </si>
  <si>
    <t>3.2.24</t>
  </si>
  <si>
    <t>Капитальный ремонт спортивно-оздоровительного комплекса МАУ СШОР № 1 г. Мончегорск</t>
  </si>
  <si>
    <t>2022 год - выполнен капитальный ремонт физкультурно-оздоровительного комплекса МАУ "СШОР №1"  г. Мончегорск</t>
  </si>
  <si>
    <t>3.2.25</t>
  </si>
  <si>
    <t>Капитальный ремонт фасада здания водной станции МАУ "СШОР №1" г. Мончегорск</t>
  </si>
  <si>
    <t>2022 год - выполнен капитальный ремонт фасада здания водной станции МАУ "СШОР №1" г. Мончегорск, ул. Бредова, 23</t>
  </si>
  <si>
    <t>3.2.27</t>
  </si>
  <si>
    <t>Капитальный ремонт спорткомплекса Долина Уюта (разработка проектной документации на ремонт фасадов и ливневой канализации)</t>
  </si>
  <si>
    <t>2022 -2023  год - разработка проекта</t>
  </si>
  <si>
    <t>Министерство стротиельства МО, ГОКУ "УКС МО"</t>
  </si>
  <si>
    <t>3.2.28</t>
  </si>
  <si>
    <t>Выполнение работ по разработке эскиза концепции развития территории объекта «Центральный стадион профсоюзов», расположенного по адресу г. Мурманск ул. Челюскинцев д. 1</t>
  </si>
  <si>
    <t>Разработка одного эскиза концепции развития территории объекта «Центральный стадион профсоюзов», расположенного по адресу г. Мурманск ул. Челюскинцев д. 1.</t>
  </si>
  <si>
    <t>3.2.29</t>
  </si>
  <si>
    <t>Ремонт сетей электроснабжения административно-спортивного комплекса</t>
  </si>
  <si>
    <t>Замена  и перекладка части электрического кабеля</t>
  </si>
  <si>
    <t>3.2.30</t>
  </si>
  <si>
    <t xml:space="preserve"> Видеонаблюдение. Проектное решение по подготовке территории-основания и установке комплекта спортивно-технологического оборудования для создания физкультурно-оздоровительного комплекса открытого типа</t>
  </si>
  <si>
    <t>Поставлено дополнительное оборудование для завершения работ по установке видеонаблюдения в рамках проектного решения по подготовке территории-основания и установке комплекта спортивно-технологического оборудования для создания физкультурно-оздоровительного комплекса открытого типа</t>
  </si>
  <si>
    <t>3.2.31</t>
  </si>
  <si>
    <t>Дополнительные работы для создания физкультурно-оздоровительного комплекса открытого типа</t>
  </si>
  <si>
    <t>Проведены дополнительные работы в рамках создания физкультурно-оздоровительного комплекса открытого типа</t>
  </si>
  <si>
    <t>3.2.32</t>
  </si>
  <si>
    <t>Капитальный ремонт фасада здания МАУ «СШОР» по адресу: Мурманская область, г. Мончегорск, Арена стадиона (верхнее футбольное поле)</t>
  </si>
  <si>
    <t>2022 г - капитальный ремонт фасада здания МАУ «СШОР» по адресу: Мурманская область, г. Мончегорск, Арена стадиона (верхнее футбольное поле)</t>
  </si>
  <si>
    <t>Минстрой МО, администрация муниципального образования муниципального округа г. Мончегорск с подведомственной территорией</t>
  </si>
  <si>
    <t>3.2.33</t>
  </si>
  <si>
    <t>Капитальный ремонт стадиона. Благоустройство территории МАУ «СШОР» по адресу: Мурманская область, г. Мончегорск, пр. Кирова, д. 3</t>
  </si>
  <si>
    <t>2022- Капитальный ремонт стадиона. Благоустройство территории МАУ «СШОР» по адресу: Мурманская область, г. Мончегорск, пр. Кирова, д. 3</t>
  </si>
  <si>
    <t>3.2.34.</t>
  </si>
  <si>
    <t>Плата концедента в рамках концессионного соглашения в отношении объекта – «Строительство объекта «Быстровозводимый спортивно-оздоровительный комплекс с плавательным бассейном и тренажерным залом на Кольском проспекте в г. Мурманске»</t>
  </si>
  <si>
    <t>2024-2026</t>
  </si>
  <si>
    <t>Плата концедента в рамках концессионного соглашения</t>
  </si>
  <si>
    <t>Минспорт МО</t>
  </si>
  <si>
    <t>3.2.35.</t>
  </si>
  <si>
    <t xml:space="preserve">Плата концедента в рамках концессионного соглашения в отношении объекта  - «Строительство объекта «ПСД на ФОК закрытого типа в районе дома 13 по ул. Старостина» </t>
  </si>
  <si>
    <t>ОМ 3.3</t>
  </si>
  <si>
    <t>Основное мероприятие 3 «Закупка оборудования для создания «умных» спортивных площадок в рамках Федерального проекта «Бизнес-спринт (Я выбираю спорт)»</t>
  </si>
  <si>
    <t xml:space="preserve"> 3.3.1</t>
  </si>
  <si>
    <t>Закупка и монтаж оборудования для создания "умных" спортивных площадок</t>
  </si>
  <si>
    <t>2022 - закуплено оборудование для создания "умных" спортивных площадок
2024-2026 закупка оборудования для создания "умных" спортивных площадок</t>
  </si>
  <si>
    <t xml:space="preserve">3.4 Единовременная пропускная способность объектов спорта, введенных в эксплуатацию в рамках Программы. </t>
  </si>
  <si>
    <t>Министерство строительства  МО, ГОКУ «Управление капитального строительства Мурманской области»,
 АО Корпорация развития МО</t>
  </si>
  <si>
    <t>Строительство объекта «ПСД на ФОК закрытого типа в районе дома 13 по ул. Старостина»(в рамках концессионного соглашения по строительству и эксплуатации объекта соглашения в соответствии с Федеральным законом от 21.07.2005 № 115-ФЗ «О концессионных соглашениях»)</t>
  </si>
  <si>
    <t>2023-2025 - строительство объекта</t>
  </si>
  <si>
    <t>Минстрой МО,
 АО Корпорация развития МО</t>
  </si>
  <si>
    <t>Строительство объекта «Быстровозводимый спортивно-оздоровительный комплекс с плавательным бассейном и тренажерным залом» на Кольском проспекте в г. Мурманске» (в рамках концессионного соглашения по строительству и эксплуатации объекта соглашения в соответствии с Федеральным законом от 21.07.2005 № 115-ФЗ «О концессионных соглашениях»)</t>
  </si>
  <si>
    <t xml:space="preserve">ОМ 3.5  </t>
  </si>
  <si>
    <t>Основное мероприятие 5 "Реализация мероприятий по приобретению спортивных объектов в муниципальную собственность"</t>
  </si>
  <si>
    <t xml:space="preserve">0.1 Доля населения, систематически занимающегося физической культурой и спортом, в общей численности населения 
0.2 Количество спортивных сооружений (ед. на 100 тыс. населения)
</t>
  </si>
  <si>
    <t xml:space="preserve">Минстрой МО, администрацим муниципальных образований Мурманской области
</t>
  </si>
  <si>
    <t>3.5.1.</t>
  </si>
  <si>
    <t>Спортивный комплекс с плавательным бассейном «Энергетик», расположенный по адресу: Мурманская область, Кольский район, пгт. Мурмаши, ул. Мисякова, д.6</t>
  </si>
  <si>
    <t>2023-2025- приобретение объекта</t>
  </si>
  <si>
    <t xml:space="preserve">Минстрой МО, администрация муниципального образования Кольский муниципальный район Мурманской области
</t>
  </si>
  <si>
    <t>3.5.2.</t>
  </si>
  <si>
    <t>Фитнесс-центр «Престиж», расположенный в зданиях по адресам : Мурманская область, Кольский район, пгт. Мурмаши, ул. Мира, д.14,  ул. Мира, д. 13</t>
  </si>
  <si>
    <t>Министерство спорта МО, Минстрой МО, администрации муниципальных образований МО</t>
  </si>
  <si>
    <t>П 3.1.1</t>
  </si>
  <si>
    <t>Приобретение и установка спортивных площадок:
2022 - с.п. Зеленоборский и г. Кола
2023 - ЗАТО Видяево и ЗАТО Североморск
2024-2026 ежегодная установка 2 спортивных площадок</t>
  </si>
  <si>
    <t>В рамках софинансирования к средствам ФБ местный бюджет составил 103817,25, в рамках дополнительных средств предусмотренных в ОБ софинансирование средств местного бюджнта составляет 8 868 707,76.</t>
  </si>
  <si>
    <t>П 3.1.2</t>
  </si>
  <si>
    <t>Строительство объекта «Физкультурно-оздоровительный комплекс с бассейном в г. Заозерск»</t>
  </si>
  <si>
    <t>2019-2020 – разработка ПСД, заключение госэкспертизы, 2021-2022 – строительство, 2022 – ввод объекта в эксплуатацию. Превышение уровня софинансирования, утвержденного постановлением Правительства МО, местным бюджетом в 2022 году за счет средств муниципалитета.</t>
  </si>
  <si>
    <t>П 3.1.3</t>
  </si>
  <si>
    <t>Строительство объекта «Физкультурно-оздоровительный комплекс со специализированной школой по самбо, дзюдо и вольной борьбе в г. Кандалакша»</t>
  </si>
  <si>
    <t xml:space="preserve">2020 – разработка ПСД, заключение госэкспертизы, 2021-2022 – строительство, 2022 – ввод объекта в эксплуатацию. </t>
  </si>
  <si>
    <t>П 3.1.4</t>
  </si>
  <si>
    <t>2023-2024</t>
  </si>
  <si>
    <t xml:space="preserve">Реконструкция объекта в 2023 - 2024 гг. </t>
  </si>
  <si>
    <t>4</t>
  </si>
  <si>
    <t>Подпрограмма 4 "Обеспечение реализации государственной программы»</t>
  </si>
  <si>
    <t>ОМ 4.1</t>
  </si>
  <si>
    <t>Основное мероприятие 1 Обеспечение реализации государственных функций и оказание государственных услуг в сфере физической культуры и спорта</t>
  </si>
  <si>
    <t>повышение эффективности управления финансовыми средствами областного бюджета</t>
  </si>
  <si>
    <t>4.1.1</t>
  </si>
  <si>
    <t>* Реализация мероприятий в рамках постановления Правительства Мурманской области от 25.05.2023 № 389-ПП, соглашения о сотрудничестве между Правительством Мурманской области и Военно-гражданской администрацией Приморского района Запорожской области</t>
  </si>
  <si>
    <t>Сведения о ходе реализации мероприятий государственной программы за 6 месяцев 2024 года</t>
  </si>
  <si>
    <t>Министерство строительства МО,   администрации муниципальных образований МО</t>
  </si>
  <si>
    <t>3.1.22.</t>
  </si>
  <si>
    <t>3.1.21.</t>
  </si>
  <si>
    <t>Строительство объекта "ПСД на ФОК закрытого типа в районе дома 13 по ул. Старостина" (в рамках концессионного соглашения по строительству и эксплуатации объекта соглашения в соответствии с Федеральным законом от 21.07.2005 N 115-ФЗ "О концессионных соглашениях")</t>
  </si>
  <si>
    <t>Строительство объекта "Быстровозводимый спортивно-оздоровительный комплекс с плавательным бассейном и тренажерным залом" на Кольском проспекте в г. Мурманске" (в рамках концессионного соглашения по строительству и эксплуатации объекта соглашения в соответствии с Федеральным законом от 21.07.2005 N 115-ФЗ "О концессионных соглашениях")</t>
  </si>
  <si>
    <t xml:space="preserve">2023 - 2033 строительство и эксплуатация
</t>
  </si>
  <si>
    <t xml:space="preserve">Минстрой МО, администрация муниципального образования Кольский муниципальный район МО </t>
  </si>
  <si>
    <t>Общая площадь здания - 2510,9 кв.м</t>
  </si>
  <si>
    <t>2023-2025 приобретение</t>
  </si>
  <si>
    <t>Контракт на приобретение в муниципальную собственность недвижимого имущества № 1/10-2023 от 18.10.2023 с ООО "Наяда" заключен (оплата за 2023г -в полном объеме)</t>
  </si>
  <si>
    <t>Фитнес-центр «Престиж», расположенный в зданиях по адресам : Мурманская область, Кольский район, п.г.т. Мурмаши, ул. Мира, д.14, ул. Мира, д. 13</t>
  </si>
  <si>
    <t>Общая площадь зданий - 951,5 кв.м</t>
  </si>
  <si>
    <t>Контракты на приобретение в муниципальную собственность недвижимого имущества № 2/10-2023 и № 3/10-2023 от 27.10.2023 с ИП Блинский В.Г. заключены (оплата  за 2023 г - в полном объеме)</t>
  </si>
  <si>
    <t>Информация о ходе работ на объектах капитального строительства за 6 месяцев 2024 года</t>
  </si>
  <si>
    <t>По состоянию на 01.01.2024, тыс. рублей</t>
  </si>
  <si>
    <t>За 6 месяцев 2024 года, тыс. рублей</t>
  </si>
  <si>
    <t>Приобретение объектов</t>
  </si>
  <si>
    <t>Приобретение и установка спортивных площадок:
2024- Кола и Североморск</t>
  </si>
  <si>
    <t xml:space="preserve">Футбольный манеж в спортивном комплексе "Долина Уюта" в г. Мурманск (разработка ПД)
</t>
  </si>
  <si>
    <t xml:space="preserve">Общая площадь земельного участка - 3,73 га
</t>
  </si>
  <si>
    <t xml:space="preserve">17927,0
</t>
  </si>
  <si>
    <t xml:space="preserve">Реконструкция здания плавательного бассейна по ул. Челюскинцев, д. 2, г. Мурманск (разработка ПД)
</t>
  </si>
  <si>
    <t xml:space="preserve">Общая площадь зданий - 8771,71 кв. м
</t>
  </si>
  <si>
    <t xml:space="preserve">36376,9
</t>
  </si>
  <si>
    <t>Выполняется разработка тех задания на проектирование</t>
  </si>
  <si>
    <t>В настоящее время ОФСОО «РАСС» проводятся работы по обследованию здания бассейна и ознакомление с технической документацией с целью дальнейшей выдачи заключения по необходимым корректировкам имеющейся проектной документации.</t>
  </si>
  <si>
    <t>Техническая готовность - 25%. 
Выполнение работ по устройству монолитных свайных ростверков, армирование стен подвала, 
монтаж металлоконструкций, устройство бетонной подготовки под плиту большой чаши бассейна.</t>
  </si>
  <si>
    <t>Заключено концессионное соглашение.  Подрядная организация пристурпила к выполнению подготовительного этапа работ. Выполняется расчистка территории и устройтсво бытового городка</t>
  </si>
  <si>
    <t xml:space="preserve">17.07.2024 получено разрешение на строительство 
В адрес ГМО предоставлен сравнительный анализ подрядных организаций. </t>
  </si>
  <si>
    <t>Техническая готовность - 62%. 
 Ведется монтаж внутренних перегородок, шратлевка вновь возводимых перегородок, нанесение огнезащитного материала металлоконструкций, прокладка инженерных сетей, установка подсистемы вент. фасада, укладка утеплителя. Устройство цементной стяжки пола помещений,  оштукатуривание плоскости трибун, оштукатуривание смонтированных ГВЛ панелей стен ледовой арены, монтаж вентилируемого фасада.</t>
  </si>
  <si>
    <t>Техническая готовность - 38%. Выполнялись демонтажные работы АР, КР, инженерные сети ЭО, ВиК, ГВС, ХВС, ВРУ, устройство узлов учета ХВС и ГВС, системы воздуховодов, монтаж внутренних перегородок, штукатурка вновь возводимых перегородок, расчистка металлоконструкций (фермы, балки перекрытия), подготовка к нанесению огнезащитного материала  металлоконструкций, нанесение огнезащитного материала  на металлические конструкций, монтаж закладных деталей системы ЭОМ; ГВС и ХВС, монтаж металлического каркаса системы Knauf обшивки стен Ледовой арены. Закуплены строительные и отделочные материалы, сыпучих смесей,  лакокрасочных, металлопроката и металлоконструкций.</t>
  </si>
  <si>
    <t>Заключено концессионное соглашение. Проектная документация  передана концессионеру.Подготовка документов на конкурс.</t>
  </si>
  <si>
    <t>Получено разрешение на строительство. Подрядная организация планирует приступить к работам с 01.04.2024.</t>
  </si>
  <si>
    <t xml:space="preserve">Техническая готовность - 2%. Завершены работы по испытанию свай. Продолжаются работы по забивке свай. (выполнено 70%, всего свай 1025шт. С 15.03.2024  начаты работы по устройству подбетонки под ростверки. С 18.03.2024 начаты работы по устройству каркаса здания. </t>
  </si>
  <si>
    <t>Кассовый расход реализации мероприятия запланирован 3-4 квартале 2024 года</t>
  </si>
  <si>
    <t>Объект Фитнесс-центр «Престиж» приобретен</t>
  </si>
  <si>
    <t>Объект Спортивный комплекс с плавательным бассейном «Энергетик» приобретен</t>
  </si>
  <si>
    <t xml:space="preserve"> Субсидия распеределена между муниципальными образованиями для организации физкультурно-спортивной работы </t>
  </si>
  <si>
    <t xml:space="preserve">Субсидия распределяется между муниципальными образованиями для организации работы по открытию спортивных пространст для молодежи </t>
  </si>
  <si>
    <t>В соответствии с госконтрактами мероприятия будут выполнены в 4 квартале 2024 года</t>
  </si>
  <si>
    <t>Реализация мероприятия в 3-4 квартале 2024 года</t>
  </si>
  <si>
    <t>Субсидия бюджету муниципального образования г.  Кировскна на оказание финансовой поддержки спортивным организациям, осуществляющим спортивную подготовку в соответствии с федеральными стандартами спортивной подготовки в рамках реализации соглашений между Правительством Мурманской области и градообразующими предприятиями по состоянию на 01.07.2023 предоставлена частично</t>
  </si>
  <si>
    <t>Кассовое исполнение мероприятия запланировано в 3-4 квартале 2024 года</t>
  </si>
  <si>
    <t>Освоение бюджетных средств заплаинровано в 3-4 квартале 2024 года</t>
  </si>
  <si>
    <t>Возмещение затрат ГОУП «УСДЦ»  в части  содержания и эксплуатации государственного имущества в отчетном периоде осуществлено частично</t>
  </si>
  <si>
    <t>Освоение бюджетных средств заплаинровано в 3 квартале 2024 года</t>
  </si>
  <si>
    <t xml:space="preserve">Приобретено для  
- Государственное автономное учреждение ДО Мурманской области «Мурманская областная спортивная школа олимпийского резерва» по приобретению тренажера Скалодром-1, шоссейного велосипеда-1, трекового велосипеда-1, горного велосипеда-1
- Государственное автономное учреждение ДО Мурманской области «Комплексная спортивная школа олимпийского резерва» по приобретению клюшек для хоккея в количестве 83 ед
</t>
  </si>
  <si>
    <t>На остатки средств будет закуплен инвентарь</t>
  </si>
  <si>
    <t>В соответствии с федеральными стандартами спортивной подготовки приобретено:
- Муниципальное автономное учреждение дополнительного образования «Спортивная школа олимпийского резерва № 3» по приобретению горных лыж  с креплениями -13 ед., горнолыжные ботинки – 5 ед., вешки  с механической флекс-зоной – 18 ед
- Государственного автономного учреждения дополнительного образования Мурманской области «Мончегорская спортивная школа по горнолыжному спорту» горнолыжные ботинки, шлемы и лыжи с креплениями в количестве 234 ед.</t>
  </si>
  <si>
    <t>Министерстов спорта МО, ГАУДОМО "Мончегорская спортивная школа по горнолыжному спорту ", МАУДО "СШОР № 3)</t>
  </si>
  <si>
    <t>Назначено и выплачено 83 единовременных денежных вознаграждения спортсменам и их тренерам</t>
  </si>
  <si>
    <t>Расходы связанные с организацией церемонии награждения спортсменов, тренеров, которая состялась в ЦИТ 29.05.2024</t>
  </si>
  <si>
    <t>Минстрой МО, администрация муниципального образования Кольский муниципальный район Мурманской области</t>
  </si>
  <si>
    <t>ОМ 3.2.</t>
  </si>
  <si>
    <t>На основании проведенных процедур выделены гранты 2-м юр. лица и 5 физ. лицам</t>
  </si>
  <si>
    <t xml:space="preserve">Средства экономии перераспределены внутри  мероприятий государственной программы </t>
  </si>
  <si>
    <t>Субсидия распределена среди следующих муниципальных образований: г. Апатиты - 5 млн рублей,Кольский район - 1 млн рублей, Кировск - 1 млн рублей, П/З - 1 млн рублей, Терский район - 1 млн рублей</t>
  </si>
  <si>
    <t xml:space="preserve">В 2024 году субсидия распределена среди следующих муниципальных образований: 
Ловозерский район (пгт Ревда), 
Кольский район (п. Кола, Мурмаши, Тулома, Верхнетуломский), 
Печенгский район (пгт Печенга), 
 ЗАТО Александровск (г. Снежногорск, Полярный), 
ЗАТО Североморск,
Мончегорск (27 км)
Оленегорск-1,
Кандалакшский район (Кандалакша),
ЗАТО Видяево (Видяево),
Мурманск (5 шт.)
Кировск,
ЗАТО Островной </t>
  </si>
  <si>
    <t>Обучено плаванию 362 чел.</t>
  </si>
  <si>
    <t xml:space="preserve">Предоставлены услуги 6324 человекам в 6 плавательных бассейнах Мурманской области </t>
  </si>
  <si>
    <t>Частично возмещены расходы на финансовое обеспечение затрат, связанных с подготовкой и участием спортивной команды в физкультурных мероприятиях, а также с оплатой труда и начислениями на оплату труда работников</t>
  </si>
  <si>
    <t xml:space="preserve">Приобретено 930 зачетных книжек и нагрудных знаков </t>
  </si>
  <si>
    <t>Работы продолжаются</t>
  </si>
  <si>
    <t>В рамках международного праздника Севера и Правздника Севера учащихся проведено 43 мероприятия</t>
  </si>
  <si>
    <t>По результатам проведенного конкурса среди 14 студенческих спортивных клубов следующих образовательных организаций:
- ФГАОУ ВО "Мурманский арктический университет";
- ГАПОУ МО "Мурманский строительный колледж имени Н.Е. Момота";
- ГАПОУ МО "Печенгский политехнический техникум";
- ГАПОУ МО "Мурманский медицинский колледж";
- ГАПОУ МО "Кандалакшский индустриальный колледж";
- ГАПОУ МО "Северный колледж физической культуры и спорта", 
- ГАПОУ МО "Кольский медицинский колледж",
- ГАПОУ МО "Кольский транспортный колледж"
- ГАПОУ МО "Мурманский педагогический колледж",
- ГАПОУ МО "Апатитский политехнический колледж",
- ГАПОУ МО "Мончегорский политехнический колледж",
- ГАПОУ МО "ОЛенегорский горнопромышленный колледж",
- ГАПОУ МО "Ковдорский политехнический колледж"</t>
  </si>
  <si>
    <t>Субсидии получат 16 муниципальных бюджетных и автономных учреждений по итогам соревнований «Кубок Губернатора Мурманской области среди школьных спортивных клубов» по следующим видам спорта: волейбол, баскетбол, мини-футбол, ВФСК "ГТО".</t>
  </si>
  <si>
    <t>нет</t>
  </si>
  <si>
    <t>Проведена "Гонка Героев"- зима</t>
  </si>
  <si>
    <t>заполнить</t>
  </si>
  <si>
    <t xml:space="preserve">Подведомственным учреждением (ГАУМО «ЦСП») проведены конкурентные процедуры, по итогам которых 1 апреля 2024 года заключен договор на изыскательные работы, разработку проектной документации и составление сметного расчета (ПСД) на выполнение строительных работ по подготовке основания. 
Контракт заключен – 01.04.2024 г. (90 раб. дн. с даты заключения), срок окончания работ – 12.08.2024. 
Заключено доп. соглашение – 07.05.2024 г. в части конкретизации сроков.
В соответствии с 223-ФЗ уполномоченный орган (Комитет по конкурентной политике Мурманской области) 08.05.2024 разместил извещение о проведении закупки в Единой информационной системе на поставку и монтаж оборудования для создания «умных» спортивных площадок (Комплект № 5 - модульное спортивное сооружение для занятий функционально-цифровым (фиджитал) спортом, включающий киберспортивную зону и открытые спортивные площадки) на сумму 109859154,93 р.
10.06.2024 г. закончился срок подачи заявок – 2 заявки подано.
11.06.2024 г. подведение итогов – выиграла компания ООО «Монтаж-Сервис», сумма контракта 98 859 154,93 руб.
28.06.2024 года заключен контракт на поставку и монтаж оборудования с ООО «Монтаж-Сервис». 
Срок поставки в соответствии с проектом государственного контракта – 31.08.2024, с последующим монтажом – 31.10.2024.
</t>
  </si>
  <si>
    <t xml:space="preserve">Общая площадь здания - 6002,4 кв. м
</t>
  </si>
  <si>
    <t xml:space="preserve">Строительство быстровозводимого бассейна в пгт. Печенга
</t>
  </si>
  <si>
    <t xml:space="preserve">Минстрой МО, администрация Печенгского Муниципального округа
</t>
  </si>
  <si>
    <t xml:space="preserve">1 788,2 кв. м
</t>
  </si>
  <si>
    <t>Строительство быстровозводимого бассейна в пгт.Печенга</t>
  </si>
  <si>
    <t>2024 год - разработана проектная документация на строительство спортивного комплекса с плавательным бассейном в п. Печенга</t>
  </si>
  <si>
    <t>Кассовое исполнение мероприятия запланировано в 4 квартале 2024 года</t>
  </si>
  <si>
    <t>Министерстов спорта МО, ГАУМО "КСШОР", ГАУМО "МОСШОР"</t>
  </si>
  <si>
    <t xml:space="preserve">В отчетном периоде возмещены затраты ГОУП «УСДЦ»  в части  содержания и эксплуатации государственного имущества  </t>
  </si>
  <si>
    <t xml:space="preserve">2023 - 2024 гг. - проектирование, 
 2025 г. - строительство
</t>
  </si>
  <si>
    <t xml:space="preserve">2023 - 2024 гг. - проектирование 2025 г. - строительство
362 210,1
(стоимость будет определена после разработки ПСД)
</t>
  </si>
  <si>
    <t>Спортивные площадки установлены и открыты для населения</t>
  </si>
  <si>
    <t xml:space="preserve">Строительство объекта в 2023-2024 г. </t>
  </si>
  <si>
    <t xml:space="preserve">Техническая готовность 0,8%.       
В процессе производства работ по разработке грунта были выявлены многочисленные фундаменты, неучтенные проектной документацией. Концессионером были приостановлены работы ввиду неучтенных проектной документацией дополнительных работ по демонтажу.  </t>
  </si>
  <si>
    <t>Объект Спортивный комплекс с плавательным бассейном «Энергетик» приобретен (произведена оплата за приобретение)</t>
  </si>
  <si>
    <t>Объект Фитнесс-центр «Престиж» приобретен (произведена оплата за приобретение)</t>
  </si>
  <si>
    <t>Субсидия бюджету муниципального образования г.  Кировскна на оказание финансовой поддержки спортивным организациям, осуществляющим спортивную подготовку в соответствии с федеральными стандартами спортивной подготовки в рамках реализации соглашений между Правительством Мурманской области и градообразующими предприятиями по состоянию на 01.10.2023 предоставлена частично</t>
  </si>
  <si>
    <t>Назначено и выплачено 149 единовременных денежных вознаграждения спортсменам и их тренерам</t>
  </si>
  <si>
    <t>3.2.3.</t>
  </si>
  <si>
    <t>Субсидии получили 16 муниципальных бюджетных и автономных учреждений по итогам соревнований «Кубок Губернатора Мурманской области среди школьных спортивных клубов» по следующим видам спорта: волейбол, баскетбол, мини-футбол, ВФСК "ГТО".</t>
  </si>
  <si>
    <t>Приобретение наградной и сувениирной атрибутики для проведния мероприятия "Кубка  Содружества"</t>
  </si>
  <si>
    <t>Сведения о ходе реализации мероприятий государственной программы за 2024 года</t>
  </si>
  <si>
    <t>828,8 на льготный проезд</t>
  </si>
  <si>
    <t>от минфина</t>
  </si>
  <si>
    <t>добавила минус 304 338руб. На льготный</t>
  </si>
  <si>
    <t>5562,21 на льготный проезд</t>
  </si>
  <si>
    <t>3.1.21</t>
  </si>
  <si>
    <t>3.1.22</t>
  </si>
  <si>
    <t>2024-2025</t>
  </si>
  <si>
    <t>2024 -2025  - разработка проектной документация на реконструкцию здания плавательного бассейна</t>
  </si>
  <si>
    <t>3.1.23</t>
  </si>
  <si>
    <t>3.2.36.</t>
  </si>
  <si>
    <t>Капитальный ремонт здания плавательного бассейна по ул. Челюскинцев, д.2, г. Мурманск (разработка ПД)</t>
  </si>
  <si>
    <t>2024 -2025  - разработка проектной документация на капитальный ремонт здания плавательного бассейна</t>
  </si>
  <si>
    <t>в соотвествии с соглашением, приложила в папку РП согл "умные"</t>
  </si>
  <si>
    <t>с ОБ 118588,96 на льготный переезд</t>
  </si>
  <si>
    <t>2.1.8.</t>
  </si>
  <si>
    <t>3.1.36.</t>
  </si>
  <si>
    <t>3.1.23.</t>
  </si>
  <si>
    <t>Информация о ходе работ на объектах капитального строительства за  2024 год</t>
  </si>
  <si>
    <t xml:space="preserve">Исполнение бюджета Министерства по состоянию на "31" декабря 2024 года </t>
  </si>
  <si>
    <t>№ пункта программы</t>
  </si>
  <si>
    <t>% ИСПОЛНЕНИЯ</t>
  </si>
  <si>
    <t>Остаток от плана  
(гр.3-гр.4)</t>
  </si>
  <si>
    <t>Наименование АУ - Исполнителя пункта программы</t>
  </si>
  <si>
    <t>бюджетные ассигнования</t>
  </si>
  <si>
    <t>на 31.12.2024</t>
  </si>
  <si>
    <t xml:space="preserve">ИСПОЛНЕНИЕ БЮДЖЕТА ВСЕГО </t>
  </si>
  <si>
    <t>Резервный фонд</t>
  </si>
  <si>
    <t>федеральный бюджет</t>
  </si>
  <si>
    <t xml:space="preserve">областной бюджет, в т.ч. </t>
  </si>
  <si>
    <t>Субсидия АНО "СпортКульт 51" СОПКИ ОЗЕРА</t>
  </si>
  <si>
    <t>Заработная плата и начисления</t>
  </si>
  <si>
    <t>Проведение работ по ремонту спортивных бъектов Приморск</t>
  </si>
  <si>
    <t>Закупка и монтаж оборудования для создания баскетбольной площадки Приморск</t>
  </si>
  <si>
    <t xml:space="preserve"> Государственная программа "Развитие физической культуры и спорта" </t>
  </si>
  <si>
    <t>областной бюджет</t>
  </si>
  <si>
    <t>ВСЕГО:  Региональный проект "Спорт -норма жизни"</t>
  </si>
  <si>
    <t>Предоставление субсидий из областного бюджета некоммерческим организациям осуществляющим деятельность в сфере физической культуры и спорта по виду спорта "Хоккей с мячом"</t>
  </si>
  <si>
    <t>Предоставление субсидий и грантов в форме субсидий по итогам проведения конкурса для реализации социально-значимых проектов в сфере физической культуры и спорта</t>
  </si>
  <si>
    <t>Создание и функционирование АНО «СпортКульт51»</t>
  </si>
  <si>
    <t xml:space="preserve">Предоставление  субсидий из областного бюджета некоммерческим организациям осуществляющим деятельность в сфере физической культуры и спорта по виду спорта "футбол" </t>
  </si>
  <si>
    <t>Грант в форме субсидии образовательным организациям на развитие студенческих спортивных клубов</t>
  </si>
  <si>
    <t>Предоставление грантов  на развитие школьных спортивных клубов по итогам соревнований «Кубок Губернатора Мурманской области среди школьных спортивных клубов»</t>
  </si>
  <si>
    <t>Субсидии муниципальным образованиям на развитие физкультурно-спортивной работы (конкурс)</t>
  </si>
  <si>
    <t>МБТ</t>
  </si>
  <si>
    <t>г. Апатиты</t>
  </si>
  <si>
    <t>г. Кировск</t>
  </si>
  <si>
    <t>г. Полярные Зори</t>
  </si>
  <si>
    <t>Кольский р-н</t>
  </si>
  <si>
    <t>Терский район</t>
  </si>
  <si>
    <t>ЗАТО Александровск (г. Снежногорск)</t>
  </si>
  <si>
    <t>гп Верхнетуломский</t>
  </si>
  <si>
    <t>ЗАТО п. Видяево</t>
  </si>
  <si>
    <t>Кандалакшский район</t>
  </si>
  <si>
    <t>Кольский район</t>
  </si>
  <si>
    <t>г. Мончегорск</t>
  </si>
  <si>
    <t>г. Мурманск</t>
  </si>
  <si>
    <t>г. Оленегорск</t>
  </si>
  <si>
    <t>Печенгский муниципальный округ</t>
  </si>
  <si>
    <t>гп Ревда</t>
  </si>
  <si>
    <t>ЗАТО г. Североморск</t>
  </si>
  <si>
    <t>ЗАТО Островной</t>
  </si>
  <si>
    <t>Региональный проект "Спорт -норма жизни"</t>
  </si>
  <si>
    <t>Обучение навыкам плавания детей и подростков в возрасте  от 6 до 10 лет</t>
  </si>
  <si>
    <t>Министерство</t>
  </si>
  <si>
    <t>Организация оздоровительного процесса в плавательных бассейнах для граждан пожилого возраста, инвалидов, граждан, находящихся в трудной жизненной ситуации, детей-сирот, детей, оставшихся без попечения родителей</t>
  </si>
  <si>
    <t>Организация и проведение церемоний награждения спортсменов, тренеров, ветеранов спорта и физкультурного актива  Мурманской области</t>
  </si>
  <si>
    <t>Выплата премии по итогам года</t>
  </si>
  <si>
    <t>Выплата ЕДВ</t>
  </si>
  <si>
    <t>ГАУМО ДО "МОСШОР"</t>
  </si>
  <si>
    <t>ГАУМО ДО "Комплексная СШОР"</t>
  </si>
  <si>
    <t>ГАУМО ДО "Мончегорская СШОР"</t>
  </si>
  <si>
    <t>ГАУМО  ЦСП</t>
  </si>
  <si>
    <t xml:space="preserve">ГАУМО "ЦСП" </t>
  </si>
  <si>
    <t>ГОБУ ДО "МОСШ"</t>
  </si>
  <si>
    <t>ГАУМО ДО "МОСШОР по ЗВС"</t>
  </si>
  <si>
    <t>СУБСИДИЯ НА ФИНАНСОВОЕ ОБЕСПЕЧЕНИЕ ВЫПОЛНЕНИЯ ГЗ</t>
  </si>
  <si>
    <t>ГАУМО ДО "Кировская СШОР по горнолыжному спорту и фристайлу"</t>
  </si>
  <si>
    <t>ГАУМО ДО"Мончегорская СШОР по горнолыжному спорту"</t>
  </si>
  <si>
    <t>ГАУМО ДО "Мончегорская СШОР по горнолыжному спорту"</t>
  </si>
  <si>
    <t>ГОУМО ДО  "Кандалакшская школа по санному спорту"</t>
  </si>
  <si>
    <t>Кандалакша</t>
  </si>
  <si>
    <t>ГОБУ  ДО "МОСШ"</t>
  </si>
  <si>
    <t>Проведение мероприятий международного традиционного Праздника Севера</t>
  </si>
  <si>
    <t>Компенсация расходов на оплату стоимости проезда и провоза багажа к месту использования отпуска лицам, работающим в организациях, финансируемых из областного бюджета</t>
  </si>
  <si>
    <t>Подготовка основания для создания "умной" спортивной площадки</t>
  </si>
  <si>
    <t>ГАУМО ЦСП</t>
  </si>
  <si>
    <t>Содержание и функционирование парка культуры и отдыха «Патриот» Северного флота</t>
  </si>
  <si>
    <t>Приобретение имущества</t>
  </si>
  <si>
    <t xml:space="preserve">г. Оленегорск </t>
  </si>
  <si>
    <t>Поставка спортивного оборудования и инвентаря для приведения  организаций спортивной подготовки в нормативное состояние</t>
  </si>
  <si>
    <t>федеральный бюджент</t>
  </si>
  <si>
    <t>Возмещение затрат юридических лиц  в части  содержания государственного имущества (ГОУП "УСДЦ")</t>
  </si>
  <si>
    <t>Субсидия на содержание и эксплуатацию государственного имущества (ГОУП "УСДЦ"машина для заливки льда)</t>
  </si>
  <si>
    <t>Закупка и монтаж оборудования для создания "умных" спортивных площадок (за счет подтвержденных остатков прошлых лет)</t>
  </si>
  <si>
    <t>заработная плата и начисления</t>
  </si>
  <si>
    <t xml:space="preserve">командировочные расходы </t>
  </si>
  <si>
    <t>прочие расходы</t>
  </si>
  <si>
    <t>компенсация проезда в отпуск</t>
  </si>
  <si>
    <t>Государственная программа, подпрограмма, показатель</t>
  </si>
  <si>
    <t>Ед. изм.</t>
  </si>
  <si>
    <t>Направленность</t>
  </si>
  <si>
    <t>Значение показателя</t>
  </si>
  <si>
    <t>Степень достижения показателя (ДП)*</t>
  </si>
  <si>
    <t>Динамика значения показателя по сравнению с предшествующим годом (Дин)*</t>
  </si>
  <si>
    <t>Причины отклонения от плана и (или) отсутствия положительной динамики</t>
  </si>
  <si>
    <t>Предлагаемые меры по улучшению значений показателя</t>
  </si>
  <si>
    <t>Соисполнитель, ответственный за выполнение показателя</t>
  </si>
  <si>
    <t>Степень достижения показателя для расчета К1**</t>
  </si>
  <si>
    <t>Динамика значения показателя для расчета К2**</t>
  </si>
  <si>
    <t>2023 год</t>
  </si>
  <si>
    <t>Факт</t>
  </si>
  <si>
    <t>План</t>
  </si>
  <si>
    <t>Государственная программа «Развитие физической культуры и спорта в Мурманской области»</t>
  </si>
  <si>
    <t>0.1</t>
  </si>
  <si>
    <t>Доля населения, систематически занимающегося физической культурой и спортом, в общей численности населения</t>
  </si>
  <si>
    <t>%</t>
  </si>
  <si>
    <t>0.2</t>
  </si>
  <si>
    <t xml:space="preserve">Количество спортивных сооружений </t>
  </si>
  <si>
    <t>ед. на 100 тыс. населения</t>
  </si>
  <si>
    <t>Подпрограмма 1 «Развитие массового спорта, реализация мероприятий по информированию граждан»</t>
  </si>
  <si>
    <t>1.1.</t>
  </si>
  <si>
    <t>Доля граждан в возрасте 3-29 лет, систематически занимающихся физической культурой и спортом, в общей численности граждан данной возрастной категории</t>
  </si>
  <si>
    <t>1.2.</t>
  </si>
  <si>
    <t xml:space="preserve">Доля граждан в возрасте от 30 до 54 года включительно (женщины) и до 59 лет включительно (мужчины), систематически занимающихся физической культурой и спортом, в общей численности граждан данной возрастной категории
</t>
  </si>
  <si>
    <t>1.3.</t>
  </si>
  <si>
    <t>Доля граждан в возрасте от 55 лет (женщины) и от 60 лет (мужчины) до 79 лет включительно, систематически занимающихся физической культурой и спортом, в общей численности граждан данной возрастной категории</t>
  </si>
  <si>
    <t>1.4.</t>
  </si>
  <si>
    <t>Доля граждан трудоспособного возраста, систематически занимающихся физической культурой и спортом</t>
  </si>
  <si>
    <t>1.5.</t>
  </si>
  <si>
    <t>Доля лиц с ограниченными возможностями здоровья и инвалидов, систематически занимающихся физической культурой и спортом, в общей численности указанной категории населения, не имеющего противопоказаний для занятий физической культурой и спортом</t>
  </si>
  <si>
    <t>-</t>
  </si>
  <si>
    <t>1.6.</t>
  </si>
  <si>
    <t xml:space="preserve">Доля сельского населения, систематически занимающегося физической культурой и спортом
</t>
  </si>
  <si>
    <t>Подпрограмма 2 «Подготовка спортивного резерва»</t>
  </si>
  <si>
    <t>2.1.</t>
  </si>
  <si>
    <t>Численность спортсменов МО, включенных в список кандидатов в спортивные сборные команды Российской Федерации</t>
  </si>
  <si>
    <t>чел.</t>
  </si>
  <si>
    <t>Доля организаций, оказывающих услуги по спортивной подготовке в соответствии с федеральными стандартами спортивной подготовки, в общем количестве организаций в сфере физической культуры и спорта, в том числе для лиц с ограниченными возможностями здоровья и инвалидов</t>
  </si>
  <si>
    <t>=</t>
  </si>
  <si>
    <t>2.3.</t>
  </si>
  <si>
    <t>Доля граждан в возрасте 6-15 лет, занимающихся в спортивных организациях, в общей численности детей и молодежи в возрасте 6-15 лет</t>
  </si>
  <si>
    <t>Увеличение количества школ реализующих дополнительные образовательные программы спортивной подготовки</t>
  </si>
  <si>
    <t>2.4.</t>
  </si>
  <si>
    <t>Доля спортсменов-разрядников в общем количестве лиц, занимающихся в системе спортивных школ олимпийского резерва</t>
  </si>
  <si>
    <t>Подпрограмма 3 «Развитие спортивной инфраструктуры»</t>
  </si>
  <si>
    <t>3.1.</t>
  </si>
  <si>
    <t>Единовременная пропускная способность объектов спорта (к всероссийскому нормативу)</t>
  </si>
  <si>
    <t>3.2.</t>
  </si>
  <si>
    <t>Количество спортивных сооружений, в которых осуществлен капитальный и текущий  ремонт</t>
  </si>
  <si>
    <t>ед.</t>
  </si>
  <si>
    <t>3.3.</t>
  </si>
  <si>
    <t>Эффективность использования существующих объектов спорта</t>
  </si>
  <si>
    <t>3.4.</t>
  </si>
  <si>
    <t>Единовременная пропускная способность объектов спорта, введенных в эксплуатацию в рамках Программы</t>
  </si>
  <si>
    <t>*Состав подпрограмм и показателей государственной программы, единицы измерения, направленность, плановые значения показателей и соисполнители, ответственные за их выполнение, указываются в соответствии с редакцией государственной программы, действующей по состоянию на конец отчетного периода.</t>
  </si>
  <si>
    <t>**Степень достижения показателя (ДП) и динамика значения показателя (Дин) определяются в соответствии с пунктами 2 и 4 приложения № 1 к Порядку.</t>
  </si>
  <si>
    <t>***В случае отсутствия официальных фактических данных за отчетный период дополнительно в данной графе указываются слова «Предварительные данные» или «Оценка», указывается способ определения оценочного значения показателя и ожидаемый срок получения фактических значений.</t>
  </si>
  <si>
    <t>****Степень достижения показателя для расчета К1 и Динамика значения показателя для расчета К2 определяются и указываются для каждого показателя в отдельности с учетом условий, указанных соответственно в пунктах 3 и 5 приложения № 1 к Порядку. Критерии К1 и К2 для государственной программы в целом рассчитываются с учетом всех показателей программы и подпрограмм.</t>
  </si>
  <si>
    <t>Перечень механизмов финансовой поддержки и иных мер государственного регулирования в сфере реализации государственной программы</t>
  </si>
  <si>
    <t>Вид документа</t>
  </si>
  <si>
    <t>Группа и наименование вида поддержки, меры регулирования</t>
  </si>
  <si>
    <t>Цель предоставления (применения)</t>
  </si>
  <si>
    <t xml:space="preserve">Нормативный акт &lt;*&gt;
</t>
  </si>
  <si>
    <t>Связь с показателями ГП</t>
  </si>
  <si>
    <t xml:space="preserve">Информация о реализации
</t>
  </si>
  <si>
    <t>Подпрограмма 4 "Обеспечение реализации государственной программы" **</t>
  </si>
  <si>
    <t xml:space="preserve">Постановление Правительства Мурманской области
</t>
  </si>
  <si>
    <t>Приняты</t>
  </si>
  <si>
    <t>&lt;*&gt; В случае если соответствующие правила или порядок включены в состав государственной программы, указывается номер приложения к государственной программе.</t>
  </si>
  <si>
    <t>&lt;**&gt; В случае если мера государственного регулирования влияет на достижение целей нескольких подпрограмм или государственной программы в целом, то она отражается в подпрограмме, направленной на обеспечение реализации государственной программы (управление государственной программой).</t>
  </si>
  <si>
    <t>Государственная программа, подпрограмма</t>
  </si>
  <si>
    <t>Ответственный исполнитель</t>
  </si>
  <si>
    <t>К1 (степень достижения показателей)</t>
  </si>
  <si>
    <t>К2 (динамика значений показателей по сравнению с 2020 годом)</t>
  </si>
  <si>
    <t>К3 (степень выполнения мероприятий)</t>
  </si>
  <si>
    <t>ЭГП (интегральный показатель эффективности)</t>
  </si>
  <si>
    <t>Оценка*</t>
  </si>
  <si>
    <t>Государственная программа «Развитие физической культуры и спорта»</t>
  </si>
  <si>
    <t>1.1</t>
  </si>
  <si>
    <t>1.2</t>
  </si>
  <si>
    <t>Подпрограмма 2 «Подготовка спортивного резерва, реализация спортивного плана  официальныз спортивных меропиятий и спорт.мероприятий Мурманской области»</t>
  </si>
  <si>
    <t>*Высокая, средняя, ниже среднего, низкая. Государственная программа считается реализуемой:
- с высоким уровнем эффективности, если значение ЭГП составляет не менее 97%;
- со средним уровнем эффективности, если значение ЭГП составляет не менее 92%.
- с уровнем эффективности ниже среднего, если значение ЭГП составляет не менее 85%.
 - с низким уровнем эффективности, если значение ЭГП составляет менее 85%.</t>
  </si>
  <si>
    <t xml:space="preserve">О внесении изменений в государственную программу Мурманской области " Физическая культур и спорт":
от 01.02.2024 № 35-ПП, 
от 14.02.2024 № 80-ПП, 
от 29.03.2024 № 213-ПП,
от 27.05.2024 № 334-ПП, 
от 05.07.2024 № 443-ПП, 
от 29.07.2024 № 511-ПП,
от 16.08.2024 № 561-ПП, 
от 30.09.2024 № 646-ПП, 
от 07.10.2024 N 670-ПП,
от 23.10.2024 N 703-ПП,
 от 07.11.2024 N 753-ПП,
 от 18.11.2024 N 787-ПП,
от 11.12.2024 N 859-ПП, 
от 20.12.2024 N 912-ПП
</t>
  </si>
  <si>
    <t>Куликова-ГРК-Текущий период с Меропр._Для ГРБС</t>
  </si>
  <si>
    <t>за период с 01.01.2024 по 31.12.2024</t>
  </si>
  <si>
    <t>Единица измерения: руб.</t>
  </si>
  <si>
    <t>Код ведомства</t>
  </si>
  <si>
    <t>Подраздел</t>
  </si>
  <si>
    <t>Целевая статья</t>
  </si>
  <si>
    <t>Вид расхода</t>
  </si>
  <si>
    <t>Доп.класс.</t>
  </si>
  <si>
    <t>Мероприятие</t>
  </si>
  <si>
    <t>Наименование меропр.</t>
  </si>
  <si>
    <t>СБР/Первонач.</t>
  </si>
  <si>
    <t>СБР/Справки</t>
  </si>
  <si>
    <t>СБР/П.+У.</t>
  </si>
  <si>
    <t>СЛБО/Перв.</t>
  </si>
  <si>
    <t>СЛБО/Справки</t>
  </si>
  <si>
    <t xml:space="preserve">СЛБО/П+У </t>
  </si>
  <si>
    <t xml:space="preserve">Финансирование </t>
  </si>
  <si>
    <t>Кассовый расход</t>
  </si>
  <si>
    <t>Остаток по СБР</t>
  </si>
  <si>
    <t>2</t>
  </si>
  <si>
    <t>5</t>
  </si>
  <si>
    <t>6</t>
  </si>
  <si>
    <t>7</t>
  </si>
  <si>
    <t>8</t>
  </si>
  <si>
    <t>9</t>
  </si>
  <si>
    <t>10</t>
  </si>
  <si>
    <t>11</t>
  </si>
  <si>
    <t>12</t>
  </si>
  <si>
    <t>13</t>
  </si>
  <si>
    <t>14</t>
  </si>
  <si>
    <t>15</t>
  </si>
  <si>
    <t>16</t>
  </si>
  <si>
    <t>17</t>
  </si>
  <si>
    <t>823</t>
  </si>
  <si>
    <t>1102</t>
  </si>
  <si>
    <t>2410129990</t>
  </si>
  <si>
    <t>244</t>
  </si>
  <si>
    <t>99999</t>
  </si>
  <si>
    <t>2410100006</t>
  </si>
  <si>
    <t>002</t>
  </si>
  <si>
    <t>2410229990</t>
  </si>
  <si>
    <t>350</t>
  </si>
  <si>
    <t>2410200003</t>
  </si>
  <si>
    <t>Предоставление грантов в форме субсидий по итогам проведения конкурса для реализации социально-значимых проектов в сфере физической культуры и спорта</t>
  </si>
  <si>
    <t>2410260770</t>
  </si>
  <si>
    <t>633</t>
  </si>
  <si>
    <t>2410200005</t>
  </si>
  <si>
    <t>Субсидия на финансовое обеспечение деятельности автономной некоммерческой организации "Агентство по проведению спортивно-массовых и культурно-зрелищных мероприятий "СпортКульт51" и на организацию и проведение мероприятий, направленных на развитие физической культуры и здорового образа жизни в Мурманской области</t>
  </si>
  <si>
    <t>241026077U</t>
  </si>
  <si>
    <t>2410261930</t>
  </si>
  <si>
    <t>613</t>
  </si>
  <si>
    <t>2410200012</t>
  </si>
  <si>
    <t>Грант на развитие студенческих спортивных клубов</t>
  </si>
  <si>
    <t>623</t>
  </si>
  <si>
    <t>2410264030</t>
  </si>
  <si>
    <t>2410264080</t>
  </si>
  <si>
    <t>2410200010</t>
  </si>
  <si>
    <t>2410271320</t>
  </si>
  <si>
    <t>521</t>
  </si>
  <si>
    <t>71320-24</t>
  </si>
  <si>
    <t>2410200009</t>
  </si>
  <si>
    <t>Развитие физкультурно-спортивной работы</t>
  </si>
  <si>
    <t>2410271340</t>
  </si>
  <si>
    <t>71340-24</t>
  </si>
  <si>
    <t>2410200011</t>
  </si>
  <si>
    <t>241P529990</t>
  </si>
  <si>
    <t>241P500006</t>
  </si>
  <si>
    <t>Обучение навыкам плавания детей и подростков в возрасте от 6 до 14 лет</t>
  </si>
  <si>
    <t>241P500007</t>
  </si>
  <si>
    <t>24303R7530</t>
  </si>
  <si>
    <t>23-57530-00000-00000</t>
  </si>
  <si>
    <t>2430300001</t>
  </si>
  <si>
    <t>001</t>
  </si>
  <si>
    <t>24-57530-00000-00000</t>
  </si>
  <si>
    <t>622</t>
  </si>
  <si>
    <t>243P529990</t>
  </si>
  <si>
    <t>243P500003</t>
  </si>
  <si>
    <t>Устройство спортивных площадок</t>
  </si>
  <si>
    <t>999002993U</t>
  </si>
  <si>
    <t>М9993</t>
  </si>
  <si>
    <t>9990000323</t>
  </si>
  <si>
    <t>Проведение работ по ремонту спортивных объектов</t>
  </si>
  <si>
    <t>9990000325</t>
  </si>
  <si>
    <t>Закупка и монтаж оборудования для создания баскетбольной площадки</t>
  </si>
  <si>
    <t>1103</t>
  </si>
  <si>
    <t>2410264040</t>
  </si>
  <si>
    <t>2410200004</t>
  </si>
  <si>
    <t>Предоставление  субсидий из областного бюджета некоммерческим организациям осуществляющим деятельность в сфере физической культуры и спорта по виду спорта "хоккей"</t>
  </si>
  <si>
    <t>2410264050</t>
  </si>
  <si>
    <t>2410200006</t>
  </si>
  <si>
    <t>Предоставление  субсидий из областного бюджета некоммерческим организациям осуществляющим деятельность в сфере физической культуры и спорта по виду спорта "футбол"</t>
  </si>
  <si>
    <t>2410264070</t>
  </si>
  <si>
    <t>2410200001</t>
  </si>
  <si>
    <t>Предоставление субсидий из областного бюджета некоммерческим организациям осуществляющим деятельность в сфере физической культуры и спорта по развитию вида спорта "хоккей с мячом"</t>
  </si>
  <si>
    <t>2420100050</t>
  </si>
  <si>
    <t>611</t>
  </si>
  <si>
    <t>2420199999</t>
  </si>
  <si>
    <t>612</t>
  </si>
  <si>
    <t>2420100003</t>
  </si>
  <si>
    <t>2420100020</t>
  </si>
  <si>
    <t>621</t>
  </si>
  <si>
    <t>2420100004</t>
  </si>
  <si>
    <t>2420100029</t>
  </si>
  <si>
    <t>2420100030</t>
  </si>
  <si>
    <t>Благоустройство территорий и подготовка оснований  для монтажа «умных» спортивных площадок</t>
  </si>
  <si>
    <t>2420113060</t>
  </si>
  <si>
    <t>2420100018</t>
  </si>
  <si>
    <t>2420113070</t>
  </si>
  <si>
    <t>2420100021</t>
  </si>
  <si>
    <t>2420129990</t>
  </si>
  <si>
    <t>2420100023</t>
  </si>
  <si>
    <t>2420100013</t>
  </si>
  <si>
    <t>Выплата единовременного денежного вознаграждения спортсменам, проживающим в Мурманской области и выступившим в составе спортивных сборных команд Мурманской области и Российской Федерации по олимпийским видам спорта, и их тренерам за победу и призовые места на Олимпийских, Паралимпийских и Сурдлимпийских играх, чемпионатах, кубках мира и Европы, чемпионатах России</t>
  </si>
  <si>
    <t>2420271170</t>
  </si>
  <si>
    <t>71170-23</t>
  </si>
  <si>
    <t>2420200006</t>
  </si>
  <si>
    <t>71170-24</t>
  </si>
  <si>
    <t>711701-24</t>
  </si>
  <si>
    <t>2420200005</t>
  </si>
  <si>
    <t>242P550810</t>
  </si>
  <si>
    <t>242P500004</t>
  </si>
  <si>
    <t>22-50810-00000-00000</t>
  </si>
  <si>
    <t>23-50810-00000-00000</t>
  </si>
  <si>
    <t>24-50810-00000-00000</t>
  </si>
  <si>
    <t>242P552290</t>
  </si>
  <si>
    <t>242P500001</t>
  </si>
  <si>
    <t>23-52290-00000-00000</t>
  </si>
  <si>
    <t>24-52290-00000-00000</t>
  </si>
  <si>
    <t>2430200050</t>
  </si>
  <si>
    <t>2430200003</t>
  </si>
  <si>
    <t>2430265050</t>
  </si>
  <si>
    <t>811</t>
  </si>
  <si>
    <t>2430200013</t>
  </si>
  <si>
    <t>Субсидия на содержание и эксплуатацию государственного имущества</t>
  </si>
  <si>
    <t>2430265060</t>
  </si>
  <si>
    <t>2430200027</t>
  </si>
  <si>
    <t>Возмещение затрат юридических лиц  на ремонт государственного имущества</t>
  </si>
  <si>
    <t>1105</t>
  </si>
  <si>
    <t>2440100010</t>
  </si>
  <si>
    <t>121</t>
  </si>
  <si>
    <t>2440100001</t>
  </si>
  <si>
    <t>Обеспечение  реализации государственных функций и государственных услуг Министерства спорта Мурманской области</t>
  </si>
  <si>
    <t>129</t>
  </si>
  <si>
    <t>2440100030</t>
  </si>
  <si>
    <t>122</t>
  </si>
  <si>
    <t>2440113060</t>
  </si>
  <si>
    <t>9990000060</t>
  </si>
  <si>
    <t>9990000006</t>
  </si>
  <si>
    <t>Финансовое обеспечение выплат, предусмотренных Законом Мурманской области от 13.10.2005 № 660-01-ЗМО "О государственной гражданской службе Мурманской области", за исключением предоставления единовременной субсидии на приобретение жилой площади, и Законом Мурманской области от 07.07.2005 № 652-01-ЗМО «О государственных должностях Мурманской области»</t>
  </si>
  <si>
    <t>9990055490</t>
  </si>
  <si>
    <t>00001</t>
  </si>
  <si>
    <t>9990000068</t>
  </si>
  <si>
    <t>Достижение показателей деятельности органов исполнительной власти субъектов Российской Федерации</t>
  </si>
  <si>
    <t>Итого:</t>
  </si>
  <si>
    <t>в том числе Рез.Ф</t>
  </si>
  <si>
    <t xml:space="preserve"> из них ГРАНТ ФБ</t>
  </si>
  <si>
    <t xml:space="preserve">На территории региона проведены мероприятия среди различных категорий населения: Проведены следующин основные мероприятия:
- Всероссийский спортивный фестиваль "Спортивная студенческая ночь"
- Предматчевые шоу ХК "Арктика" январь
- Предматчевые шоу ХК "Арктика" февраль
- Фестиваль по зимним видам спорта "Эривейв"
- Фестиваль молодежных субкультур. Летняя версия
- Всероссийский олимпийский день
- Массовый забег "Динамо бежит"
- День физкультурника
- Спортивный семейный фестиваль "На Севере - спорт"
- XXI Всероссийские соревнования по легкой атлетике на призв ЗМС... Л.Н. Кругловой
- Конкурс "Регистрируйся и побеждай"
- 10 000 шагов
- Бодрое воскресенье
</t>
  </si>
  <si>
    <t xml:space="preserve"> </t>
  </si>
  <si>
    <t>Обучено плаванию 1488 чел.</t>
  </si>
  <si>
    <t xml:space="preserve">Предоставлены услуги 9697 человекам в 16 плавательных бассейнах Мурманской области </t>
  </si>
  <si>
    <t>Работы завершены.</t>
  </si>
  <si>
    <t xml:space="preserve">Возмещены затраты на содержание государственного имущества    </t>
  </si>
  <si>
    <t>Оборудование для создания "умных" спортивных площадок закуплено</t>
  </si>
  <si>
    <t>2024 год</t>
  </si>
  <si>
    <t>Сведения о достижении значений показателей государственной программы в 2024 году</t>
  </si>
  <si>
    <t>Расходы связанные с организацией церемонии награждения спортсменов  и тренеров, а также выплата премии по итогам года</t>
  </si>
  <si>
    <t>За 2024 года, тыс. рублей</t>
  </si>
  <si>
    <t xml:space="preserve">
Концессионером разработано техническое задание, 
заключен договор генподряда с ООО "Ригил" на корректировку проектной документации и проведение строительно-монтажных работ. </t>
  </si>
  <si>
    <t xml:space="preserve">В рамках субсидии 2024 года выполнены инженерно-геологические изыскания. Завершение работ по разработке проектной документации в 2025 году </t>
  </si>
  <si>
    <t>Кассовый расход реализации мероприятия запланирован 4 квартале 2024 года</t>
  </si>
  <si>
    <t>Реализация мероприятия в 4 квартале 2024 года</t>
  </si>
  <si>
    <t>Выполнены инженерно-геологические изыскания.</t>
  </si>
  <si>
    <t>Освоение бюджетных средств заплаинровано в 4 квартале 2024 года</t>
  </si>
  <si>
    <t>Обеспечение затрат в отчетном периоде не осуществлялось</t>
  </si>
  <si>
    <t xml:space="preserve">СБР по Минстою МО средства на реализацию мероприятия в 2024 году не предусмотрены. Предлагаю исключить мероприятие из отчета. </t>
  </si>
  <si>
    <t xml:space="preserve">Подведомственным учреждением (ГАУМО «ЦСП») проведены конкурентные процедуры, по итогам которых 1 апреля 2024 года заключен договор на изыскательные работы, разработку проектной документации и составление сметного расчета (ПСД) на выполнение строительных работ по подготовке основания. 
Контракт заключен – 01.04.2024 г. (90 раб. дн. с даты заключения), срок окончания работ – 12.08.2024. 
Заключено доп. соглашение – 07.05.2024 г. в части конкретизации сроков.
В соответствии с 223-ФЗ уполномоченный орган (Комитет по конкурентной политике Мурманской области) 08.05.2024 разместил извещение о проведении закупки в Единой информационной системе на поставку и монтаж оборудования для создания «умных» спортивных площадок (Комплект № 5 - модульное спортивное сооружение для занятий функционально-цифровым (фиджитал) спортом, включающий киберспортивную зону и открытые спортивные площадки) на сумму 109859154,93 р.
10.06.2024 г. закончился срок подачи заявок – 2 заявки подано.
11.06.2024 г. подведение итогов – выиграла компания ООО «Монтаж-Сервис», сумма контракта 98 859 154,93 руб.
28.06.2024 года заключен контракт на поставку и монтаж оборудования с ООО «Монтаж-Сервис». 
</t>
  </si>
  <si>
    <t xml:space="preserve">Освоение бюджетных средств заплаинровано в 4 квартале 2024 года </t>
  </si>
  <si>
    <t>Техническая готовность 37 %.       
Выполнено: установка ограждений, подготовительный период, погружение  железобетонных свай (1025шт.); устройство котлована под фундамент здания; устройство свайного поля; устройство бетонной подготовки и армирование свайных; бетонирование свайных ростверков; устройство монолитных (подпорных стен) подвала; устройство бетонной подготовки под плиту большой чаши бассейна;</t>
  </si>
  <si>
    <t xml:space="preserve">Увеличение сроков поставки оборудования, в связи с тем, что часть оборудования, предусмотренного проектной документацией, была снята с производства из-за санкций, введенных против Российской Федерации недружественными странами; необходимость внесения изменений в конструктив бассейна, что повлекло необходимость корректировки проектной документации и, как следствие, отставание от графика; дефицит квалифицированных трудовых кадров, а также долгая процедура согласования допуска на территорию ЗАТО г. Североморск рабочих, являющихся гражданами Российской Федерации;  фактический запрет на привлечение граждан иностранных государств (процедура согласования более 6 месяцев с ограниченным условиями и сроком пребывания).
</t>
  </si>
  <si>
    <t xml:space="preserve">Концессионером разработано техническое задание, 
заключен договор генподряда с ООО "Ригил" на корректировку проектной документации и проведение строительно-монтажных работ. </t>
  </si>
  <si>
    <r>
      <t xml:space="preserve">Техническая готовность - 93%. 
 Ведется монтаж внутренних перегородок, шпатлевка вновь возводимых перегородок, прокладка инженерных сетей. 
</t>
    </r>
    <r>
      <rPr>
        <i/>
        <sz val="12"/>
        <color theme="1"/>
        <rFont val="Times New Roman"/>
        <family val="1"/>
        <charset val="204"/>
      </rPr>
      <t>Справочно: на объект предусмотрены дополнительные средства МБ в связи с чем касааовый расход по МБ превышает сумму предусмотренных средств.</t>
    </r>
  </si>
  <si>
    <t xml:space="preserve"> В осенний период произошла аварийная ситуация 
на существующих внутриплощадочных сетях инженерно-технического обеспечения, что, в свою очередь, повлияло на техническое состояние существующих конструкций здания. Данные обстоятельства привели 
к необходимости корректировки ранее принятых проектных решений в части разработки дополнительных конструктивных решений.
Заказчиком 20.11.2024 остановлено дальнейшее производство строительно-монтажных работ, связанных несущими конструкциями, 
и принято решение о проведении технического обследования состояния здания Ледового дворца с целью дальнейшей корректировки проектных решений.
Подрядной организацией, выполняющей работы по реконструкции Объекта, заключен договор со специализированной организацией, которая будет выполнять обследование технического состояния здания. В настоящее время организация, а также программа проведения обследования согласованы с Министерством государственного жилищного и строительного надзора Мурманской области. </t>
  </si>
  <si>
    <t>Техническая готовность - 93%. 
 Ведется монтаж внутренних перегородок, шпатлевка вновь возводимых перегородок, прокладка инженерных сетей. 
Справочно: на объект предусмотрены дополнительные средства МБ в связи с чем касааовый расход по МБ превышает сумму предусмотренных средств.</t>
  </si>
  <si>
    <t>Возмещены расходы на финансовое обеспечение затрат, связанных с подготовкой и участием спортивной команды в физкультурных мероприятиях, а также с оплатой труда и начислениями на оплату труда работников</t>
  </si>
  <si>
    <t>необходимо заполнить, если освоение ниже 95%</t>
  </si>
  <si>
    <t>Подготовка спортивного резерва осуществлялась в соответствии с федеральными стандартами  спортивной подготовки и подготовки спортсменов -кандидатов в спортивные сборные команды России по видам спорта</t>
  </si>
  <si>
    <t>В рамках международного праздника Севера и Праздника Севера учащихся проведено 43 мероприятия</t>
  </si>
  <si>
    <t>Поставка оборудования и инвентаря в организации спортивной подготовки:
в 2024 году - 2 организации</t>
  </si>
  <si>
    <t>В соответствии с федеральными стандартами спортивной подготовки приобретено:
- для Муниципального автономного учреждения дополнительного образования «Спортивная школа олимпийского резерва № 3»  горные лыжи  с креплениями -13 ед., горнолыжные ботинки – 5 ед., вешки  с механической флекс-зоной – 18 ед
- для Государственного автономного учреждения дополнительного образования Мурманской области «Мончегорская спортивная школа по горнолыжному спорту» горнолыжные ботинки, шлемы и лыжи с креплениями в количестве 234 ед.</t>
  </si>
  <si>
    <t>Обеспечены затраты подведомственных учреждениях на текущие и капитальные ремонтные работы</t>
  </si>
  <si>
    <t xml:space="preserve">2023 - 2025строительство
</t>
  </si>
  <si>
    <t xml:space="preserve">Техническая готовность 0,8%.       
В процессе производства работ по разработке грунта были выявлены многочисленные фундаменты, неучтенные проектной документацией. Концессионером были приостановлены работы ввиду неучтенных проектной документацией дополнительных работ по демонтажу.  Минстроем до концессионера доведена информация, что остановка строительно-монтажных работ может привести к срыву сроков реализации Концессии. Подрядчик должен приступить к земляным работам с целью разработки проектного объема земляных масс. </t>
  </si>
  <si>
    <t>Субсидия предоставлена бюджету муниципального образования г.  Кировск на оказание финансовой поддержки спортивным организациям, осуществляющим спортивную подготовку в соответствии с федеральными стандартами спортивной подготовки в рамках реализации соглашений между Правительством Мурманской области и градообразующими предприятиями.</t>
  </si>
  <si>
    <t>Субсидия бюджету муниципального образования г.  Кировск на оказание финансовой поддержки спортивным организациям, осуществляющим спортивную подготовку в соответствии с федеральными стандартами спортивной подготовки в рамках реализации соглашений между Правительством Мурманской области и градообразующими предприятиями по состоянию на 01.10.2023 предоставлена частично</t>
  </si>
  <si>
    <t>3.2.36</t>
  </si>
  <si>
    <t xml:space="preserve"> Разработка проектной документация на капитальный ремонт здания плавательного бассейна перенесена на 2025 год</t>
  </si>
  <si>
    <t>Разработка проектной документация на капитальный ремонт здания плавательного бассейна перенесена на 2025 год</t>
  </si>
  <si>
    <t>сокращение финансового обеспечения</t>
  </si>
  <si>
    <t xml:space="preserve">провести мониторинг показателя с цель определения нового значения </t>
  </si>
  <si>
    <t>Связано с отменой мероприятия</t>
  </si>
  <si>
    <t xml:space="preserve">экономия средств при проведении закупочных процедур </t>
  </si>
  <si>
    <t xml:space="preserve">Касса  ОБ и МБ выполнена на 100 %. ВБС  </t>
  </si>
  <si>
    <t>Данный показатель зависит от результативности спортсменов и выполнения ими критериев для включения в сборные команды страны</t>
  </si>
  <si>
    <t xml:space="preserve"> отчет 5-ФК предоставляют организации, реализующие дополнительные образовательные программы спортивной подготовки, разработанные на основе федеральных стандартов спортивной подготовки</t>
  </si>
  <si>
    <t>стало больше  вовлеченных в спорт в связи с развитием спортивных мероприятий и секций</t>
  </si>
  <si>
    <t>В спортсооружения входят объекты городской и рекреационной инфраструктуры, приспособленные для занятий физической культурой и спортом, в том числе универсальные спортивные игровые площадки, дистанции, велодорожки, споты (плаза начального уровня), площадки с тренажерами, сезонные катки. Увеличение объектов городской и рекрационной инфраструктуры, спортивных залов. Кроме того использование внебюджетных источников при строительстве, реконструкции спортивных объектов</t>
  </si>
  <si>
    <t>Министерством спорта Российской Федерации для региона на 2023 год был установлен плановый Показатель 26%. Фактическое исполнение Показателя в 2023 году составило 26,1%. Дополнительным соглашением к соглашению о реализации на территории
Мурманской области государственной программы субъекта Российской
Федерации, направленной на достижение целей и показателей государственной
программы Российской Федерации «Развитие физической культуры и спорта»
от 20.12.2023 № 2022-00700/2 на 2024 год Минспортом России для Мурманской
области установлен плановый Показатель в значении 28%. После проведения
анализа федерального мониторинга достижения Показателя было выявлено
завышение планового значения Показателя. По информации Минспорта России, полученной в рабочем порядке, откорректировать Показатель 2024 года в сторону уменьшения технически не представлялось возможным. Фактическое исполнение Показателя в 2024 году составило 26,2%</t>
  </si>
  <si>
    <t>письмом Минспорта России от
12.07.2024 № Исх-03-6-07/11153 значение Показателя на период 2025-2027 было откорректировано в сторону уменьшения и согласовано письмом Министерства спорта Мурманской области от 15.07.2024 № 11-04/1919-СН. На основании согласованных данных 25.12.2024 года было заключено Дополнительное соглашение к соглашению о реализации на территории Мурманской области государственных программ субъекта Российской
Федерации, направленных на достижение целей и показателей государственной программы Российской Федерации «Развитие физической культуры и спорта» Министерство спорта Российской Федерации № 2022-00700/3, где значения на период с 2025 по 2027 годы составили: 2025 год – 26,5%; на 2026 год – 27%; на 2027 год – 27,5%</t>
  </si>
  <si>
    <t>Для присвоения спортивных разрядов необходимо выполнение обязательных условий, в том числе количество участников в соревнованиях и отдельных дисциплинах, статус соревнований и количество субъектов РФ, квалификационные категории спортивных судей, в связи с чем определить прогнозное значение не представляется возможным и показатель расчитываается по факту.</t>
  </si>
  <si>
    <t>Ввод в эксплуатацию новых спортивных сооружений</t>
  </si>
  <si>
    <t>увеличение количества проведенных мероприятий на объектах спорта, в том числе увеличение количества людей, посещающих спортвиные объекты с целью своей физической и спортивной подготовки</t>
  </si>
  <si>
    <t>Оценка эффективности реализации государственной программы «Развитие физической культуры и спорта» в 2024 году</t>
  </si>
  <si>
    <t xml:space="preserve">Предоставлены услуги 8209 человекам в 16 плавательных бассейнах Мурманской области </t>
  </si>
  <si>
    <t xml:space="preserve">В отчете за 2023 год допущена ошибка, стоимость работ выполненных на 01.01.2024 - 0,0 т.р.
 Техническая готовность - 37%.     
Выполнено: установка ограждений, подготовительный период, погружение  железобетонных свай (1025шт.); устройство котлована под фундамент здания; устройство свайного поля; устройство бетонной подготовки и армирование свайных; бетонирование свайных ростверков; устройство монолитных (подпорных стен) подвала; устройство бетонной подготовки под плиту большой чаши бассейна;
Отставание от графика обусловлено рядом причин:
- увеличение сроков поставки оборудования, в связи с тем, что часть оборудования, предусмотренного проектной документацией, была снята с производства из-за санкций, введенных против Российской Федерации недружественными странами; необходимость внесения изменений в конструктив бассейна, что повлекло необходимость корректировки проектной документации и, как следствие, отставание от графика; дефицит квалифицированных трудовых кадров, а также долгая процедура согласования допуска на территорию ЗАТО г. Североморск рабочих, являющихся гражданами Российской Федерации;  фактический запрет на привлечение граждан иностранных государств (процедура согласования более 6 месяцев с ограниченным условиями и сроком пребывания).
</t>
  </si>
  <si>
    <r>
      <rPr>
        <i/>
        <sz val="9"/>
        <rFont val="Times New Roman"/>
        <family val="1"/>
        <charset val="204"/>
      </rPr>
      <t>Справочно: на объект предусмотрены дополнительные средства МБ</t>
    </r>
    <r>
      <rPr>
        <sz val="9"/>
        <rFont val="Times New Roman"/>
        <family val="1"/>
        <charset val="204"/>
      </rPr>
      <t xml:space="preserve">
Техническая готовность - 93%. 
Ведется монтаж внутренних перегородок, шпатлевка вновь возводимых перегородок, прокладка инженерных сетей. 
</t>
    </r>
    <r>
      <rPr>
        <i/>
        <sz val="9"/>
        <rFont val="Times New Roman"/>
        <family val="1"/>
        <charset val="204"/>
      </rPr>
      <t xml:space="preserve"> В </t>
    </r>
    <r>
      <rPr>
        <sz val="9"/>
        <rFont val="Times New Roman"/>
        <family val="1"/>
        <charset val="204"/>
      </rPr>
      <t xml:space="preserve">осенний период произошла аварийная ситуация 
на существующих внутриплощадочных сетях инженерно-технического обеспечения, что, в свою очередь, повлияло на техническое состояние существующих конструкций здания. Данные обстоятельства привели 
к необходимости корректировки ранее принятых проектных решений в части разработки дополнительных конструктивных решений.
Заказчиком 20.11.2024 остановлено дальнейшее производство строительно-монтажных работ, связанных несущими конструкциями, 
и принято решение о проведении технического обследования состояния здания Ледового дворца с целью дальнейшей корректировки проектных решений.
Подрядной организацией, выполняющей работы по реконструкции Объекта, заключен договор со специализированной организацией, которая будет выполнять обследование технического состояния здания. В настоящее время организация, а также программа проведения обследования согласованы с Министерством государственного жилищного и строительного надзора Мурманской области. </t>
    </r>
  </si>
</sst>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4" formatCode="_-* #,##0.00\ &quot;₽&quot;_-;\-* #,##0.00\ &quot;₽&quot;_-;_-* &quot;-&quot;??\ &quot;₽&quot;_-;_-@_-"/>
    <numFmt numFmtId="43" formatCode="_-* #,##0.00\ _₽_-;\-* #,##0.00\ _₽_-;_-* &quot;-&quot;??\ _₽_-;_-@_-"/>
    <numFmt numFmtId="164" formatCode="_-* #,##0.00_р_._-;\-* #,##0.00_р_._-;_-* &quot;-&quot;??_р_._-;_-@_-"/>
    <numFmt numFmtId="165" formatCode="#,##0.0"/>
    <numFmt numFmtId="166" formatCode="0.0"/>
    <numFmt numFmtId="167" formatCode="0.0%"/>
    <numFmt numFmtId="168" formatCode="_(* #,##0.00_);_(* \(#,##0.00\);_(* &quot;-&quot;??_);_(@_)"/>
    <numFmt numFmtId="169" formatCode="#0.00"/>
    <numFmt numFmtId="170" formatCode="#,##0.0_ ;[Red]\-#,##0.0\ "/>
  </numFmts>
  <fonts count="245">
    <font>
      <sz val="11"/>
      <color theme="1"/>
      <name val="Calibri"/>
      <family val="2"/>
      <charset val="204"/>
      <scheme val="minor"/>
    </font>
    <font>
      <sz val="12"/>
      <color indexed="8"/>
      <name val="Times New Roman"/>
      <family val="1"/>
      <charset val="204"/>
    </font>
    <font>
      <sz val="8"/>
      <color indexed="8"/>
      <name val="Times New Roman"/>
      <family val="1"/>
      <charset val="204"/>
    </font>
    <font>
      <sz val="10"/>
      <color indexed="8"/>
      <name val="Times New Roman"/>
      <family val="1"/>
      <charset val="204"/>
    </font>
    <font>
      <sz val="10"/>
      <name val="Times New Roman"/>
      <family val="1"/>
      <charset val="204"/>
    </font>
    <font>
      <sz val="10"/>
      <color indexed="8"/>
      <name val="Calibri"/>
      <family val="2"/>
      <charset val="204"/>
    </font>
    <font>
      <sz val="11"/>
      <color indexed="8"/>
      <name val="Times New Roman"/>
      <family val="1"/>
      <charset val="204"/>
    </font>
    <font>
      <sz val="9"/>
      <color indexed="8"/>
      <name val="Calibri"/>
      <family val="2"/>
      <charset val="204"/>
    </font>
    <font>
      <sz val="11"/>
      <color indexed="8"/>
      <name val="Calibri"/>
      <family val="2"/>
      <charset val="204"/>
    </font>
    <font>
      <sz val="11"/>
      <name val="Times New Roman"/>
      <family val="1"/>
      <charset val="204"/>
    </font>
    <font>
      <sz val="11"/>
      <name val="Calibri"/>
      <family val="2"/>
      <charset val="204"/>
    </font>
    <font>
      <b/>
      <sz val="11"/>
      <color indexed="8"/>
      <name val="Times New Roman"/>
      <family val="1"/>
      <charset val="204"/>
    </font>
    <font>
      <sz val="10"/>
      <name val="Arial Cyr"/>
      <charset val="204"/>
    </font>
    <font>
      <sz val="12"/>
      <color indexed="8"/>
      <name val="Times New Roman"/>
      <family val="2"/>
      <charset val="204"/>
    </font>
    <font>
      <sz val="10"/>
      <name val="Arial"/>
      <family val="2"/>
      <charset val="204"/>
    </font>
    <font>
      <sz val="12"/>
      <color theme="1"/>
      <name val="Times New Roman"/>
      <family val="1"/>
      <charset val="204"/>
    </font>
    <font>
      <b/>
      <sz val="11"/>
      <name val="Times New Roman"/>
      <family val="1"/>
      <charset val="204"/>
    </font>
    <font>
      <sz val="8"/>
      <name val="Times New Roman"/>
      <family val="1"/>
      <charset val="204"/>
    </font>
    <font>
      <sz val="8"/>
      <color theme="1"/>
      <name val="Times New Roman"/>
      <family val="1"/>
      <charset val="204"/>
    </font>
    <font>
      <sz val="11"/>
      <color theme="1"/>
      <name val="Times New Roman"/>
      <family val="1"/>
      <charset val="204"/>
    </font>
    <font>
      <sz val="10"/>
      <name val="Arial"/>
      <family val="2"/>
      <charset val="204"/>
    </font>
    <font>
      <sz val="12"/>
      <name val="Times New Roman"/>
      <family val="1"/>
      <charset val="204"/>
    </font>
    <font>
      <b/>
      <sz val="12"/>
      <color indexed="8"/>
      <name val="Times New Roman"/>
      <family val="1"/>
      <charset val="204"/>
    </font>
    <font>
      <sz val="10"/>
      <name val="Arial"/>
      <family val="2"/>
      <charset val="204"/>
    </font>
    <font>
      <sz val="11"/>
      <color theme="1"/>
      <name val="Calibri"/>
      <family val="2"/>
      <charset val="204"/>
      <scheme val="minor"/>
    </font>
    <font>
      <sz val="10"/>
      <color theme="1"/>
      <name val="Times New Roman"/>
      <family val="1"/>
      <charset val="204"/>
    </font>
    <font>
      <sz val="12"/>
      <color theme="1"/>
      <name val="Calibri"/>
      <family val="2"/>
      <charset val="204"/>
      <scheme val="minor"/>
    </font>
    <font>
      <b/>
      <sz val="12"/>
      <color theme="1"/>
      <name val="Times New Roman"/>
      <family val="1"/>
      <charset val="204"/>
    </font>
    <font>
      <b/>
      <sz val="8"/>
      <name val="Times New Roman"/>
      <family val="1"/>
      <charset val="204"/>
    </font>
    <font>
      <b/>
      <sz val="11"/>
      <color theme="1"/>
      <name val="Calibri"/>
      <family val="2"/>
      <charset val="204"/>
      <scheme val="minor"/>
    </font>
    <font>
      <sz val="11"/>
      <name val="Calibri"/>
      <family val="2"/>
      <scheme val="minor"/>
    </font>
    <font>
      <sz val="10"/>
      <color rgb="FF000000"/>
      <name val="Arial"/>
      <family val="2"/>
      <charset val="204"/>
    </font>
    <font>
      <b/>
      <sz val="10"/>
      <color rgb="FF000000"/>
      <name val="Arial"/>
      <family val="2"/>
      <charset val="204"/>
    </font>
    <font>
      <b/>
      <sz val="11"/>
      <color rgb="FF000000"/>
      <name val="Arial"/>
      <family val="2"/>
      <charset val="204"/>
    </font>
    <font>
      <sz val="10"/>
      <color rgb="FF000000"/>
      <name val="Arial Cyr"/>
    </font>
    <font>
      <sz val="10"/>
      <color rgb="FF000000"/>
      <name val="Times New Roman"/>
      <family val="1"/>
      <charset val="204"/>
    </font>
    <font>
      <sz val="10"/>
      <color rgb="FF000000"/>
      <name val="Times New Roman"/>
      <family val="1"/>
      <charset val="204"/>
    </font>
    <font>
      <sz val="11"/>
      <color rgb="FFFF0000"/>
      <name val="Calibri"/>
      <family val="2"/>
      <charset val="204"/>
      <scheme val="minor"/>
    </font>
    <font>
      <b/>
      <sz val="10"/>
      <color indexed="8"/>
      <name val="Times New Roman"/>
      <family val="1"/>
      <charset val="204"/>
    </font>
    <font>
      <sz val="11"/>
      <color rgb="FF000000"/>
      <name val="Times New Roman"/>
      <family val="1"/>
      <charset val="204"/>
    </font>
    <font>
      <b/>
      <sz val="11"/>
      <color theme="1"/>
      <name val="Times New Roman"/>
      <family val="1"/>
      <charset val="204"/>
    </font>
    <font>
      <sz val="11"/>
      <name val="Calibri"/>
      <family val="2"/>
      <charset val="204"/>
      <scheme val="minor"/>
    </font>
    <font>
      <b/>
      <sz val="15"/>
      <color theme="3"/>
      <name val="Calibri"/>
      <family val="2"/>
      <charset val="204"/>
      <scheme val="minor"/>
    </font>
    <font>
      <b/>
      <sz val="13"/>
      <color theme="3"/>
      <name val="Calibri"/>
      <family val="2"/>
      <charset val="204"/>
      <scheme val="minor"/>
    </font>
    <font>
      <b/>
      <sz val="11"/>
      <color theme="3"/>
      <name val="Calibri"/>
      <family val="2"/>
      <charset val="204"/>
      <scheme val="minor"/>
    </font>
    <font>
      <sz val="11"/>
      <color rgb="FF006100"/>
      <name val="Calibri"/>
      <family val="2"/>
      <charset val="204"/>
      <scheme val="minor"/>
    </font>
    <font>
      <sz val="11"/>
      <color rgb="FF9C0006"/>
      <name val="Calibri"/>
      <family val="2"/>
      <charset val="204"/>
      <scheme val="minor"/>
    </font>
    <font>
      <sz val="11"/>
      <color rgb="FF9C6500"/>
      <name val="Calibri"/>
      <family val="2"/>
      <charset val="204"/>
      <scheme val="minor"/>
    </font>
    <font>
      <sz val="11"/>
      <color rgb="FF3F3F76"/>
      <name val="Calibri"/>
      <family val="2"/>
      <charset val="204"/>
      <scheme val="minor"/>
    </font>
    <font>
      <b/>
      <sz val="11"/>
      <color rgb="FF3F3F3F"/>
      <name val="Calibri"/>
      <family val="2"/>
      <charset val="204"/>
      <scheme val="minor"/>
    </font>
    <font>
      <b/>
      <sz val="11"/>
      <color rgb="FFFA7D00"/>
      <name val="Calibri"/>
      <family val="2"/>
      <charset val="204"/>
      <scheme val="minor"/>
    </font>
    <font>
      <sz val="11"/>
      <color rgb="FFFA7D00"/>
      <name val="Calibri"/>
      <family val="2"/>
      <charset val="204"/>
      <scheme val="minor"/>
    </font>
    <font>
      <b/>
      <sz val="11"/>
      <color theme="0"/>
      <name val="Calibri"/>
      <family val="2"/>
      <charset val="204"/>
      <scheme val="minor"/>
    </font>
    <font>
      <i/>
      <sz val="11"/>
      <color rgb="FF7F7F7F"/>
      <name val="Calibri"/>
      <family val="2"/>
      <charset val="204"/>
      <scheme val="minor"/>
    </font>
    <font>
      <sz val="11"/>
      <color theme="0"/>
      <name val="Calibri"/>
      <family val="2"/>
      <charset val="204"/>
      <scheme val="minor"/>
    </font>
    <font>
      <sz val="11"/>
      <color theme="1"/>
      <name val="Calibri"/>
      <family val="2"/>
      <charset val="204"/>
      <scheme val="minor"/>
    </font>
    <font>
      <sz val="11"/>
      <name val="Calibri"/>
      <family val="2"/>
      <charset val="204"/>
      <scheme val="minor"/>
    </font>
    <font>
      <sz val="10"/>
      <name val="Arial Cyr"/>
    </font>
    <font>
      <sz val="11"/>
      <color theme="0"/>
      <name val="Calibri"/>
      <family val="2"/>
      <charset val="204"/>
      <scheme val="minor"/>
    </font>
    <font>
      <sz val="11"/>
      <color indexed="64"/>
      <name val="Calibri"/>
      <family val="2"/>
      <charset val="204"/>
    </font>
    <font>
      <sz val="11"/>
      <color indexed="65"/>
      <name val="Calibri"/>
      <family val="2"/>
      <charset val="204"/>
    </font>
    <font>
      <sz val="11"/>
      <color indexed="9"/>
      <name val="Calibri"/>
      <family val="2"/>
      <charset val="204"/>
    </font>
    <font>
      <sz val="11"/>
      <color rgb="FF9C0006"/>
      <name val="Calibri"/>
      <family val="2"/>
      <charset val="204"/>
      <scheme val="minor"/>
    </font>
    <font>
      <sz val="11"/>
      <name val="Calibri"/>
      <family val="2"/>
      <charset val="204"/>
    </font>
    <font>
      <sz val="11"/>
      <name val="Calibri"/>
      <family val="2"/>
    </font>
    <font>
      <b/>
      <sz val="11"/>
      <color rgb="FFFA7D00"/>
      <name val="Calibri"/>
      <family val="2"/>
      <charset val="204"/>
      <scheme val="minor"/>
    </font>
    <font>
      <b/>
      <sz val="11"/>
      <color theme="0"/>
      <name val="Calibri"/>
      <family val="2"/>
      <charset val="204"/>
      <scheme val="minor"/>
    </font>
    <font>
      <b/>
      <sz val="11"/>
      <color indexed="64"/>
      <name val="Arial"/>
      <family val="2"/>
      <charset val="204"/>
    </font>
    <font>
      <b/>
      <sz val="10"/>
      <color indexed="64"/>
      <name val="Arial"/>
      <family val="2"/>
      <charset val="204"/>
    </font>
    <font>
      <sz val="10"/>
      <color indexed="64"/>
      <name val="Arial Cyr"/>
    </font>
    <font>
      <sz val="10"/>
      <name val="Arial"/>
      <family val="2"/>
      <charset val="204"/>
    </font>
    <font>
      <sz val="10"/>
      <color indexed="64"/>
      <name val="Arial"/>
      <family val="2"/>
      <charset val="204"/>
    </font>
    <font>
      <i/>
      <sz val="11"/>
      <color rgb="FF7F7F7F"/>
      <name val="Calibri"/>
      <family val="2"/>
      <charset val="204"/>
      <scheme val="minor"/>
    </font>
    <font>
      <sz val="11"/>
      <color rgb="FF006100"/>
      <name val="Calibri"/>
      <family val="2"/>
      <charset val="204"/>
      <scheme val="minor"/>
    </font>
    <font>
      <b/>
      <sz val="15"/>
      <color theme="3"/>
      <name val="Calibri"/>
      <family val="2"/>
      <charset val="204"/>
      <scheme val="minor"/>
    </font>
    <font>
      <b/>
      <sz val="13"/>
      <color theme="3"/>
      <name val="Calibri"/>
      <family val="2"/>
      <charset val="204"/>
      <scheme val="minor"/>
    </font>
    <font>
      <b/>
      <sz val="11"/>
      <color theme="3"/>
      <name val="Calibri"/>
      <family val="2"/>
      <charset val="204"/>
      <scheme val="minor"/>
    </font>
    <font>
      <sz val="11"/>
      <color rgb="FF3F3F76"/>
      <name val="Calibri"/>
      <family val="2"/>
      <charset val="204"/>
      <scheme val="minor"/>
    </font>
    <font>
      <sz val="11"/>
      <color rgb="FFFA7D00"/>
      <name val="Calibri"/>
      <family val="2"/>
      <charset val="204"/>
      <scheme val="minor"/>
    </font>
    <font>
      <sz val="11"/>
      <color rgb="FF9C6500"/>
      <name val="Calibri"/>
      <family val="2"/>
      <charset val="204"/>
      <scheme val="minor"/>
    </font>
    <font>
      <sz val="10"/>
      <color rgb="FF000000"/>
      <name val="Arial"/>
      <family val="2"/>
    </font>
    <font>
      <b/>
      <sz val="11"/>
      <color rgb="FF3F3F3F"/>
      <name val="Calibri"/>
      <family val="2"/>
      <charset val="204"/>
      <scheme val="minor"/>
    </font>
    <font>
      <b/>
      <sz val="18"/>
      <color theme="3"/>
      <name val="Cambria"/>
      <family val="1"/>
      <charset val="204"/>
    </font>
    <font>
      <b/>
      <sz val="18"/>
      <color theme="3"/>
      <name val="Calibri Light"/>
      <family val="2"/>
      <charset val="204"/>
      <scheme val="major"/>
    </font>
    <font>
      <b/>
      <sz val="18"/>
      <color theme="3"/>
      <name val="Calibri Light"/>
      <family val="1"/>
      <charset val="204"/>
      <scheme val="major"/>
    </font>
    <font>
      <b/>
      <sz val="18"/>
      <color theme="3"/>
      <name val="Cambria"/>
      <family val="1"/>
      <charset val="204"/>
    </font>
    <font>
      <b/>
      <sz val="11"/>
      <color theme="1"/>
      <name val="Calibri"/>
      <family val="2"/>
      <charset val="204"/>
      <scheme val="minor"/>
    </font>
    <font>
      <sz val="11"/>
      <color indexed="2"/>
      <name val="Calibri"/>
      <family val="2"/>
      <charset val="204"/>
      <scheme val="minor"/>
    </font>
    <font>
      <sz val="10"/>
      <color rgb="FF000000"/>
      <name val="Arial Cyr"/>
      <family val="2"/>
    </font>
    <font>
      <b/>
      <sz val="10"/>
      <color indexed="64"/>
      <name val="Arial Cyr"/>
    </font>
    <font>
      <b/>
      <sz val="10"/>
      <color rgb="FF000000"/>
      <name val="Arial Cyr"/>
    </font>
    <font>
      <sz val="12"/>
      <color indexed="65"/>
      <name val="Times New Roman"/>
      <family val="1"/>
      <charset val="204"/>
    </font>
    <font>
      <sz val="12"/>
      <color indexed="9"/>
      <name val="Times New Roman"/>
      <family val="2"/>
      <charset val="204"/>
    </font>
    <font>
      <sz val="11"/>
      <color indexed="62"/>
      <name val="Calibri"/>
      <family val="2"/>
      <charset val="204"/>
    </font>
    <font>
      <sz val="12"/>
      <color indexed="62"/>
      <name val="Times New Roman"/>
      <family val="1"/>
      <charset val="204"/>
    </font>
    <font>
      <sz val="12"/>
      <color indexed="62"/>
      <name val="Times New Roman"/>
      <family val="2"/>
      <charset val="204"/>
    </font>
    <font>
      <sz val="11"/>
      <color indexed="62"/>
      <name val="Calibri"/>
      <family val="2"/>
      <charset val="204"/>
    </font>
    <font>
      <b/>
      <sz val="11"/>
      <color indexed="63"/>
      <name val="Calibri"/>
      <family val="2"/>
      <charset val="204"/>
    </font>
    <font>
      <b/>
      <sz val="12"/>
      <color indexed="63"/>
      <name val="Times New Roman"/>
      <family val="1"/>
      <charset val="204"/>
    </font>
    <font>
      <b/>
      <sz val="12"/>
      <color indexed="63"/>
      <name val="Times New Roman"/>
      <family val="2"/>
      <charset val="204"/>
    </font>
    <font>
      <b/>
      <sz val="11"/>
      <color indexed="63"/>
      <name val="Calibri"/>
      <family val="2"/>
      <charset val="204"/>
    </font>
    <font>
      <b/>
      <sz val="11"/>
      <color indexed="52"/>
      <name val="Calibri"/>
      <family val="2"/>
      <charset val="204"/>
    </font>
    <font>
      <b/>
      <sz val="12"/>
      <color indexed="52"/>
      <name val="Times New Roman"/>
      <family val="1"/>
      <charset val="204"/>
    </font>
    <font>
      <b/>
      <sz val="12"/>
      <color indexed="52"/>
      <name val="Times New Roman"/>
      <family val="2"/>
      <charset val="204"/>
    </font>
    <font>
      <b/>
      <sz val="11"/>
      <color indexed="52"/>
      <name val="Calibri"/>
      <family val="2"/>
      <charset val="204"/>
    </font>
    <font>
      <u/>
      <sz val="11"/>
      <color theme="10"/>
      <name val="Calibri"/>
      <family val="2"/>
      <charset val="204"/>
      <scheme val="minor"/>
    </font>
    <font>
      <u/>
      <sz val="11"/>
      <color theme="10"/>
      <name val="Calibri"/>
      <family val="2"/>
      <charset val="204"/>
      <scheme val="minor"/>
    </font>
    <font>
      <u/>
      <sz val="11"/>
      <color indexed="4"/>
      <name val="Calibri"/>
      <family val="2"/>
      <charset val="204"/>
    </font>
    <font>
      <u/>
      <sz val="11"/>
      <color indexed="12"/>
      <name val="Calibri"/>
      <family val="2"/>
      <charset val="204"/>
    </font>
    <font>
      <u/>
      <sz val="11"/>
      <color rgb="FF0000FF"/>
      <name val="Calibri"/>
      <family val="2"/>
      <charset val="204"/>
    </font>
    <font>
      <b/>
      <sz val="15"/>
      <color indexed="56"/>
      <name val="Calibri"/>
      <family val="2"/>
      <charset val="204"/>
    </font>
    <font>
      <b/>
      <sz val="15"/>
      <color indexed="56"/>
      <name val="Times New Roman"/>
      <family val="1"/>
      <charset val="204"/>
    </font>
    <font>
      <b/>
      <sz val="15"/>
      <color indexed="56"/>
      <name val="Times New Roman"/>
      <family val="2"/>
      <charset val="204"/>
    </font>
    <font>
      <b/>
      <sz val="15"/>
      <color indexed="56"/>
      <name val="Calibri"/>
      <family val="2"/>
      <charset val="204"/>
    </font>
    <font>
      <b/>
      <sz val="13"/>
      <color indexed="56"/>
      <name val="Calibri"/>
      <family val="2"/>
      <charset val="204"/>
    </font>
    <font>
      <b/>
      <sz val="13"/>
      <color indexed="56"/>
      <name val="Times New Roman"/>
      <family val="1"/>
      <charset val="204"/>
    </font>
    <font>
      <b/>
      <sz val="13"/>
      <color indexed="56"/>
      <name val="Times New Roman"/>
      <family val="2"/>
      <charset val="204"/>
    </font>
    <font>
      <b/>
      <sz val="13"/>
      <color indexed="56"/>
      <name val="Calibri"/>
      <family val="2"/>
      <charset val="204"/>
    </font>
    <font>
      <b/>
      <sz val="11"/>
      <color indexed="56"/>
      <name val="Calibri"/>
      <family val="2"/>
      <charset val="204"/>
    </font>
    <font>
      <b/>
      <sz val="11"/>
      <color indexed="56"/>
      <name val="Times New Roman"/>
      <family val="1"/>
      <charset val="204"/>
    </font>
    <font>
      <b/>
      <sz val="11"/>
      <color indexed="56"/>
      <name val="Times New Roman"/>
      <family val="2"/>
      <charset val="204"/>
    </font>
    <font>
      <b/>
      <sz val="11"/>
      <color indexed="56"/>
      <name val="Calibri"/>
      <family val="2"/>
      <charset val="204"/>
    </font>
    <font>
      <b/>
      <sz val="11"/>
      <color indexed="64"/>
      <name val="Calibri"/>
      <family val="2"/>
      <charset val="204"/>
    </font>
    <font>
      <b/>
      <sz val="12"/>
      <color indexed="64"/>
      <name val="Times New Roman"/>
      <family val="1"/>
      <charset val="204"/>
    </font>
    <font>
      <b/>
      <sz val="12"/>
      <color indexed="8"/>
      <name val="Times New Roman"/>
      <family val="2"/>
      <charset val="204"/>
    </font>
    <font>
      <b/>
      <sz val="11"/>
      <color indexed="8"/>
      <name val="Calibri"/>
      <family val="2"/>
      <charset val="204"/>
    </font>
    <font>
      <b/>
      <sz val="11"/>
      <color indexed="65"/>
      <name val="Calibri"/>
      <family val="2"/>
      <charset val="204"/>
    </font>
    <font>
      <b/>
      <sz val="12"/>
      <color indexed="65"/>
      <name val="Times New Roman"/>
      <family val="1"/>
      <charset val="204"/>
    </font>
    <font>
      <b/>
      <sz val="12"/>
      <color indexed="9"/>
      <name val="Times New Roman"/>
      <family val="2"/>
      <charset val="204"/>
    </font>
    <font>
      <b/>
      <sz val="11"/>
      <color indexed="9"/>
      <name val="Calibri"/>
      <family val="2"/>
      <charset val="204"/>
    </font>
    <font>
      <b/>
      <sz val="18"/>
      <color indexed="56"/>
      <name val="Cambria"/>
      <family val="1"/>
      <charset val="204"/>
    </font>
    <font>
      <b/>
      <sz val="18"/>
      <color indexed="56"/>
      <name val="Cambria"/>
      <family val="2"/>
      <charset val="204"/>
    </font>
    <font>
      <sz val="11"/>
      <color indexed="60"/>
      <name val="Calibri"/>
      <family val="2"/>
      <charset val="204"/>
    </font>
    <font>
      <sz val="12"/>
      <color indexed="60"/>
      <name val="Times New Roman"/>
      <family val="1"/>
      <charset val="204"/>
    </font>
    <font>
      <sz val="12"/>
      <color indexed="60"/>
      <name val="Times New Roman"/>
      <family val="2"/>
      <charset val="204"/>
    </font>
    <font>
      <sz val="11"/>
      <color indexed="60"/>
      <name val="Calibri"/>
      <family val="2"/>
      <charset val="204"/>
    </font>
    <font>
      <sz val="12"/>
      <color theme="1"/>
      <name val="Calibri"/>
      <family val="2"/>
      <charset val="204"/>
      <scheme val="minor"/>
    </font>
    <font>
      <sz val="14"/>
      <color theme="1"/>
      <name val="Times New Roman"/>
      <family val="1"/>
      <charset val="204"/>
    </font>
    <font>
      <sz val="14"/>
      <color theme="1"/>
      <name val="Times New Roman"/>
      <family val="2"/>
      <charset val="204"/>
    </font>
    <font>
      <sz val="11"/>
      <color indexed="8"/>
      <name val="Calibri"/>
      <family val="2"/>
    </font>
    <font>
      <sz val="11"/>
      <color theme="1"/>
      <name val="Calibri"/>
      <family val="2"/>
      <scheme val="minor"/>
    </font>
    <font>
      <sz val="11"/>
      <color rgb="FF000000"/>
      <name val="Calibri"/>
      <family val="2"/>
      <charset val="204"/>
    </font>
    <font>
      <sz val="12"/>
      <color theme="1"/>
      <name val="Times New Roman"/>
      <family val="1"/>
      <charset val="204"/>
    </font>
    <font>
      <sz val="12"/>
      <color theme="1"/>
      <name val="times new roman"/>
      <family val="2"/>
      <charset val="204"/>
    </font>
    <font>
      <sz val="10"/>
      <color indexed="64"/>
      <name val="Times New Roman"/>
      <family val="1"/>
      <charset val="204"/>
    </font>
    <font>
      <sz val="11"/>
      <color indexed="64"/>
      <name val="Times New Roman"/>
      <family val="1"/>
      <charset val="204"/>
    </font>
    <font>
      <sz val="11"/>
      <color indexed="64"/>
      <name val="Arial"/>
      <family val="2"/>
      <charset val="204"/>
    </font>
    <font>
      <sz val="11"/>
      <color rgb="FF000000"/>
      <name val="Arial"/>
      <family val="2"/>
      <charset val="204"/>
    </font>
    <font>
      <sz val="12"/>
      <color indexed="64"/>
      <name val="Times New Roman"/>
      <family val="1"/>
      <charset val="204"/>
    </font>
    <font>
      <sz val="11"/>
      <color theme="1"/>
      <name val="Calibri"/>
      <family val="2"/>
      <charset val="204"/>
    </font>
    <font>
      <sz val="11"/>
      <color theme="1"/>
      <name val="Calibri"/>
      <family val="2"/>
      <charset val="204"/>
    </font>
    <font>
      <sz val="11"/>
      <name val="Arial Cyr"/>
    </font>
    <font>
      <sz val="11"/>
      <name val="Arial Cyr"/>
      <charset val="204"/>
    </font>
    <font>
      <sz val="11"/>
      <color indexed="20"/>
      <name val="Calibri"/>
      <family val="2"/>
      <charset val="204"/>
    </font>
    <font>
      <sz val="12"/>
      <color indexed="20"/>
      <name val="Times New Roman"/>
      <family val="1"/>
      <charset val="204"/>
    </font>
    <font>
      <sz val="12"/>
      <color indexed="20"/>
      <name val="Times New Roman"/>
      <family val="2"/>
      <charset val="204"/>
    </font>
    <font>
      <sz val="11"/>
      <color indexed="20"/>
      <name val="Calibri"/>
      <family val="2"/>
      <charset val="204"/>
    </font>
    <font>
      <i/>
      <sz val="11"/>
      <color indexed="23"/>
      <name val="Calibri"/>
      <family val="2"/>
      <charset val="204"/>
    </font>
    <font>
      <i/>
      <sz val="12"/>
      <color indexed="23"/>
      <name val="Times New Roman"/>
      <family val="1"/>
      <charset val="204"/>
    </font>
    <font>
      <i/>
      <sz val="12"/>
      <color indexed="23"/>
      <name val="Times New Roman"/>
      <family val="2"/>
      <charset val="204"/>
    </font>
    <font>
      <i/>
      <sz val="11"/>
      <color indexed="23"/>
      <name val="Calibri"/>
      <family val="2"/>
      <charset val="204"/>
    </font>
    <font>
      <sz val="11"/>
      <color indexed="52"/>
      <name val="Calibri"/>
      <family val="2"/>
      <charset val="204"/>
    </font>
    <font>
      <sz val="12"/>
      <color indexed="52"/>
      <name val="Times New Roman"/>
      <family val="1"/>
      <charset val="204"/>
    </font>
    <font>
      <sz val="12"/>
      <color indexed="52"/>
      <name val="Times New Roman"/>
      <family val="2"/>
      <charset val="204"/>
    </font>
    <font>
      <sz val="11"/>
      <color indexed="52"/>
      <name val="Calibri"/>
      <family val="2"/>
      <charset val="204"/>
    </font>
    <font>
      <sz val="10"/>
      <name val="Helv"/>
    </font>
    <font>
      <sz val="11"/>
      <color indexed="2"/>
      <name val="Calibri"/>
      <family val="2"/>
      <charset val="204"/>
    </font>
    <font>
      <sz val="12"/>
      <color indexed="2"/>
      <name val="Times New Roman"/>
      <family val="1"/>
      <charset val="204"/>
    </font>
    <font>
      <sz val="12"/>
      <color indexed="10"/>
      <name val="Times New Roman"/>
      <family val="2"/>
      <charset val="204"/>
    </font>
    <font>
      <sz val="11"/>
      <color indexed="10"/>
      <name val="Calibri"/>
      <family val="2"/>
      <charset val="204"/>
    </font>
    <font>
      <sz val="11"/>
      <color indexed="17"/>
      <name val="Calibri"/>
      <family val="2"/>
      <charset val="204"/>
    </font>
    <font>
      <sz val="11"/>
      <color indexed="17"/>
      <name val="Calibri"/>
      <family val="2"/>
      <charset val="204"/>
    </font>
    <font>
      <sz val="12"/>
      <color indexed="17"/>
      <name val="Times New Roman"/>
      <family val="1"/>
      <charset val="204"/>
    </font>
    <font>
      <sz val="12"/>
      <color indexed="17"/>
      <name val="Times New Roman"/>
      <family val="2"/>
      <charset val="204"/>
    </font>
    <font>
      <sz val="12"/>
      <color rgb="FFFF0000"/>
      <name val="Times New Roman"/>
      <family val="1"/>
      <charset val="204"/>
    </font>
    <font>
      <b/>
      <sz val="8"/>
      <color theme="1"/>
      <name val="Times New Roman"/>
      <family val="1"/>
      <charset val="204"/>
    </font>
    <font>
      <sz val="11"/>
      <color theme="1"/>
      <name val="Calibri"/>
      <family val="2"/>
      <charset val="204"/>
      <scheme val="minor"/>
    </font>
    <font>
      <sz val="11"/>
      <color theme="0"/>
      <name val="Times New Roman"/>
      <family val="1"/>
      <charset val="204"/>
    </font>
    <font>
      <sz val="8"/>
      <color indexed="64"/>
      <name val="Times New Roman"/>
      <family val="1"/>
      <charset val="204"/>
    </font>
    <font>
      <sz val="10"/>
      <name val="Arial"/>
    </font>
    <font>
      <sz val="9"/>
      <color indexed="81"/>
      <name val="Tahoma"/>
      <family val="2"/>
      <charset val="204"/>
    </font>
    <font>
      <b/>
      <sz val="9"/>
      <color indexed="81"/>
      <name val="Tahoma"/>
      <family val="2"/>
      <charset val="204"/>
    </font>
    <font>
      <sz val="11"/>
      <color theme="1"/>
      <name val="Calibri"/>
      <scheme val="minor"/>
    </font>
    <font>
      <sz val="10"/>
      <color rgb="FF000000"/>
      <name val="Arial"/>
    </font>
    <font>
      <b/>
      <sz val="10"/>
      <color rgb="FF000000"/>
      <name val="Arial"/>
    </font>
    <font>
      <b/>
      <sz val="11"/>
      <color rgb="FF000000"/>
      <name val="Arial"/>
    </font>
    <font>
      <sz val="11"/>
      <name val="Times New Roman"/>
    </font>
    <font>
      <sz val="11"/>
      <name val="Calibri"/>
    </font>
    <font>
      <b/>
      <sz val="11"/>
      <name val="Times New Roman"/>
    </font>
    <font>
      <sz val="8"/>
      <name val="Times New Roman"/>
    </font>
    <font>
      <sz val="12"/>
      <name val="Times New Roman"/>
    </font>
    <font>
      <sz val="12"/>
      <color indexed="64"/>
      <name val="Times New Roman"/>
    </font>
    <font>
      <i/>
      <sz val="12"/>
      <color theme="1"/>
      <name val="Times New Roman"/>
      <family val="1"/>
      <charset val="204"/>
    </font>
    <font>
      <sz val="12"/>
      <color theme="1"/>
      <name val="Times New Roman"/>
    </font>
    <font>
      <sz val="11"/>
      <color indexed="64"/>
      <name val="Calibri"/>
    </font>
    <font>
      <sz val="10"/>
      <name val="Times New Roman"/>
    </font>
    <font>
      <b/>
      <sz val="16"/>
      <name val="Times New Roman"/>
      <family val="1"/>
      <charset val="204"/>
    </font>
    <font>
      <b/>
      <sz val="14"/>
      <name val="Times New Roman"/>
      <family val="1"/>
      <charset val="204"/>
    </font>
    <font>
      <b/>
      <sz val="16"/>
      <name val="Arial"/>
      <family val="2"/>
      <charset val="204"/>
    </font>
    <font>
      <sz val="9"/>
      <name val="Times New Roman"/>
      <family val="1"/>
      <charset val="204"/>
    </font>
    <font>
      <b/>
      <sz val="12"/>
      <name val="Times New Roman"/>
      <family val="1"/>
      <charset val="204"/>
    </font>
    <font>
      <sz val="8"/>
      <name val="SimHei"/>
      <family val="3"/>
    </font>
    <font>
      <b/>
      <sz val="13"/>
      <name val="Times New Roman"/>
      <family val="1"/>
      <charset val="204"/>
    </font>
    <font>
      <b/>
      <i/>
      <sz val="11"/>
      <name val="Times New Roman"/>
      <family val="1"/>
      <charset val="204"/>
    </font>
    <font>
      <i/>
      <sz val="10"/>
      <name val="Times New Roman"/>
      <family val="1"/>
      <charset val="204"/>
    </font>
    <font>
      <b/>
      <i/>
      <sz val="14"/>
      <name val="Times New Roman"/>
      <family val="1"/>
      <charset val="204"/>
    </font>
    <font>
      <i/>
      <sz val="11"/>
      <name val="Times New Roman"/>
      <family val="1"/>
      <charset val="204"/>
    </font>
    <font>
      <sz val="13"/>
      <name val="Times New Roman"/>
      <family val="1"/>
      <charset val="204"/>
    </font>
    <font>
      <b/>
      <sz val="10"/>
      <name val="Times New Roman"/>
      <family val="1"/>
      <charset val="204"/>
    </font>
    <font>
      <b/>
      <u/>
      <sz val="11"/>
      <name val="Times New Roman"/>
      <family val="1"/>
      <charset val="204"/>
    </font>
    <font>
      <b/>
      <i/>
      <sz val="12"/>
      <name val="Times New Roman"/>
      <family val="1"/>
      <charset val="204"/>
    </font>
    <font>
      <i/>
      <sz val="12"/>
      <name val="Times New Roman"/>
      <family val="1"/>
      <charset val="204"/>
    </font>
    <font>
      <b/>
      <i/>
      <sz val="10"/>
      <name val="Times New Roman"/>
      <family val="1"/>
      <charset val="204"/>
    </font>
    <font>
      <b/>
      <i/>
      <sz val="13"/>
      <name val="Times New Roman"/>
      <family val="1"/>
      <charset val="204"/>
    </font>
    <font>
      <i/>
      <sz val="13"/>
      <name val="Times New Roman"/>
      <family val="1"/>
      <charset val="204"/>
    </font>
    <font>
      <sz val="12"/>
      <color rgb="FF000000"/>
      <name val="Times New Roman"/>
      <family val="1"/>
      <charset val="204"/>
    </font>
    <font>
      <sz val="8"/>
      <color indexed="8"/>
      <name val="Calibri"/>
      <family val="2"/>
      <charset val="204"/>
    </font>
    <font>
      <b/>
      <sz val="8"/>
      <color indexed="8"/>
      <name val="Times New Roman"/>
      <family val="1"/>
      <charset val="204"/>
    </font>
    <font>
      <sz val="10"/>
      <color theme="1"/>
      <name val="Calibri"/>
      <family val="2"/>
      <charset val="204"/>
      <scheme val="minor"/>
    </font>
    <font>
      <b/>
      <sz val="14"/>
      <color theme="1"/>
      <name val="Times New Roman"/>
      <family val="1"/>
      <charset val="204"/>
    </font>
    <font>
      <sz val="14"/>
      <color theme="1"/>
      <name val="Calibri"/>
      <family val="2"/>
      <charset val="204"/>
      <scheme val="minor"/>
    </font>
    <font>
      <strike/>
      <sz val="14"/>
      <color rgb="FFFF0000"/>
      <name val="Calibri"/>
      <family val="2"/>
      <charset val="204"/>
      <scheme val="minor"/>
    </font>
    <font>
      <strike/>
      <sz val="12"/>
      <color rgb="FFFF0000"/>
      <name val="Calibri"/>
      <family val="2"/>
      <charset val="204"/>
      <scheme val="minor"/>
    </font>
    <font>
      <b/>
      <sz val="12"/>
      <color rgb="FF000000"/>
      <name val="Arial"/>
    </font>
    <font>
      <b/>
      <sz val="11"/>
      <name val="Calibri"/>
      <family val="2"/>
      <scheme val="minor"/>
    </font>
    <font>
      <strike/>
      <sz val="10"/>
      <color rgb="FFFF0000"/>
      <name val="Times New Roman"/>
      <family val="1"/>
      <charset val="204"/>
    </font>
    <font>
      <strike/>
      <sz val="11"/>
      <color rgb="FFFF0000"/>
      <name val="Times New Roman"/>
      <family val="1"/>
      <charset val="204"/>
    </font>
    <font>
      <b/>
      <strike/>
      <sz val="11"/>
      <color rgb="FFFF0000"/>
      <name val="Times New Roman"/>
      <family val="1"/>
      <charset val="204"/>
    </font>
    <font>
      <b/>
      <sz val="16"/>
      <color rgb="FFFF0000"/>
      <name val="Times New Roman"/>
      <family val="1"/>
      <charset val="204"/>
    </font>
    <font>
      <strike/>
      <sz val="12"/>
      <color rgb="FFFF0000"/>
      <name val="Times New Roman"/>
      <family val="1"/>
      <charset val="204"/>
    </font>
    <font>
      <strike/>
      <sz val="11"/>
      <color rgb="FFFF0000"/>
      <name val="Calibri"/>
      <family val="2"/>
      <charset val="204"/>
      <scheme val="minor"/>
    </font>
    <font>
      <strike/>
      <sz val="11"/>
      <name val="Times New Roman"/>
      <family val="1"/>
      <charset val="204"/>
    </font>
    <font>
      <b/>
      <strike/>
      <sz val="11"/>
      <name val="Times New Roman"/>
      <family val="1"/>
      <charset val="204"/>
    </font>
    <font>
      <b/>
      <strike/>
      <sz val="11"/>
      <color indexed="8"/>
      <name val="Times New Roman"/>
      <family val="1"/>
      <charset val="204"/>
    </font>
    <font>
      <strike/>
      <sz val="11"/>
      <color theme="1"/>
      <name val="Times New Roman"/>
      <family val="1"/>
      <charset val="204"/>
    </font>
    <font>
      <strike/>
      <sz val="12"/>
      <color theme="1"/>
      <name val="Times New Roman"/>
      <family val="1"/>
      <charset val="204"/>
    </font>
    <font>
      <strike/>
      <sz val="12"/>
      <color indexed="8"/>
      <name val="Times New Roman"/>
      <family val="1"/>
      <charset val="204"/>
    </font>
    <font>
      <strike/>
      <sz val="11"/>
      <color theme="1"/>
      <name val="Calibri"/>
      <family val="2"/>
      <charset val="204"/>
      <scheme val="minor"/>
    </font>
    <font>
      <sz val="10"/>
      <color theme="0"/>
      <name val="Calibri"/>
      <family val="2"/>
      <charset val="204"/>
    </font>
    <font>
      <sz val="11"/>
      <color theme="0"/>
      <name val="Calibri"/>
      <family val="2"/>
      <charset val="204"/>
    </font>
    <font>
      <sz val="12"/>
      <color theme="0"/>
      <name val="Times New Roman"/>
      <family val="1"/>
      <charset val="204"/>
    </font>
    <font>
      <b/>
      <sz val="9"/>
      <name val="Times New Roman"/>
      <family val="1"/>
      <charset val="204"/>
    </font>
    <font>
      <i/>
      <sz val="9"/>
      <name val="Times New Roman"/>
      <family val="1"/>
      <charset val="204"/>
    </font>
    <font>
      <sz val="8"/>
      <color theme="0"/>
      <name val="Calibri"/>
      <family val="2"/>
      <charset val="204"/>
    </font>
    <font>
      <sz val="10"/>
      <color theme="0"/>
      <name val="Calibri"/>
      <family val="2"/>
      <charset val="204"/>
      <scheme val="minor"/>
    </font>
  </fonts>
  <fills count="152">
    <fill>
      <patternFill patternType="none"/>
    </fill>
    <fill>
      <patternFill patternType="gray125"/>
    </fill>
    <fill>
      <patternFill patternType="solid">
        <fgColor theme="0"/>
        <bgColor indexed="64"/>
      </patternFill>
    </fill>
    <fill>
      <patternFill patternType="solid">
        <fgColor indexed="65"/>
        <bgColor indexed="64"/>
      </patternFill>
    </fill>
    <fill>
      <patternFill patternType="solid">
        <fgColor rgb="FFFFFF00"/>
        <bgColor indexed="64"/>
      </patternFill>
    </fill>
    <fill>
      <patternFill patternType="solid">
        <fgColor rgb="FF92D050"/>
        <bgColor indexed="64"/>
      </patternFill>
    </fill>
    <fill>
      <patternFill patternType="solid">
        <fgColor theme="5" tint="0.39997558519241921"/>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5" tint="0.79998168889431442"/>
        <bgColor indexed="64"/>
      </patternFill>
    </fill>
    <fill>
      <patternFill patternType="solid">
        <fgColor rgb="FFB9CDE5"/>
      </patternFill>
    </fill>
    <fill>
      <patternFill patternType="solid">
        <fgColor rgb="FFDCE6F2"/>
      </patternFill>
    </fill>
    <fill>
      <patternFill patternType="solid">
        <fgColor rgb="FFF1F5F9"/>
      </patternFill>
    </fill>
    <fill>
      <patternFill patternType="solid">
        <fgColor rgb="FFFFD5AB"/>
      </patternFill>
    </fill>
    <fill>
      <patternFill patternType="solid">
        <fgColor theme="7" tint="0.39997558519241921"/>
        <bgColor indexed="64"/>
      </patternFill>
    </fill>
    <fill>
      <patternFill patternType="solid">
        <fgColor theme="4" tint="0.59999389629810485"/>
        <bgColor indexed="64"/>
      </patternFill>
    </fill>
    <fill>
      <patternFill patternType="solid">
        <fgColor rgb="FFFFC7CE"/>
      </patternFill>
    </fill>
    <fill>
      <patternFill patternType="solid">
        <fgColor indexed="65"/>
      </patternFill>
    </fill>
    <fill>
      <patternFill patternType="solid">
        <fgColor theme="4" tint="0.80001220740379042"/>
        <bgColor theme="4" tint="0.80001220740379042"/>
      </patternFill>
    </fill>
    <fill>
      <patternFill patternType="solid">
        <fgColor theme="4" tint="0.80001220740379042"/>
        <bgColor indexed="64"/>
      </patternFill>
    </fill>
    <fill>
      <patternFill patternType="solid">
        <fgColor indexed="45"/>
        <bgColor indexed="45"/>
      </patternFill>
    </fill>
    <fill>
      <patternFill patternType="solid">
        <fgColor theme="5" tint="0.80001220740379042"/>
        <bgColor theme="5" tint="0.80001220740379042"/>
      </patternFill>
    </fill>
    <fill>
      <patternFill patternType="solid">
        <fgColor theme="5" tint="0.80001220740379042"/>
        <bgColor indexed="64"/>
      </patternFill>
    </fill>
    <fill>
      <patternFill patternType="solid">
        <fgColor indexed="45"/>
        <bgColor indexed="64"/>
      </patternFill>
    </fill>
    <fill>
      <patternFill patternType="solid">
        <fgColor theme="6" tint="0.80001220740379042"/>
        <bgColor theme="6" tint="0.80001220740379042"/>
      </patternFill>
    </fill>
    <fill>
      <patternFill patternType="solid">
        <fgColor theme="6" tint="0.80001220740379042"/>
        <bgColor indexed="64"/>
      </patternFill>
    </fill>
    <fill>
      <patternFill patternType="solid">
        <fgColor theme="7" tint="0.80001220740379042"/>
        <bgColor theme="7" tint="0.80001220740379042"/>
      </patternFill>
    </fill>
    <fill>
      <patternFill patternType="solid">
        <fgColor theme="7" tint="0.80001220740379042"/>
        <bgColor indexed="64"/>
      </patternFill>
    </fill>
    <fill>
      <patternFill patternType="solid">
        <fgColor theme="8" tint="0.80001220740379042"/>
        <bgColor theme="8" tint="0.80001220740379042"/>
      </patternFill>
    </fill>
    <fill>
      <patternFill patternType="solid">
        <fgColor theme="8" tint="0.80001220740379042"/>
        <bgColor indexed="64"/>
      </patternFill>
    </fill>
    <fill>
      <patternFill patternType="solid">
        <fgColor theme="9" tint="0.80001220740379042"/>
        <bgColor theme="9" tint="0.80001220740379042"/>
      </patternFill>
    </fill>
    <fill>
      <patternFill patternType="solid">
        <fgColor theme="9" tint="0.80001220740379042"/>
        <bgColor indexed="64"/>
      </patternFill>
    </fill>
    <fill>
      <patternFill patternType="solid">
        <fgColor indexed="31"/>
        <bgColor indexed="31"/>
      </patternFill>
    </fill>
    <fill>
      <patternFill patternType="solid">
        <fgColor indexed="31"/>
      </patternFill>
    </fill>
    <fill>
      <patternFill patternType="solid">
        <fgColor indexed="45"/>
      </patternFill>
    </fill>
    <fill>
      <patternFill patternType="solid">
        <fgColor indexed="42"/>
        <bgColor indexed="42"/>
      </patternFill>
    </fill>
    <fill>
      <patternFill patternType="solid">
        <fgColor indexed="42"/>
      </patternFill>
    </fill>
    <fill>
      <patternFill patternType="solid">
        <fgColor indexed="46"/>
        <bgColor indexed="46"/>
      </patternFill>
    </fill>
    <fill>
      <patternFill patternType="solid">
        <fgColor indexed="46"/>
      </patternFill>
    </fill>
    <fill>
      <patternFill patternType="solid">
        <fgColor indexed="27"/>
        <bgColor indexed="27"/>
      </patternFill>
    </fill>
    <fill>
      <patternFill patternType="solid">
        <fgColor indexed="27"/>
      </patternFill>
    </fill>
    <fill>
      <patternFill patternType="solid">
        <fgColor indexed="47"/>
        <bgColor indexed="47"/>
      </patternFill>
    </fill>
    <fill>
      <patternFill patternType="solid">
        <fgColor indexed="47"/>
      </patternFill>
    </fill>
    <fill>
      <patternFill patternType="solid">
        <fgColor theme="4" tint="0.59999389629810485"/>
        <bgColor theme="4" tint="0.59999389629810485"/>
      </patternFill>
    </fill>
    <fill>
      <patternFill patternType="solid">
        <fgColor theme="5" tint="0.59999389629810485"/>
        <bgColor theme="5" tint="0.59999389629810485"/>
      </patternFill>
    </fill>
    <fill>
      <patternFill patternType="solid">
        <fgColor theme="5" tint="0.59999389629810485"/>
        <bgColor indexed="64"/>
      </patternFill>
    </fill>
    <fill>
      <patternFill patternType="solid">
        <fgColor indexed="3"/>
        <bgColor indexed="3"/>
      </patternFill>
    </fill>
    <fill>
      <patternFill patternType="solid">
        <fgColor theme="6" tint="0.59999389629810485"/>
        <bgColor theme="6" tint="0.59999389629810485"/>
      </patternFill>
    </fill>
    <fill>
      <patternFill patternType="solid">
        <fgColor indexed="11"/>
        <bgColor indexed="64"/>
      </patternFill>
    </fill>
    <fill>
      <patternFill patternType="solid">
        <fgColor theme="7" tint="0.59999389629810485"/>
        <bgColor theme="7" tint="0.59999389629810485"/>
      </patternFill>
    </fill>
    <fill>
      <patternFill patternType="solid">
        <fgColor theme="8" tint="0.59999389629810485"/>
        <bgColor theme="8" tint="0.59999389629810485"/>
      </patternFill>
    </fill>
    <fill>
      <patternFill patternType="solid">
        <fgColor theme="8" tint="0.59999389629810485"/>
        <bgColor indexed="64"/>
      </patternFill>
    </fill>
    <fill>
      <patternFill patternType="solid">
        <fgColor theme="9" tint="0.59999389629810485"/>
        <bgColor theme="9" tint="0.59999389629810485"/>
      </patternFill>
    </fill>
    <fill>
      <patternFill patternType="solid">
        <fgColor theme="9" tint="0.59999389629810485"/>
        <bgColor indexed="64"/>
      </patternFill>
    </fill>
    <fill>
      <patternFill patternType="solid">
        <fgColor indexed="44"/>
        <bgColor indexed="44"/>
      </patternFill>
    </fill>
    <fill>
      <patternFill patternType="solid">
        <fgColor indexed="44"/>
      </patternFill>
    </fill>
    <fill>
      <patternFill patternType="solid">
        <fgColor indexed="29"/>
        <bgColor indexed="29"/>
      </patternFill>
    </fill>
    <fill>
      <patternFill patternType="solid">
        <fgColor indexed="29"/>
      </patternFill>
    </fill>
    <fill>
      <patternFill patternType="solid">
        <fgColor indexed="11"/>
      </patternFill>
    </fill>
    <fill>
      <patternFill patternType="solid">
        <fgColor indexed="51"/>
        <bgColor indexed="51"/>
      </patternFill>
    </fill>
    <fill>
      <patternFill patternType="solid">
        <fgColor indexed="51"/>
      </patternFill>
    </fill>
    <fill>
      <patternFill patternType="solid">
        <fgColor theme="4" tint="0.40000610370189521"/>
        <bgColor theme="4" tint="0.40000610370189521"/>
      </patternFill>
    </fill>
    <fill>
      <patternFill patternType="solid">
        <fgColor theme="4" tint="0.40000610370189521"/>
        <bgColor indexed="64"/>
      </patternFill>
    </fill>
    <fill>
      <patternFill patternType="solid">
        <fgColor theme="5" tint="0.40000610370189521"/>
        <bgColor theme="5" tint="0.40000610370189521"/>
      </patternFill>
    </fill>
    <fill>
      <patternFill patternType="solid">
        <fgColor theme="5" tint="0.40000610370189521"/>
        <bgColor indexed="64"/>
      </patternFill>
    </fill>
    <fill>
      <patternFill patternType="solid">
        <fgColor theme="6" tint="0.40000610370189521"/>
        <bgColor theme="6" tint="0.40000610370189521"/>
      </patternFill>
    </fill>
    <fill>
      <patternFill patternType="solid">
        <fgColor theme="6" tint="0.40000610370189521"/>
        <bgColor indexed="64"/>
      </patternFill>
    </fill>
    <fill>
      <patternFill patternType="solid">
        <fgColor theme="7" tint="0.40000610370189521"/>
        <bgColor theme="7" tint="0.40000610370189521"/>
      </patternFill>
    </fill>
    <fill>
      <patternFill patternType="solid">
        <fgColor theme="7" tint="0.40000610370189521"/>
        <bgColor indexed="64"/>
      </patternFill>
    </fill>
    <fill>
      <patternFill patternType="solid">
        <fgColor theme="8" tint="0.40000610370189521"/>
        <bgColor theme="8" tint="0.40000610370189521"/>
      </patternFill>
    </fill>
    <fill>
      <patternFill patternType="solid">
        <fgColor theme="8" tint="0.40000610370189521"/>
        <bgColor indexed="64"/>
      </patternFill>
    </fill>
    <fill>
      <patternFill patternType="solid">
        <fgColor theme="9" tint="0.40000610370189521"/>
        <bgColor theme="9" tint="0.40000610370189521"/>
      </patternFill>
    </fill>
    <fill>
      <patternFill patternType="solid">
        <fgColor theme="9" tint="0.40000610370189521"/>
        <bgColor indexed="64"/>
      </patternFill>
    </fill>
    <fill>
      <patternFill patternType="solid">
        <fgColor indexed="30"/>
        <bgColor indexed="30"/>
      </patternFill>
    </fill>
    <fill>
      <patternFill patternType="solid">
        <fgColor indexed="30"/>
      </patternFill>
    </fill>
    <fill>
      <patternFill patternType="solid">
        <fgColor indexed="20"/>
        <bgColor indexed="20"/>
      </patternFill>
    </fill>
    <fill>
      <patternFill patternType="solid">
        <fgColor indexed="36"/>
      </patternFill>
    </fill>
    <fill>
      <patternFill patternType="solid">
        <fgColor indexed="49"/>
        <bgColor indexed="49"/>
      </patternFill>
    </fill>
    <fill>
      <patternFill patternType="solid">
        <fgColor indexed="49"/>
      </patternFill>
    </fill>
    <fill>
      <patternFill patternType="solid">
        <fgColor indexed="52"/>
        <bgColor indexed="52"/>
      </patternFill>
    </fill>
    <fill>
      <patternFill patternType="solid">
        <fgColor indexed="52"/>
      </patternFill>
    </fill>
    <fill>
      <patternFill patternType="solid">
        <fgColor theme="4"/>
        <bgColor theme="4"/>
      </patternFill>
    </fill>
    <fill>
      <patternFill patternType="solid">
        <fgColor theme="4"/>
        <bgColor indexed="64"/>
      </patternFill>
    </fill>
    <fill>
      <patternFill patternType="solid">
        <fgColor theme="5"/>
        <bgColor theme="5"/>
      </patternFill>
    </fill>
    <fill>
      <patternFill patternType="solid">
        <fgColor theme="5"/>
        <bgColor indexed="64"/>
      </patternFill>
    </fill>
    <fill>
      <patternFill patternType="solid">
        <fgColor theme="6"/>
        <bgColor theme="6"/>
      </patternFill>
    </fill>
    <fill>
      <patternFill patternType="solid">
        <fgColor theme="6"/>
        <bgColor indexed="64"/>
      </patternFill>
    </fill>
    <fill>
      <patternFill patternType="solid">
        <fgColor theme="7"/>
        <bgColor theme="7"/>
      </patternFill>
    </fill>
    <fill>
      <patternFill patternType="solid">
        <fgColor theme="7"/>
        <bgColor indexed="64"/>
      </patternFill>
    </fill>
    <fill>
      <patternFill patternType="solid">
        <fgColor theme="8"/>
        <bgColor theme="8"/>
      </patternFill>
    </fill>
    <fill>
      <patternFill patternType="solid">
        <fgColor theme="8"/>
        <bgColor indexed="64"/>
      </patternFill>
    </fill>
    <fill>
      <patternFill patternType="solid">
        <fgColor theme="9"/>
        <bgColor theme="9"/>
      </patternFill>
    </fill>
    <fill>
      <patternFill patternType="solid">
        <fgColor theme="9"/>
        <bgColor indexed="64"/>
      </patternFill>
    </fill>
    <fill>
      <patternFill patternType="solid">
        <fgColor rgb="FFFFC7CE"/>
        <bgColor rgb="FFFFC7CE"/>
      </patternFill>
    </fill>
    <fill>
      <patternFill patternType="solid">
        <fgColor rgb="FFFFC7CE"/>
        <bgColor indexed="64"/>
      </patternFill>
    </fill>
    <fill>
      <patternFill patternType="solid">
        <fgColor rgb="FFF2F2F2"/>
        <bgColor rgb="FFF2F2F2"/>
      </patternFill>
    </fill>
    <fill>
      <patternFill patternType="solid">
        <fgColor rgb="FFF2F2F2"/>
        <bgColor indexed="64"/>
      </patternFill>
    </fill>
    <fill>
      <patternFill patternType="solid">
        <fgColor rgb="FFA5A5A5"/>
        <bgColor rgb="FFA5A5A5"/>
      </patternFill>
    </fill>
    <fill>
      <patternFill patternType="solid">
        <fgColor rgb="FFA5A5A5"/>
        <bgColor indexed="64"/>
      </patternFill>
    </fill>
    <fill>
      <patternFill patternType="solid">
        <fgColor rgb="FFFFD5AB"/>
        <bgColor rgb="FFFFD5AB"/>
      </patternFill>
    </fill>
    <fill>
      <patternFill patternType="solid">
        <fgColor rgb="FFB9CDE5"/>
        <bgColor rgb="FFB9CDE5"/>
      </patternFill>
    </fill>
    <fill>
      <patternFill patternType="solid">
        <fgColor rgb="FFF1F5F9"/>
        <bgColor rgb="FFF1F5F9"/>
      </patternFill>
    </fill>
    <fill>
      <patternFill patternType="solid">
        <fgColor rgb="FFDCE6F2"/>
        <bgColor rgb="FFDCE6F2"/>
      </patternFill>
    </fill>
    <fill>
      <patternFill patternType="solid">
        <fgColor rgb="FFC6EFCE"/>
        <bgColor rgb="FFC6EFCE"/>
      </patternFill>
    </fill>
    <fill>
      <patternFill patternType="solid">
        <fgColor rgb="FFC6EFCE"/>
        <bgColor indexed="64"/>
      </patternFill>
    </fill>
    <fill>
      <patternFill patternType="solid">
        <fgColor rgb="FFFFCC99"/>
        <bgColor indexed="64"/>
      </patternFill>
    </fill>
    <fill>
      <patternFill patternType="solid">
        <fgColor rgb="FFFFEB9C"/>
        <bgColor rgb="FFFFEB9C"/>
      </patternFill>
    </fill>
    <fill>
      <patternFill patternType="solid">
        <fgColor rgb="FFFFEB9C"/>
        <bgColor indexed="64"/>
      </patternFill>
    </fill>
    <fill>
      <patternFill patternType="solid">
        <fgColor indexed="26"/>
        <bgColor indexed="26"/>
      </patternFill>
    </fill>
    <fill>
      <patternFill patternType="solid">
        <fgColor rgb="FFFFFFCC"/>
        <bgColor indexed="64"/>
      </patternFill>
    </fill>
    <fill>
      <patternFill patternType="solid">
        <fgColor rgb="FFCCFFFF"/>
      </patternFill>
    </fill>
    <fill>
      <patternFill patternType="solid">
        <fgColor indexed="62"/>
        <bgColor indexed="62"/>
      </patternFill>
    </fill>
    <fill>
      <patternFill patternType="solid">
        <fgColor indexed="62"/>
        <bgColor indexed="56"/>
      </patternFill>
    </fill>
    <fill>
      <patternFill patternType="solid">
        <fgColor indexed="62"/>
      </patternFill>
    </fill>
    <fill>
      <patternFill patternType="solid">
        <fgColor indexed="2"/>
        <bgColor indexed="2"/>
      </patternFill>
    </fill>
    <fill>
      <patternFill patternType="solid">
        <fgColor indexed="2"/>
        <bgColor indexed="60"/>
      </patternFill>
    </fill>
    <fill>
      <patternFill patternType="solid">
        <fgColor indexed="10"/>
        <bgColor indexed="60"/>
      </patternFill>
    </fill>
    <fill>
      <patternFill patternType="solid">
        <fgColor indexed="10"/>
      </patternFill>
    </fill>
    <fill>
      <patternFill patternType="solid">
        <fgColor indexed="57"/>
        <bgColor indexed="57"/>
      </patternFill>
    </fill>
    <fill>
      <patternFill patternType="solid">
        <fgColor indexed="57"/>
        <bgColor indexed="21"/>
      </patternFill>
    </fill>
    <fill>
      <patternFill patternType="solid">
        <fgColor indexed="57"/>
      </patternFill>
    </fill>
    <fill>
      <patternFill patternType="solid">
        <fgColor indexed="20"/>
        <bgColor indexed="36"/>
      </patternFill>
    </fill>
    <fill>
      <patternFill patternType="solid">
        <fgColor indexed="49"/>
        <bgColor indexed="40"/>
      </patternFill>
    </fill>
    <fill>
      <patternFill patternType="solid">
        <fgColor indexed="53"/>
        <bgColor indexed="53"/>
      </patternFill>
    </fill>
    <fill>
      <patternFill patternType="solid">
        <fgColor indexed="53"/>
        <bgColor indexed="52"/>
      </patternFill>
    </fill>
    <fill>
      <patternFill patternType="solid">
        <fgColor indexed="53"/>
      </patternFill>
    </fill>
    <fill>
      <patternFill patternType="solid">
        <fgColor indexed="47"/>
        <bgColor indexed="22"/>
      </patternFill>
    </fill>
    <fill>
      <patternFill patternType="solid">
        <fgColor indexed="22"/>
        <bgColor indexed="22"/>
      </patternFill>
    </fill>
    <fill>
      <patternFill patternType="solid">
        <fgColor indexed="22"/>
        <bgColor indexed="31"/>
      </patternFill>
    </fill>
    <fill>
      <patternFill patternType="solid">
        <fgColor indexed="22"/>
      </patternFill>
    </fill>
    <fill>
      <patternFill patternType="solid">
        <fgColor indexed="55"/>
        <bgColor indexed="55"/>
      </patternFill>
    </fill>
    <fill>
      <patternFill patternType="solid">
        <fgColor indexed="55"/>
        <bgColor indexed="23"/>
      </patternFill>
    </fill>
    <fill>
      <patternFill patternType="solid">
        <fgColor indexed="55"/>
      </patternFill>
    </fill>
    <fill>
      <patternFill patternType="solid">
        <fgColor indexed="43"/>
        <bgColor indexed="43"/>
      </patternFill>
    </fill>
    <fill>
      <patternFill patternType="solid">
        <fgColor indexed="43"/>
        <bgColor indexed="26"/>
      </patternFill>
    </fill>
    <fill>
      <patternFill patternType="solid">
        <fgColor indexed="43"/>
      </patternFill>
    </fill>
    <fill>
      <patternFill patternType="solid">
        <fgColor indexed="45"/>
        <bgColor indexed="29"/>
      </patternFill>
    </fill>
    <fill>
      <patternFill patternType="solid">
        <fgColor indexed="26"/>
      </patternFill>
    </fill>
    <fill>
      <patternFill patternType="solid">
        <fgColor indexed="26"/>
        <bgColor indexed="9"/>
      </patternFill>
    </fill>
    <fill>
      <patternFill patternType="solid">
        <fgColor indexed="42"/>
        <bgColor indexed="27"/>
      </patternFill>
    </fill>
    <fill>
      <patternFill patternType="solid">
        <fgColor theme="4" tint="0.79998168889431442"/>
        <bgColor indexed="64"/>
      </patternFill>
    </fill>
    <fill>
      <patternFill patternType="solid">
        <fgColor rgb="FFCC66FF"/>
        <bgColor indexed="64"/>
      </patternFill>
    </fill>
    <fill>
      <patternFill patternType="solid">
        <fgColor theme="0"/>
        <bgColor theme="0"/>
      </patternFill>
    </fill>
    <fill>
      <patternFill patternType="solid">
        <fgColor theme="0"/>
        <bgColor indexed="5"/>
      </patternFill>
    </fill>
    <fill>
      <patternFill patternType="solid">
        <fgColor theme="0"/>
        <bgColor theme="4" tint="0.39997558519241921"/>
      </patternFill>
    </fill>
    <fill>
      <patternFill patternType="solid">
        <fgColor rgb="FFFF0000"/>
        <bgColor indexed="64"/>
      </patternFill>
    </fill>
    <fill>
      <patternFill patternType="solid">
        <fgColor rgb="FFFF0000"/>
        <bgColor theme="0"/>
      </patternFill>
    </fill>
    <fill>
      <patternFill patternType="solid">
        <fgColor rgb="FFFF0000"/>
        <bgColor theme="4" tint="0.39997558519241921"/>
      </patternFill>
    </fill>
    <fill>
      <patternFill patternType="solid">
        <fgColor indexed="5"/>
        <bgColor indexed="5"/>
      </patternFill>
    </fill>
    <fill>
      <patternFill patternType="solid">
        <fgColor rgb="FF00B0F0"/>
        <bgColor indexed="64"/>
      </patternFill>
    </fill>
    <fill>
      <patternFill patternType="solid">
        <fgColor theme="7" tint="0.79998168889431442"/>
        <bgColor indexed="64"/>
      </patternFill>
    </fill>
    <fill>
      <patternFill patternType="solid">
        <fgColor theme="9" tint="0.79998168889431442"/>
        <bgColor indexed="64"/>
      </patternFill>
    </fill>
  </fills>
  <borders count="6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rgb="FFD9D9D9"/>
      </left>
      <right style="thin">
        <color rgb="FFD9D9D9"/>
      </right>
      <top style="thin">
        <color rgb="FFD9D9D9"/>
      </top>
      <bottom style="thin">
        <color rgb="FFA6A6A6"/>
      </bottom>
      <diagonal/>
    </border>
    <border>
      <left style="thin">
        <color rgb="FFD9D9D9"/>
      </left>
      <right style="thin">
        <color rgb="FFA6A6A6"/>
      </right>
      <top style="thin">
        <color rgb="FFD9D9D9"/>
      </top>
      <bottom style="thin">
        <color rgb="FFA6A6A6"/>
      </bottom>
      <diagonal/>
    </border>
    <border>
      <left style="thin">
        <color rgb="FF95B3D7"/>
      </left>
      <right/>
      <top/>
      <bottom style="medium">
        <color rgb="FF95B3D7"/>
      </bottom>
      <diagonal/>
    </border>
    <border>
      <left/>
      <right/>
      <top/>
      <bottom style="medium">
        <color rgb="FF95B3D7"/>
      </bottom>
      <diagonal/>
    </border>
    <border>
      <left/>
      <right style="thin">
        <color rgb="FF95B3D7"/>
      </right>
      <top/>
      <bottom style="medium">
        <color rgb="FF95B3D7"/>
      </bottom>
      <diagonal/>
    </border>
    <border>
      <left style="thin">
        <color rgb="FFB9CDE5"/>
      </left>
      <right style="thin">
        <color rgb="FFD9D9D9"/>
      </right>
      <top/>
      <bottom style="thin">
        <color rgb="FFB9CDE5"/>
      </bottom>
      <diagonal/>
    </border>
    <border>
      <left style="thin">
        <color rgb="FFD9D9D9"/>
      </left>
      <right style="thin">
        <color rgb="FFD9D9D9"/>
      </right>
      <top/>
      <bottom style="thin">
        <color rgb="FFB9CDE5"/>
      </bottom>
      <diagonal/>
    </border>
    <border>
      <left style="thin">
        <color rgb="FFD9D9D9"/>
      </left>
      <right style="thin">
        <color rgb="FFB9CDE5"/>
      </right>
      <top/>
      <bottom style="thin">
        <color rgb="FFB9CDE5"/>
      </bottom>
      <diagonal/>
    </border>
    <border>
      <left style="thin">
        <color rgb="FFBFBFBF"/>
      </left>
      <right style="thin">
        <color rgb="FFD9D9D9"/>
      </right>
      <top/>
      <bottom style="thin">
        <color rgb="FFD9D9D9"/>
      </bottom>
      <diagonal/>
    </border>
    <border>
      <left style="thin">
        <color rgb="FFD9D9D9"/>
      </left>
      <right style="thin">
        <color rgb="FFD9D9D9"/>
      </right>
      <top/>
      <bottom style="thin">
        <color rgb="FFD9D9D9"/>
      </bottom>
      <diagonal/>
    </border>
    <border>
      <left style="thin">
        <color rgb="FFD9D9D9"/>
      </left>
      <right style="thin">
        <color rgb="FFBFBFBF"/>
      </right>
      <top/>
      <bottom style="thin">
        <color rgb="FFD9D9D9"/>
      </bottom>
      <diagonal/>
    </border>
    <border>
      <left/>
      <right/>
      <top style="medium">
        <color rgb="FFFAC090"/>
      </top>
      <bottom style="medium">
        <color rgb="FFFAC090"/>
      </bottom>
      <diagonal/>
    </border>
    <border>
      <left/>
      <right style="thin">
        <color rgb="FFFAC090"/>
      </right>
      <top style="medium">
        <color rgb="FFFAC090"/>
      </top>
      <bottom style="medium">
        <color rgb="FFFAC090"/>
      </bottom>
      <diagonal/>
    </border>
    <border>
      <left/>
      <right/>
      <top style="medium">
        <color rgb="FFFAC090"/>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000000"/>
      </left>
      <right style="thin">
        <color rgb="FF000000"/>
      </right>
      <top style="thin">
        <color rgb="FF000000"/>
      </top>
      <bottom style="thin">
        <color rgb="FF000000"/>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medium">
        <color indexed="64"/>
      </left>
      <right/>
      <top style="thin">
        <color indexed="64"/>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diagonal/>
    </border>
    <border>
      <left/>
      <right/>
      <top style="thin">
        <color auto="1"/>
      </top>
      <bottom/>
      <diagonal/>
    </border>
    <border>
      <left style="thin">
        <color rgb="FFA6A6A6"/>
      </left>
      <right style="thin">
        <color rgb="FFD9D9D9"/>
      </right>
      <top style="thin">
        <color rgb="FFA6A6A6"/>
      </top>
      <bottom style="thin">
        <color rgb="FFD9D9D9"/>
      </bottom>
      <diagonal/>
    </border>
    <border>
      <left style="thin">
        <color rgb="FFD9D9D9"/>
      </left>
      <right style="thin">
        <color rgb="FFD9D9D9"/>
      </right>
      <top style="thin">
        <color rgb="FFA6A6A6"/>
      </top>
      <bottom style="thin">
        <color rgb="FFD9D9D9"/>
      </bottom>
      <diagonal/>
    </border>
    <border>
      <left style="thin">
        <color rgb="FFD9D9D9"/>
      </left>
      <right style="thin">
        <color rgb="FFA6A6A6"/>
      </right>
      <top style="thin">
        <color rgb="FFA6A6A6"/>
      </top>
      <bottom style="thin">
        <color rgb="FFD9D9D9"/>
      </bottom>
      <diagonal/>
    </border>
    <border>
      <left style="thin">
        <color rgb="FFA6A6A6"/>
      </left>
      <right style="thin">
        <color rgb="FFD9D9D9"/>
      </right>
      <top style="thin">
        <color rgb="FFD9D9D9"/>
      </top>
      <bottom style="thin">
        <color rgb="FFA6A6A6"/>
      </bottom>
      <diagonal/>
    </border>
    <border>
      <left style="thin">
        <color rgb="FFBFBFBF"/>
      </left>
      <right/>
      <top style="thin">
        <color rgb="FFBFBFBF"/>
      </top>
      <bottom style="medium">
        <color rgb="FFFAC090"/>
      </bottom>
      <diagonal/>
    </border>
    <border>
      <left/>
      <right/>
      <top style="thin">
        <color rgb="FFBFBFBF"/>
      </top>
      <bottom style="medium">
        <color rgb="FFFAC090"/>
      </bottom>
      <diagonal/>
    </border>
    <border>
      <left/>
      <right style="thin">
        <color rgb="FFBFBFBF"/>
      </right>
      <top style="thin">
        <color rgb="FFBFBFBF"/>
      </top>
      <bottom style="medium">
        <color rgb="FFFAC090"/>
      </bottom>
      <diagonal/>
    </border>
    <border>
      <left style="thin">
        <color rgb="FFFAC090"/>
      </left>
      <right/>
      <top style="medium">
        <color rgb="FFFAC090"/>
      </top>
      <bottom style="medium">
        <color rgb="FFFAC090"/>
      </bottom>
      <diagonal/>
    </border>
    <border>
      <left style="thin">
        <color indexed="64"/>
      </left>
      <right/>
      <top style="thin">
        <color indexed="64"/>
      </top>
      <bottom/>
      <diagonal/>
    </border>
  </borders>
  <cellStyleXfs count="23936">
    <xf numFmtId="0" fontId="0" fillId="0" borderId="0"/>
    <xf numFmtId="164" fontId="8" fillId="0" borderId="0" applyFont="0" applyFill="0" applyBorder="0" applyAlignment="0" applyProtection="0"/>
    <xf numFmtId="0" fontId="12" fillId="3" borderId="0"/>
    <xf numFmtId="9" fontId="8" fillId="0" borderId="0" applyFont="0" applyFill="0" applyBorder="0" applyAlignment="0" applyProtection="0"/>
    <xf numFmtId="0" fontId="13" fillId="0" borderId="0"/>
    <xf numFmtId="0" fontId="14" fillId="0" borderId="0"/>
    <xf numFmtId="0" fontId="20" fillId="0" borderId="0"/>
    <xf numFmtId="168" fontId="20" fillId="0" borderId="0" applyFont="0" applyFill="0" applyBorder="0" applyAlignment="0" applyProtection="0"/>
    <xf numFmtId="0" fontId="23" fillId="0" borderId="0"/>
    <xf numFmtId="168" fontId="23" fillId="0" borderId="0" applyFont="0" applyFill="0" applyBorder="0" applyAlignment="0" applyProtection="0"/>
    <xf numFmtId="0" fontId="30" fillId="0" borderId="0"/>
    <xf numFmtId="0" fontId="31" fillId="0" borderId="0">
      <alignment horizontal="right" vertical="top" wrapText="1"/>
    </xf>
    <xf numFmtId="49" fontId="32" fillId="0" borderId="13">
      <alignment horizontal="center" vertical="center" wrapText="1"/>
    </xf>
    <xf numFmtId="0" fontId="33" fillId="10" borderId="15">
      <alignment horizontal="left" vertical="top" wrapText="1"/>
    </xf>
    <xf numFmtId="49" fontId="33" fillId="10" borderId="16">
      <alignment horizontal="center" vertical="top" wrapText="1" shrinkToFit="1"/>
    </xf>
    <xf numFmtId="0" fontId="33" fillId="10" borderId="16">
      <alignment horizontal="left" vertical="top" wrapText="1"/>
    </xf>
    <xf numFmtId="4" fontId="33" fillId="10" borderId="16">
      <alignment horizontal="right" vertical="top" wrapText="1" shrinkToFit="1"/>
    </xf>
    <xf numFmtId="0" fontId="33" fillId="10" borderId="17">
      <alignment horizontal="right" vertical="top" shrinkToFit="1"/>
    </xf>
    <xf numFmtId="0" fontId="32" fillId="11" borderId="18">
      <alignment horizontal="left" vertical="top" wrapText="1"/>
    </xf>
    <xf numFmtId="49" fontId="32" fillId="11" borderId="19">
      <alignment horizontal="center" vertical="top" shrinkToFit="1"/>
    </xf>
    <xf numFmtId="0" fontId="32" fillId="11" borderId="19">
      <alignment horizontal="left" vertical="top" wrapText="1"/>
    </xf>
    <xf numFmtId="4" fontId="32" fillId="11" borderId="19">
      <alignment horizontal="right" vertical="top" shrinkToFit="1"/>
    </xf>
    <xf numFmtId="0" fontId="32" fillId="11" borderId="20">
      <alignment horizontal="right" vertical="top" shrinkToFit="1"/>
    </xf>
    <xf numFmtId="0" fontId="32" fillId="12" borderId="21">
      <alignment horizontal="left" vertical="top" wrapText="1"/>
    </xf>
    <xf numFmtId="49" fontId="32" fillId="12" borderId="22">
      <alignment horizontal="center" vertical="top" shrinkToFit="1"/>
    </xf>
    <xf numFmtId="0" fontId="32" fillId="12" borderId="22">
      <alignment horizontal="left" vertical="top" wrapText="1"/>
    </xf>
    <xf numFmtId="4" fontId="32" fillId="12" borderId="22">
      <alignment horizontal="right" vertical="top" shrinkToFit="1"/>
    </xf>
    <xf numFmtId="0" fontId="32" fillId="12" borderId="23">
      <alignment horizontal="right" vertical="top" shrinkToFit="1"/>
    </xf>
    <xf numFmtId="0" fontId="34" fillId="0" borderId="21">
      <alignment horizontal="left" vertical="top" wrapText="1"/>
    </xf>
    <xf numFmtId="49" fontId="31" fillId="0" borderId="22">
      <alignment horizontal="center" vertical="top" shrinkToFit="1"/>
    </xf>
    <xf numFmtId="0" fontId="31" fillId="0" borderId="22">
      <alignment horizontal="left" vertical="top" wrapText="1"/>
    </xf>
    <xf numFmtId="4" fontId="31" fillId="0" borderId="22">
      <alignment horizontal="right" vertical="top" shrinkToFit="1"/>
    </xf>
    <xf numFmtId="0" fontId="31" fillId="0" borderId="23">
      <alignment horizontal="right" vertical="top" shrinkToFit="1"/>
    </xf>
    <xf numFmtId="0" fontId="34" fillId="0" borderId="21">
      <alignment horizontal="left" vertical="top" wrapText="1"/>
    </xf>
    <xf numFmtId="49" fontId="31" fillId="0" borderId="22">
      <alignment horizontal="center" vertical="top" shrinkToFit="1"/>
    </xf>
    <xf numFmtId="0" fontId="31" fillId="0" borderId="22">
      <alignment horizontal="left" vertical="top" wrapText="1"/>
    </xf>
    <xf numFmtId="4" fontId="31" fillId="0" borderId="22">
      <alignment horizontal="right" vertical="top" shrinkToFit="1"/>
    </xf>
    <xf numFmtId="4" fontId="33" fillId="13" borderId="24">
      <alignment horizontal="right" shrinkToFit="1"/>
    </xf>
    <xf numFmtId="0" fontId="35" fillId="0" borderId="0">
      <alignment vertical="top" wrapText="1"/>
    </xf>
    <xf numFmtId="0" fontId="36" fillId="0" borderId="0">
      <alignment vertical="top" wrapText="1"/>
    </xf>
    <xf numFmtId="0" fontId="55" fillId="0" borderId="0"/>
    <xf numFmtId="0" fontId="57" fillId="17" borderId="0"/>
    <xf numFmtId="0" fontId="55" fillId="18" borderId="0" applyNumberFormat="0" applyBorder="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55" fillId="18" borderId="0" applyNumberFormat="0" applyBorder="0" applyProtection="0"/>
    <xf numFmtId="0" fontId="55" fillId="20" borderId="0" applyNumberFormat="0" applyBorder="0" applyProtection="0"/>
    <xf numFmtId="0" fontId="55" fillId="21" borderId="0" applyNumberFormat="0" applyBorder="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55" fillId="21" borderId="0" applyNumberFormat="0" applyBorder="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55" fillId="20" borderId="0" applyNumberFormat="0" applyBorder="0" applyProtection="0"/>
    <xf numFmtId="0" fontId="55" fillId="24" borderId="0" applyNumberFormat="0" applyBorder="0" applyProtection="0"/>
    <xf numFmtId="0" fontId="24" fillId="25" borderId="0" applyNumberFormat="0" applyBorder="0" applyAlignment="0" applyProtection="0"/>
    <xf numFmtId="0" fontId="24" fillId="25" borderId="0" applyNumberFormat="0" applyBorder="0" applyAlignment="0" applyProtection="0"/>
    <xf numFmtId="0" fontId="24" fillId="25" borderId="0" applyNumberFormat="0" applyBorder="0" applyAlignment="0" applyProtection="0"/>
    <xf numFmtId="0" fontId="24" fillId="25" borderId="0" applyNumberFormat="0" applyBorder="0" applyAlignment="0" applyProtection="0"/>
    <xf numFmtId="0" fontId="24" fillId="25" borderId="0" applyNumberFormat="0" applyBorder="0" applyAlignment="0" applyProtection="0"/>
    <xf numFmtId="0" fontId="24" fillId="25" borderId="0" applyNumberFormat="0" applyBorder="0" applyAlignment="0" applyProtection="0"/>
    <xf numFmtId="0" fontId="24" fillId="25" borderId="0" applyNumberFormat="0" applyBorder="0" applyAlignment="0" applyProtection="0"/>
    <xf numFmtId="0" fontId="55" fillId="24" borderId="0" applyNumberFormat="0" applyBorder="0" applyProtection="0"/>
    <xf numFmtId="0" fontId="55" fillId="26" borderId="0" applyNumberFormat="0" applyBorder="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55" fillId="26" borderId="0" applyNumberFormat="0" applyBorder="0" applyProtection="0"/>
    <xf numFmtId="0" fontId="55" fillId="28" borderId="0" applyNumberFormat="0" applyBorder="0" applyProtection="0"/>
    <xf numFmtId="0" fontId="24" fillId="29" borderId="0" applyNumberFormat="0" applyBorder="0" applyAlignment="0" applyProtection="0"/>
    <xf numFmtId="0" fontId="24" fillId="29" borderId="0" applyNumberFormat="0" applyBorder="0" applyAlignment="0" applyProtection="0"/>
    <xf numFmtId="0" fontId="24" fillId="29" borderId="0" applyNumberFormat="0" applyBorder="0" applyAlignment="0" applyProtection="0"/>
    <xf numFmtId="0" fontId="24" fillId="29" borderId="0" applyNumberFormat="0" applyBorder="0" applyAlignment="0" applyProtection="0"/>
    <xf numFmtId="0" fontId="24" fillId="29" borderId="0" applyNumberFormat="0" applyBorder="0" applyAlignment="0" applyProtection="0"/>
    <xf numFmtId="0" fontId="24" fillId="29" borderId="0" applyNumberFormat="0" applyBorder="0" applyAlignment="0" applyProtection="0"/>
    <xf numFmtId="0" fontId="24" fillId="29" borderId="0" applyNumberFormat="0" applyBorder="0" applyAlignment="0" applyProtection="0"/>
    <xf numFmtId="0" fontId="55" fillId="28" borderId="0" applyNumberFormat="0" applyBorder="0" applyProtection="0"/>
    <xf numFmtId="0" fontId="55" fillId="30" borderId="0" applyNumberFormat="0" applyBorder="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55" fillId="30" borderId="0" applyNumberFormat="0" applyBorder="0" applyProtection="0"/>
    <xf numFmtId="0" fontId="59" fillId="32" borderId="0" applyNumberFormat="0" applyBorder="0" applyProtection="0"/>
    <xf numFmtId="0" fontId="59" fillId="32" borderId="0" applyNumberFormat="0" applyBorder="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59" fillId="32" borderId="0" applyNumberFormat="0" applyBorder="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59" fillId="32" borderId="0" applyNumberFormat="0" applyBorder="0" applyProtection="0"/>
    <xf numFmtId="0" fontId="59" fillId="32" borderId="0" applyNumberFormat="0" applyBorder="0" applyProtection="0"/>
    <xf numFmtId="0" fontId="59" fillId="20" borderId="0" applyNumberFormat="0" applyBorder="0" applyProtection="0"/>
    <xf numFmtId="0" fontId="59" fillId="20" borderId="0" applyNumberFormat="0" applyBorder="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59" fillId="20" borderId="0" applyNumberFormat="0" applyBorder="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59" fillId="20" borderId="0" applyNumberFormat="0" applyBorder="0" applyProtection="0"/>
    <xf numFmtId="0" fontId="59" fillId="20" borderId="0" applyNumberFormat="0" applyBorder="0" applyProtection="0"/>
    <xf numFmtId="0" fontId="59" fillId="35" borderId="0" applyNumberFormat="0" applyBorder="0" applyProtection="0"/>
    <xf numFmtId="0" fontId="59" fillId="35" borderId="0" applyNumberFormat="0" applyBorder="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59" fillId="35" borderId="0" applyNumberFormat="0" applyBorder="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59" fillId="35" borderId="0" applyNumberFormat="0" applyBorder="0" applyProtection="0"/>
    <xf numFmtId="0" fontId="59" fillId="35" borderId="0" applyNumberFormat="0" applyBorder="0" applyProtection="0"/>
    <xf numFmtId="0" fontId="59" fillId="37" borderId="0" applyNumberFormat="0" applyBorder="0" applyProtection="0"/>
    <xf numFmtId="0" fontId="59" fillId="37" borderId="0" applyNumberFormat="0" applyBorder="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59" fillId="37" borderId="0" applyNumberFormat="0" applyBorder="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59" fillId="37" borderId="0" applyNumberFormat="0" applyBorder="0" applyProtection="0"/>
    <xf numFmtId="0" fontId="59" fillId="37" borderId="0" applyNumberFormat="0" applyBorder="0" applyProtection="0"/>
    <xf numFmtId="0" fontId="59" fillId="39" borderId="0" applyNumberFormat="0" applyBorder="0" applyProtection="0"/>
    <xf numFmtId="0" fontId="59" fillId="39" borderId="0" applyNumberFormat="0" applyBorder="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59" fillId="39" borderId="0" applyNumberFormat="0" applyBorder="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59" fillId="39" borderId="0" applyNumberFormat="0" applyBorder="0" applyProtection="0"/>
    <xf numFmtId="0" fontId="59" fillId="39" borderId="0" applyNumberFormat="0" applyBorder="0" applyProtection="0"/>
    <xf numFmtId="0" fontId="59" fillId="41" borderId="0" applyNumberFormat="0" applyBorder="0" applyProtection="0"/>
    <xf numFmtId="0" fontId="59" fillId="41" borderId="0" applyNumberFormat="0" applyBorder="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59" fillId="41" borderId="0" applyNumberFormat="0" applyBorder="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59" fillId="41" borderId="0" applyNumberFormat="0" applyBorder="0" applyProtection="0"/>
    <xf numFmtId="0" fontId="59" fillId="41" borderId="0" applyNumberFormat="0" applyBorder="0" applyProtection="0"/>
    <xf numFmtId="0" fontId="55" fillId="43" borderId="0" applyNumberFormat="0" applyBorder="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55" fillId="43" borderId="0" applyNumberFormat="0" applyBorder="0" applyProtection="0"/>
    <xf numFmtId="0" fontId="55" fillId="44" borderId="0" applyNumberFormat="0" applyBorder="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55" fillId="44" borderId="0" applyNumberFormat="0" applyBorder="0" applyProtection="0"/>
    <xf numFmtId="0" fontId="55" fillId="46" borderId="0" applyNumberFormat="0" applyBorder="0" applyProtection="0"/>
    <xf numFmtId="0" fontId="55" fillId="47" borderId="0" applyNumberFormat="0" applyBorder="0" applyProtection="0"/>
    <xf numFmtId="0" fontId="24" fillId="8" borderId="0" applyNumberFormat="0" applyBorder="0" applyAlignment="0" applyProtection="0"/>
    <xf numFmtId="0" fontId="24" fillId="8" borderId="0" applyNumberFormat="0" applyBorder="0" applyAlignment="0" applyProtection="0"/>
    <xf numFmtId="0" fontId="24" fillId="8" borderId="0" applyNumberFormat="0" applyBorder="0" applyAlignment="0" applyProtection="0"/>
    <xf numFmtId="0" fontId="24" fillId="8" borderId="0" applyNumberFormat="0" applyBorder="0" applyAlignment="0" applyProtection="0"/>
    <xf numFmtId="0" fontId="24" fillId="8" borderId="0" applyNumberFormat="0" applyBorder="0" applyAlignment="0" applyProtection="0"/>
    <xf numFmtId="0" fontId="24" fillId="8" borderId="0" applyNumberFormat="0" applyBorder="0" applyAlignment="0" applyProtection="0"/>
    <xf numFmtId="0" fontId="24" fillId="8" borderId="0" applyNumberFormat="0" applyBorder="0" applyAlignment="0" applyProtection="0"/>
    <xf numFmtId="0" fontId="55" fillId="47" borderId="0" applyNumberFormat="0" applyBorder="0" applyProtection="0"/>
    <xf numFmtId="0" fontId="24" fillId="48" borderId="0" applyNumberFormat="0" applyBorder="0" applyAlignment="0" applyProtection="0"/>
    <xf numFmtId="0" fontId="24" fillId="48" borderId="0" applyNumberFormat="0" applyBorder="0" applyAlignment="0" applyProtection="0"/>
    <xf numFmtId="0" fontId="24" fillId="48" borderId="0" applyNumberFormat="0" applyBorder="0" applyAlignment="0" applyProtection="0"/>
    <xf numFmtId="0" fontId="24" fillId="48" borderId="0" applyNumberFormat="0" applyBorder="0" applyAlignment="0" applyProtection="0"/>
    <xf numFmtId="0" fontId="24" fillId="48" borderId="0" applyNumberFormat="0" applyBorder="0" applyAlignment="0" applyProtection="0"/>
    <xf numFmtId="0" fontId="24" fillId="48" borderId="0" applyNumberFormat="0" applyBorder="0" applyAlignment="0" applyProtection="0"/>
    <xf numFmtId="0" fontId="24" fillId="48" borderId="0" applyNumberFormat="0" applyBorder="0" applyAlignment="0" applyProtection="0"/>
    <xf numFmtId="0" fontId="55" fillId="46" borderId="0" applyNumberFormat="0" applyBorder="0" applyProtection="0"/>
    <xf numFmtId="0" fontId="55" fillId="49" borderId="0" applyNumberFormat="0" applyBorder="0" applyProtection="0"/>
    <xf numFmtId="0" fontId="24" fillId="7" borderId="0" applyNumberFormat="0" applyBorder="0" applyAlignment="0" applyProtection="0"/>
    <xf numFmtId="0" fontId="24" fillId="7" borderId="0" applyNumberFormat="0" applyBorder="0" applyAlignment="0" applyProtection="0"/>
    <xf numFmtId="0" fontId="24" fillId="7" borderId="0" applyNumberFormat="0" applyBorder="0" applyAlignment="0" applyProtection="0"/>
    <xf numFmtId="0" fontId="24" fillId="7" borderId="0" applyNumberFormat="0" applyBorder="0" applyAlignment="0" applyProtection="0"/>
    <xf numFmtId="0" fontId="24" fillId="7" borderId="0" applyNumberFormat="0" applyBorder="0" applyAlignment="0" applyProtection="0"/>
    <xf numFmtId="0" fontId="24" fillId="7" borderId="0" applyNumberFormat="0" applyBorder="0" applyAlignment="0" applyProtection="0"/>
    <xf numFmtId="0" fontId="24" fillId="7" borderId="0" applyNumberFormat="0" applyBorder="0" applyAlignment="0" applyProtection="0"/>
    <xf numFmtId="0" fontId="55" fillId="49" borderId="0" applyNumberFormat="0" applyBorder="0" applyProtection="0"/>
    <xf numFmtId="0" fontId="55" fillId="50" borderId="0" applyNumberFormat="0" applyBorder="0" applyProtection="0"/>
    <xf numFmtId="0" fontId="24" fillId="51" borderId="0" applyNumberFormat="0" applyBorder="0" applyAlignment="0" applyProtection="0"/>
    <xf numFmtId="0" fontId="24" fillId="51" borderId="0" applyNumberFormat="0" applyBorder="0" applyAlignment="0" applyProtection="0"/>
    <xf numFmtId="0" fontId="24" fillId="51" borderId="0" applyNumberFormat="0" applyBorder="0" applyAlignment="0" applyProtection="0"/>
    <xf numFmtId="0" fontId="24" fillId="51" borderId="0" applyNumberFormat="0" applyBorder="0" applyAlignment="0" applyProtection="0"/>
    <xf numFmtId="0" fontId="24" fillId="51" borderId="0" applyNumberFormat="0" applyBorder="0" applyAlignment="0" applyProtection="0"/>
    <xf numFmtId="0" fontId="24" fillId="51" borderId="0" applyNumberFormat="0" applyBorder="0" applyAlignment="0" applyProtection="0"/>
    <xf numFmtId="0" fontId="24" fillId="51" borderId="0" applyNumberFormat="0" applyBorder="0" applyAlignment="0" applyProtection="0"/>
    <xf numFmtId="0" fontId="55" fillId="50" borderId="0" applyNumberFormat="0" applyBorder="0" applyProtection="0"/>
    <xf numFmtId="0" fontId="55" fillId="52" borderId="0" applyNumberFormat="0" applyBorder="0" applyProtection="0"/>
    <xf numFmtId="0" fontId="24" fillId="53" borderId="0" applyNumberFormat="0" applyBorder="0" applyAlignment="0" applyProtection="0"/>
    <xf numFmtId="0" fontId="24" fillId="53" borderId="0" applyNumberFormat="0" applyBorder="0" applyAlignment="0" applyProtection="0"/>
    <xf numFmtId="0" fontId="24" fillId="53" borderId="0" applyNumberFormat="0" applyBorder="0" applyAlignment="0" applyProtection="0"/>
    <xf numFmtId="0" fontId="24" fillId="53" borderId="0" applyNumberFormat="0" applyBorder="0" applyAlignment="0" applyProtection="0"/>
    <xf numFmtId="0" fontId="24" fillId="53" borderId="0" applyNumberFormat="0" applyBorder="0" applyAlignment="0" applyProtection="0"/>
    <xf numFmtId="0" fontId="24" fillId="53" borderId="0" applyNumberFormat="0" applyBorder="0" applyAlignment="0" applyProtection="0"/>
    <xf numFmtId="0" fontId="24" fillId="53" borderId="0" applyNumberFormat="0" applyBorder="0" applyAlignment="0" applyProtection="0"/>
    <xf numFmtId="0" fontId="55" fillId="52" borderId="0" applyNumberFormat="0" applyBorder="0" applyProtection="0"/>
    <xf numFmtId="0" fontId="59" fillId="54" borderId="0" applyNumberFormat="0" applyBorder="0" applyProtection="0"/>
    <xf numFmtId="0" fontId="59" fillId="54" borderId="0" applyNumberFormat="0" applyBorder="0" applyProtection="0"/>
    <xf numFmtId="0" fontId="8" fillId="55" borderId="0" applyNumberFormat="0" applyBorder="0" applyAlignment="0" applyProtection="0"/>
    <xf numFmtId="0" fontId="8" fillId="55" borderId="0" applyNumberFormat="0" applyBorder="0" applyAlignment="0" applyProtection="0"/>
    <xf numFmtId="0" fontId="8" fillId="55" borderId="0" applyNumberFormat="0" applyBorder="0" applyAlignment="0" applyProtection="0"/>
    <xf numFmtId="0" fontId="8" fillId="55" borderId="0" applyNumberFormat="0" applyBorder="0" applyAlignment="0" applyProtection="0"/>
    <xf numFmtId="0" fontId="59" fillId="54" borderId="0" applyNumberFormat="0" applyBorder="0" applyProtection="0"/>
    <xf numFmtId="0" fontId="8" fillId="55" borderId="0" applyNumberFormat="0" applyBorder="0" applyAlignment="0" applyProtection="0"/>
    <xf numFmtId="0" fontId="8" fillId="55" borderId="0" applyNumberFormat="0" applyBorder="0" applyAlignment="0" applyProtection="0"/>
    <xf numFmtId="0" fontId="8" fillId="55" borderId="0" applyNumberFormat="0" applyBorder="0" applyAlignment="0" applyProtection="0"/>
    <xf numFmtId="0" fontId="8" fillId="55" borderId="0" applyNumberFormat="0" applyBorder="0" applyAlignment="0" applyProtection="0"/>
    <xf numFmtId="0" fontId="59" fillId="54" borderId="0" applyNumberFormat="0" applyBorder="0" applyProtection="0"/>
    <xf numFmtId="0" fontId="59" fillId="54" borderId="0" applyNumberFormat="0" applyBorder="0" applyProtection="0"/>
    <xf numFmtId="0" fontId="59" fillId="56" borderId="0" applyNumberFormat="0" applyBorder="0" applyProtection="0"/>
    <xf numFmtId="0" fontId="59" fillId="56" borderId="0" applyNumberFormat="0" applyBorder="0" applyProtection="0"/>
    <xf numFmtId="0" fontId="8" fillId="57" borderId="0" applyNumberFormat="0" applyBorder="0" applyAlignment="0" applyProtection="0"/>
    <xf numFmtId="0" fontId="8" fillId="57" borderId="0" applyNumberFormat="0" applyBorder="0" applyAlignment="0" applyProtection="0"/>
    <xf numFmtId="0" fontId="8" fillId="57" borderId="0" applyNumberFormat="0" applyBorder="0" applyAlignment="0" applyProtection="0"/>
    <xf numFmtId="0" fontId="8" fillId="57" borderId="0" applyNumberFormat="0" applyBorder="0" applyAlignment="0" applyProtection="0"/>
    <xf numFmtId="0" fontId="59" fillId="56" borderId="0" applyNumberFormat="0" applyBorder="0" applyProtection="0"/>
    <xf numFmtId="0" fontId="8" fillId="57" borderId="0" applyNumberFormat="0" applyBorder="0" applyAlignment="0" applyProtection="0"/>
    <xf numFmtId="0" fontId="8" fillId="57" borderId="0" applyNumberFormat="0" applyBorder="0" applyAlignment="0" applyProtection="0"/>
    <xf numFmtId="0" fontId="8" fillId="57" borderId="0" applyNumberFormat="0" applyBorder="0" applyAlignment="0" applyProtection="0"/>
    <xf numFmtId="0" fontId="8" fillId="57" borderId="0" applyNumberFormat="0" applyBorder="0" applyAlignment="0" applyProtection="0"/>
    <xf numFmtId="0" fontId="59" fillId="56" borderId="0" applyNumberFormat="0" applyBorder="0" applyProtection="0"/>
    <xf numFmtId="0" fontId="59" fillId="56" borderId="0" applyNumberFormat="0" applyBorder="0" applyProtection="0"/>
    <xf numFmtId="0" fontId="59" fillId="46" borderId="0" applyNumberFormat="0" applyBorder="0" applyProtection="0"/>
    <xf numFmtId="0" fontId="59" fillId="46" borderId="0" applyNumberFormat="0" applyBorder="0" applyProtection="0"/>
    <xf numFmtId="0" fontId="8" fillId="58"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59" fillId="46" borderId="0" applyNumberFormat="0" applyBorder="0" applyProtection="0"/>
    <xf numFmtId="0" fontId="8" fillId="58"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59" fillId="46" borderId="0" applyNumberFormat="0" applyBorder="0" applyProtection="0"/>
    <xf numFmtId="0" fontId="59" fillId="46" borderId="0" applyNumberFormat="0" applyBorder="0" applyProtection="0"/>
    <xf numFmtId="0" fontId="59" fillId="37" borderId="0" applyNumberFormat="0" applyBorder="0" applyProtection="0"/>
    <xf numFmtId="0" fontId="59" fillId="37" borderId="0" applyNumberFormat="0" applyBorder="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59" fillId="37" borderId="0" applyNumberFormat="0" applyBorder="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59" fillId="37" borderId="0" applyNumberFormat="0" applyBorder="0" applyProtection="0"/>
    <xf numFmtId="0" fontId="59" fillId="37" borderId="0" applyNumberFormat="0" applyBorder="0" applyProtection="0"/>
    <xf numFmtId="0" fontId="59" fillId="54" borderId="0" applyNumberFormat="0" applyBorder="0" applyProtection="0"/>
    <xf numFmtId="0" fontId="59" fillId="54" borderId="0" applyNumberFormat="0" applyBorder="0" applyProtection="0"/>
    <xf numFmtId="0" fontId="8" fillId="55" borderId="0" applyNumberFormat="0" applyBorder="0" applyAlignment="0" applyProtection="0"/>
    <xf numFmtId="0" fontId="8" fillId="55" borderId="0" applyNumberFormat="0" applyBorder="0" applyAlignment="0" applyProtection="0"/>
    <xf numFmtId="0" fontId="8" fillId="55" borderId="0" applyNumberFormat="0" applyBorder="0" applyAlignment="0" applyProtection="0"/>
    <xf numFmtId="0" fontId="8" fillId="55" borderId="0" applyNumberFormat="0" applyBorder="0" applyAlignment="0" applyProtection="0"/>
    <xf numFmtId="0" fontId="59" fillId="54" borderId="0" applyNumberFormat="0" applyBorder="0" applyProtection="0"/>
    <xf numFmtId="0" fontId="8" fillId="55" borderId="0" applyNumberFormat="0" applyBorder="0" applyAlignment="0" applyProtection="0"/>
    <xf numFmtId="0" fontId="8" fillId="55" borderId="0" applyNumberFormat="0" applyBorder="0" applyAlignment="0" applyProtection="0"/>
    <xf numFmtId="0" fontId="8" fillId="55" borderId="0" applyNumberFormat="0" applyBorder="0" applyAlignment="0" applyProtection="0"/>
    <xf numFmtId="0" fontId="8" fillId="55" borderId="0" applyNumberFormat="0" applyBorder="0" applyAlignment="0" applyProtection="0"/>
    <xf numFmtId="0" fontId="59" fillId="54" borderId="0" applyNumberFormat="0" applyBorder="0" applyProtection="0"/>
    <xf numFmtId="0" fontId="59" fillId="54" borderId="0" applyNumberFormat="0" applyBorder="0" applyProtection="0"/>
    <xf numFmtId="0" fontId="59" fillId="59" borderId="0" applyNumberFormat="0" applyBorder="0" applyProtection="0"/>
    <xf numFmtId="0" fontId="59" fillId="59" borderId="0" applyNumberFormat="0" applyBorder="0" applyProtection="0"/>
    <xf numFmtId="0" fontId="8" fillId="60" borderId="0" applyNumberFormat="0" applyBorder="0" applyAlignment="0" applyProtection="0"/>
    <xf numFmtId="0" fontId="8" fillId="60" borderId="0" applyNumberFormat="0" applyBorder="0" applyAlignment="0" applyProtection="0"/>
    <xf numFmtId="0" fontId="8" fillId="60" borderId="0" applyNumberFormat="0" applyBorder="0" applyAlignment="0" applyProtection="0"/>
    <xf numFmtId="0" fontId="8" fillId="60" borderId="0" applyNumberFormat="0" applyBorder="0" applyAlignment="0" applyProtection="0"/>
    <xf numFmtId="0" fontId="59" fillId="59" borderId="0" applyNumberFormat="0" applyBorder="0" applyProtection="0"/>
    <xf numFmtId="0" fontId="8" fillId="60" borderId="0" applyNumberFormat="0" applyBorder="0" applyAlignment="0" applyProtection="0"/>
    <xf numFmtId="0" fontId="8" fillId="60" borderId="0" applyNumberFormat="0" applyBorder="0" applyAlignment="0" applyProtection="0"/>
    <xf numFmtId="0" fontId="8" fillId="60" borderId="0" applyNumberFormat="0" applyBorder="0" applyAlignment="0" applyProtection="0"/>
    <xf numFmtId="0" fontId="8" fillId="60" borderId="0" applyNumberFormat="0" applyBorder="0" applyAlignment="0" applyProtection="0"/>
    <xf numFmtId="0" fontId="59" fillId="59" borderId="0" applyNumberFormat="0" applyBorder="0" applyProtection="0"/>
    <xf numFmtId="0" fontId="59" fillId="59" borderId="0" applyNumberFormat="0" applyBorder="0" applyProtection="0"/>
    <xf numFmtId="0" fontId="58" fillId="61" borderId="0" applyNumberFormat="0" applyBorder="0" applyProtection="0"/>
    <xf numFmtId="0" fontId="54" fillId="62" borderId="0" applyNumberFormat="0" applyBorder="0" applyAlignment="0" applyProtection="0"/>
    <xf numFmtId="0" fontId="54" fillId="62" borderId="0" applyNumberFormat="0" applyBorder="0" applyAlignment="0" applyProtection="0"/>
    <xf numFmtId="0" fontId="54" fillId="62" borderId="0" applyNumberFormat="0" applyBorder="0" applyAlignment="0" applyProtection="0"/>
    <xf numFmtId="0" fontId="54" fillId="62" borderId="0" applyNumberFormat="0" applyBorder="0" applyAlignment="0" applyProtection="0"/>
    <xf numFmtId="0" fontId="58" fillId="61" borderId="0" applyNumberFormat="0" applyBorder="0" applyProtection="0"/>
    <xf numFmtId="0" fontId="58" fillId="63" borderId="0" applyNumberFormat="0" applyBorder="0" applyProtection="0"/>
    <xf numFmtId="0" fontId="54" fillId="64" borderId="0" applyNumberFormat="0" applyBorder="0" applyAlignment="0" applyProtection="0"/>
    <xf numFmtId="0" fontId="54" fillId="64" borderId="0" applyNumberFormat="0" applyBorder="0" applyAlignment="0" applyProtection="0"/>
    <xf numFmtId="0" fontId="54" fillId="64" borderId="0" applyNumberFormat="0" applyBorder="0" applyAlignment="0" applyProtection="0"/>
    <xf numFmtId="0" fontId="54" fillId="64" borderId="0" applyNumberFormat="0" applyBorder="0" applyAlignment="0" applyProtection="0"/>
    <xf numFmtId="0" fontId="58" fillId="63" borderId="0" applyNumberFormat="0" applyBorder="0" applyProtection="0"/>
    <xf numFmtId="0" fontId="58" fillId="65" borderId="0" applyNumberFormat="0" applyBorder="0" applyProtection="0"/>
    <xf numFmtId="0" fontId="54" fillId="66" borderId="0" applyNumberFormat="0" applyBorder="0" applyAlignment="0" applyProtection="0"/>
    <xf numFmtId="0" fontId="54" fillId="66" borderId="0" applyNumberFormat="0" applyBorder="0" applyAlignment="0" applyProtection="0"/>
    <xf numFmtId="0" fontId="54" fillId="66" borderId="0" applyNumberFormat="0" applyBorder="0" applyAlignment="0" applyProtection="0"/>
    <xf numFmtId="0" fontId="54" fillId="66" borderId="0" applyNumberFormat="0" applyBorder="0" applyAlignment="0" applyProtection="0"/>
    <xf numFmtId="0" fontId="58" fillId="65" borderId="0" applyNumberFormat="0" applyBorder="0" applyProtection="0"/>
    <xf numFmtId="0" fontId="58" fillId="67" borderId="0" applyNumberFormat="0" applyBorder="0" applyProtection="0"/>
    <xf numFmtId="0" fontId="54" fillId="68" borderId="0" applyNumberFormat="0" applyBorder="0" applyAlignment="0" applyProtection="0"/>
    <xf numFmtId="0" fontId="54" fillId="68" borderId="0" applyNumberFormat="0" applyBorder="0" applyAlignment="0" applyProtection="0"/>
    <xf numFmtId="0" fontId="54" fillId="68" borderId="0" applyNumberFormat="0" applyBorder="0" applyAlignment="0" applyProtection="0"/>
    <xf numFmtId="0" fontId="54" fillId="68" borderId="0" applyNumberFormat="0" applyBorder="0" applyAlignment="0" applyProtection="0"/>
    <xf numFmtId="0" fontId="58" fillId="67" borderId="0" applyNumberFormat="0" applyBorder="0" applyProtection="0"/>
    <xf numFmtId="0" fontId="58" fillId="69" borderId="0" applyNumberFormat="0" applyBorder="0" applyProtection="0"/>
    <xf numFmtId="0" fontId="54" fillId="70" borderId="0" applyNumberFormat="0" applyBorder="0" applyAlignment="0" applyProtection="0"/>
    <xf numFmtId="0" fontId="54" fillId="70" borderId="0" applyNumberFormat="0" applyBorder="0" applyAlignment="0" applyProtection="0"/>
    <xf numFmtId="0" fontId="54" fillId="70" borderId="0" applyNumberFormat="0" applyBorder="0" applyAlignment="0" applyProtection="0"/>
    <xf numFmtId="0" fontId="54" fillId="70" borderId="0" applyNumberFormat="0" applyBorder="0" applyAlignment="0" applyProtection="0"/>
    <xf numFmtId="0" fontId="58" fillId="69" borderId="0" applyNumberFormat="0" applyBorder="0" applyProtection="0"/>
    <xf numFmtId="0" fontId="58" fillId="71" borderId="0" applyNumberFormat="0" applyBorder="0" applyProtection="0"/>
    <xf numFmtId="0" fontId="54" fillId="72" borderId="0" applyNumberFormat="0" applyBorder="0" applyAlignment="0" applyProtection="0"/>
    <xf numFmtId="0" fontId="54" fillId="72" borderId="0" applyNumberFormat="0" applyBorder="0" applyAlignment="0" applyProtection="0"/>
    <xf numFmtId="0" fontId="54" fillId="72" borderId="0" applyNumberFormat="0" applyBorder="0" applyAlignment="0" applyProtection="0"/>
    <xf numFmtId="0" fontId="54" fillId="72" borderId="0" applyNumberFormat="0" applyBorder="0" applyAlignment="0" applyProtection="0"/>
    <xf numFmtId="0" fontId="58" fillId="71" borderId="0" applyNumberFormat="0" applyBorder="0" applyProtection="0"/>
    <xf numFmtId="0" fontId="60" fillId="73" borderId="0" applyNumberFormat="0" applyBorder="0" applyProtection="0"/>
    <xf numFmtId="0" fontId="61" fillId="74" borderId="0" applyNumberFormat="0" applyBorder="0" applyAlignment="0" applyProtection="0"/>
    <xf numFmtId="0" fontId="61" fillId="74" borderId="0" applyNumberFormat="0" applyBorder="0" applyAlignment="0" applyProtection="0"/>
    <xf numFmtId="0" fontId="61" fillId="74" borderId="0" applyNumberFormat="0" applyBorder="0" applyAlignment="0" applyProtection="0"/>
    <xf numFmtId="0" fontId="61" fillId="74" borderId="0" applyNumberFormat="0" applyBorder="0" applyAlignment="0" applyProtection="0"/>
    <xf numFmtId="0" fontId="60" fillId="73" borderId="0" applyNumberFormat="0" applyBorder="0" applyProtection="0"/>
    <xf numFmtId="0" fontId="60" fillId="56" borderId="0" applyNumberFormat="0" applyBorder="0" applyProtection="0"/>
    <xf numFmtId="0" fontId="61" fillId="57" borderId="0" applyNumberFormat="0" applyBorder="0" applyAlignment="0" applyProtection="0"/>
    <xf numFmtId="0" fontId="61" fillId="57" borderId="0" applyNumberFormat="0" applyBorder="0" applyAlignment="0" applyProtection="0"/>
    <xf numFmtId="0" fontId="61" fillId="57" borderId="0" applyNumberFormat="0" applyBorder="0" applyAlignment="0" applyProtection="0"/>
    <xf numFmtId="0" fontId="61" fillId="57" borderId="0" applyNumberFormat="0" applyBorder="0" applyAlignment="0" applyProtection="0"/>
    <xf numFmtId="0" fontId="60" fillId="56" borderId="0" applyNumberFormat="0" applyBorder="0" applyProtection="0"/>
    <xf numFmtId="0" fontId="60" fillId="46" borderId="0" applyNumberFormat="0" applyBorder="0" applyProtection="0"/>
    <xf numFmtId="0" fontId="61" fillId="58" borderId="0" applyNumberFormat="0" applyBorder="0" applyAlignment="0" applyProtection="0"/>
    <xf numFmtId="0" fontId="61" fillId="58" borderId="0" applyNumberFormat="0" applyBorder="0" applyAlignment="0" applyProtection="0"/>
    <xf numFmtId="0" fontId="61" fillId="58" borderId="0" applyNumberFormat="0" applyBorder="0" applyAlignment="0" applyProtection="0"/>
    <xf numFmtId="0" fontId="61" fillId="58" borderId="0" applyNumberFormat="0" applyBorder="0" applyAlignment="0" applyProtection="0"/>
    <xf numFmtId="0" fontId="60" fillId="46" borderId="0" applyNumberFormat="0" applyBorder="0" applyProtection="0"/>
    <xf numFmtId="0" fontId="60" fillId="75" borderId="0" applyNumberFormat="0" applyBorder="0" applyProtection="0"/>
    <xf numFmtId="0" fontId="61" fillId="76" borderId="0" applyNumberFormat="0" applyBorder="0" applyAlignment="0" applyProtection="0"/>
    <xf numFmtId="0" fontId="61" fillId="76" borderId="0" applyNumberFormat="0" applyBorder="0" applyAlignment="0" applyProtection="0"/>
    <xf numFmtId="0" fontId="61" fillId="76" borderId="0" applyNumberFormat="0" applyBorder="0" applyAlignment="0" applyProtection="0"/>
    <xf numFmtId="0" fontId="61" fillId="76" borderId="0" applyNumberFormat="0" applyBorder="0" applyAlignment="0" applyProtection="0"/>
    <xf numFmtId="0" fontId="60" fillId="75" borderId="0" applyNumberFormat="0" applyBorder="0" applyProtection="0"/>
    <xf numFmtId="0" fontId="60" fillId="75" borderId="0" applyNumberFormat="0" applyBorder="0" applyProtection="0"/>
    <xf numFmtId="0" fontId="60" fillId="75" borderId="0" applyNumberFormat="0" applyBorder="0" applyProtection="0"/>
    <xf numFmtId="0" fontId="60" fillId="75" borderId="0" applyNumberFormat="0" applyBorder="0" applyProtection="0"/>
    <xf numFmtId="0" fontId="60" fillId="75" borderId="0" applyNumberFormat="0" applyBorder="0" applyProtection="0"/>
    <xf numFmtId="0" fontId="60" fillId="75" borderId="0" applyNumberFormat="0" applyBorder="0" applyProtection="0"/>
    <xf numFmtId="0" fontId="60" fillId="77" borderId="0" applyNumberFormat="0" applyBorder="0" applyProtection="0"/>
    <xf numFmtId="0" fontId="61" fillId="78" borderId="0" applyNumberFormat="0" applyBorder="0" applyAlignment="0" applyProtection="0"/>
    <xf numFmtId="0" fontId="61" fillId="78" borderId="0" applyNumberFormat="0" applyBorder="0" applyAlignment="0" applyProtection="0"/>
    <xf numFmtId="0" fontId="61" fillId="78" borderId="0" applyNumberFormat="0" applyBorder="0" applyAlignment="0" applyProtection="0"/>
    <xf numFmtId="0" fontId="61" fillId="78" borderId="0" applyNumberFormat="0" applyBorder="0" applyAlignment="0" applyProtection="0"/>
    <xf numFmtId="0" fontId="60" fillId="77" borderId="0" applyNumberFormat="0" applyBorder="0" applyProtection="0"/>
    <xf numFmtId="0" fontId="60" fillId="79" borderId="0" applyNumberFormat="0" applyBorder="0" applyProtection="0"/>
    <xf numFmtId="0" fontId="61" fillId="80" borderId="0" applyNumberFormat="0" applyBorder="0" applyAlignment="0" applyProtection="0"/>
    <xf numFmtId="0" fontId="61" fillId="80" borderId="0" applyNumberFormat="0" applyBorder="0" applyAlignment="0" applyProtection="0"/>
    <xf numFmtId="0" fontId="61" fillId="80" borderId="0" applyNumberFormat="0" applyBorder="0" applyAlignment="0" applyProtection="0"/>
    <xf numFmtId="0" fontId="61" fillId="80" borderId="0" applyNumberFormat="0" applyBorder="0" applyAlignment="0" applyProtection="0"/>
    <xf numFmtId="0" fontId="60" fillId="79" borderId="0" applyNumberFormat="0" applyBorder="0" applyProtection="0"/>
    <xf numFmtId="0" fontId="58" fillId="81" borderId="0" applyNumberFormat="0" applyBorder="0" applyProtection="0"/>
    <xf numFmtId="0" fontId="54" fillId="82" borderId="0" applyNumberFormat="0" applyBorder="0" applyAlignment="0" applyProtection="0"/>
    <xf numFmtId="0" fontId="54" fillId="82" borderId="0" applyNumberFormat="0" applyBorder="0" applyAlignment="0" applyProtection="0"/>
    <xf numFmtId="0" fontId="54" fillId="82" borderId="0" applyNumberFormat="0" applyBorder="0" applyAlignment="0" applyProtection="0"/>
    <xf numFmtId="0" fontId="54" fillId="82" borderId="0" applyNumberFormat="0" applyBorder="0" applyAlignment="0" applyProtection="0"/>
    <xf numFmtId="0" fontId="58" fillId="81" borderId="0" applyNumberFormat="0" applyBorder="0" applyProtection="0"/>
    <xf numFmtId="0" fontId="58" fillId="83" borderId="0" applyNumberFormat="0" applyBorder="0" applyProtection="0"/>
    <xf numFmtId="0" fontId="54" fillId="84" borderId="0" applyNumberFormat="0" applyBorder="0" applyAlignment="0" applyProtection="0"/>
    <xf numFmtId="0" fontId="54" fillId="84" borderId="0" applyNumberFormat="0" applyBorder="0" applyAlignment="0" applyProtection="0"/>
    <xf numFmtId="0" fontId="54" fillId="84" borderId="0" applyNumberFormat="0" applyBorder="0" applyAlignment="0" applyProtection="0"/>
    <xf numFmtId="0" fontId="54" fillId="84" borderId="0" applyNumberFormat="0" applyBorder="0" applyAlignment="0" applyProtection="0"/>
    <xf numFmtId="0" fontId="58" fillId="83" borderId="0" applyNumberFormat="0" applyBorder="0" applyProtection="0"/>
    <xf numFmtId="0" fontId="58" fillId="85" borderId="0" applyNumberFormat="0" applyBorder="0" applyProtection="0"/>
    <xf numFmtId="0" fontId="54" fillId="86" borderId="0" applyNumberFormat="0" applyBorder="0" applyAlignment="0" applyProtection="0"/>
    <xf numFmtId="0" fontId="54" fillId="86" borderId="0" applyNumberFormat="0" applyBorder="0" applyAlignment="0" applyProtection="0"/>
    <xf numFmtId="0" fontId="54" fillId="86" borderId="0" applyNumberFormat="0" applyBorder="0" applyAlignment="0" applyProtection="0"/>
    <xf numFmtId="0" fontId="54" fillId="86" borderId="0" applyNumberFormat="0" applyBorder="0" applyAlignment="0" applyProtection="0"/>
    <xf numFmtId="0" fontId="58" fillId="85" borderId="0" applyNumberFormat="0" applyBorder="0" applyProtection="0"/>
    <xf numFmtId="0" fontId="58" fillId="87" borderId="0" applyNumberFormat="0" applyBorder="0" applyProtection="0"/>
    <xf numFmtId="0" fontId="54" fillId="88" borderId="0" applyNumberFormat="0" applyBorder="0" applyAlignment="0" applyProtection="0"/>
    <xf numFmtId="0" fontId="54" fillId="88" borderId="0" applyNumberFormat="0" applyBorder="0" applyAlignment="0" applyProtection="0"/>
    <xf numFmtId="0" fontId="54" fillId="88" borderId="0" applyNumberFormat="0" applyBorder="0" applyAlignment="0" applyProtection="0"/>
    <xf numFmtId="0" fontId="54" fillId="88" borderId="0" applyNumberFormat="0" applyBorder="0" applyAlignment="0" applyProtection="0"/>
    <xf numFmtId="0" fontId="58" fillId="87" borderId="0" applyNumberFormat="0" applyBorder="0" applyProtection="0"/>
    <xf numFmtId="0" fontId="58" fillId="89" borderId="0" applyNumberFormat="0" applyBorder="0" applyProtection="0"/>
    <xf numFmtId="0" fontId="54" fillId="90" borderId="0" applyNumberFormat="0" applyBorder="0" applyAlignment="0" applyProtection="0"/>
    <xf numFmtId="0" fontId="54" fillId="90" borderId="0" applyNumberFormat="0" applyBorder="0" applyAlignment="0" applyProtection="0"/>
    <xf numFmtId="0" fontId="54" fillId="90" borderId="0" applyNumberFormat="0" applyBorder="0" applyAlignment="0" applyProtection="0"/>
    <xf numFmtId="0" fontId="54" fillId="90" borderId="0" applyNumberFormat="0" applyBorder="0" applyAlignment="0" applyProtection="0"/>
    <xf numFmtId="0" fontId="58" fillId="89" borderId="0" applyNumberFormat="0" applyBorder="0" applyProtection="0"/>
    <xf numFmtId="0" fontId="58" fillId="91" borderId="0" applyNumberFormat="0" applyBorder="0" applyProtection="0"/>
    <xf numFmtId="0" fontId="54" fillId="92" borderId="0" applyNumberFormat="0" applyBorder="0" applyAlignment="0" applyProtection="0"/>
    <xf numFmtId="0" fontId="54" fillId="92" borderId="0" applyNumberFormat="0" applyBorder="0" applyAlignment="0" applyProtection="0"/>
    <xf numFmtId="0" fontId="54" fillId="92" borderId="0" applyNumberFormat="0" applyBorder="0" applyAlignment="0" applyProtection="0"/>
    <xf numFmtId="0" fontId="54" fillId="92" borderId="0" applyNumberFormat="0" applyBorder="0" applyAlignment="0" applyProtection="0"/>
    <xf numFmtId="0" fontId="58" fillId="91" borderId="0" applyNumberFormat="0" applyBorder="0" applyProtection="0"/>
    <xf numFmtId="0" fontId="62" fillId="93" borderId="0" applyNumberFormat="0" applyBorder="0" applyProtection="0"/>
    <xf numFmtId="0" fontId="46" fillId="94" borderId="0" applyNumberFormat="0" applyBorder="0" applyAlignment="0" applyProtection="0"/>
    <xf numFmtId="0" fontId="46" fillId="94" borderId="0" applyNumberFormat="0" applyBorder="0" applyAlignment="0" applyProtection="0"/>
    <xf numFmtId="0" fontId="46" fillId="94" borderId="0" applyNumberFormat="0" applyBorder="0" applyAlignment="0" applyProtection="0"/>
    <xf numFmtId="0" fontId="46" fillId="94" borderId="0" applyNumberFormat="0" applyBorder="0" applyAlignment="0" applyProtection="0"/>
    <xf numFmtId="0" fontId="62" fillId="93" borderId="0" applyNumberFormat="0" applyBorder="0" applyProtection="0"/>
    <xf numFmtId="0" fontId="56" fillId="0" borderId="0"/>
    <xf numFmtId="0" fontId="56" fillId="0" borderId="0"/>
    <xf numFmtId="0" fontId="30" fillId="0" borderId="0"/>
    <xf numFmtId="0" fontId="30" fillId="0" borderId="0"/>
    <xf numFmtId="0" fontId="30" fillId="0" borderId="0"/>
    <xf numFmtId="0" fontId="30" fillId="0" borderId="0"/>
    <xf numFmtId="0" fontId="56" fillId="0" borderId="0"/>
    <xf numFmtId="0" fontId="63" fillId="0" borderId="0"/>
    <xf numFmtId="0" fontId="64" fillId="0" borderId="0"/>
    <xf numFmtId="0" fontId="64" fillId="0" borderId="0"/>
    <xf numFmtId="0" fontId="64" fillId="0" borderId="0"/>
    <xf numFmtId="0" fontId="64" fillId="0" borderId="0"/>
    <xf numFmtId="0" fontId="63" fillId="0" borderId="0"/>
    <xf numFmtId="0" fontId="30" fillId="0" borderId="0"/>
    <xf numFmtId="0" fontId="30" fillId="0" borderId="0"/>
    <xf numFmtId="0" fontId="30" fillId="0" borderId="0"/>
    <xf numFmtId="0" fontId="30" fillId="0" borderId="0"/>
    <xf numFmtId="0" fontId="56" fillId="0" borderId="0"/>
    <xf numFmtId="0" fontId="65" fillId="95" borderId="30" applyNumberFormat="0" applyProtection="0"/>
    <xf numFmtId="0" fontId="50" fillId="96" borderId="30" applyNumberFormat="0" applyAlignment="0" applyProtection="0"/>
    <xf numFmtId="0" fontId="50" fillId="96" borderId="30" applyNumberFormat="0" applyAlignment="0" applyProtection="0"/>
    <xf numFmtId="0" fontId="50" fillId="96" borderId="30" applyNumberFormat="0" applyAlignment="0" applyProtection="0"/>
    <xf numFmtId="0" fontId="50" fillId="96" borderId="30" applyNumberFormat="0" applyAlignment="0" applyProtection="0"/>
    <xf numFmtId="0" fontId="65" fillId="95" borderId="30" applyNumberFormat="0" applyProtection="0"/>
    <xf numFmtId="0" fontId="66" fillId="97" borderId="33" applyNumberFormat="0" applyProtection="0"/>
    <xf numFmtId="0" fontId="52" fillId="98" borderId="33" applyNumberFormat="0" applyAlignment="0" applyProtection="0"/>
    <xf numFmtId="0" fontId="52" fillId="98" borderId="33" applyNumberFormat="0" applyAlignment="0" applyProtection="0"/>
    <xf numFmtId="0" fontId="52" fillId="98" borderId="33" applyNumberFormat="0" applyAlignment="0" applyProtection="0"/>
    <xf numFmtId="0" fontId="52" fillId="98" borderId="33" applyNumberFormat="0" applyAlignment="0" applyProtection="0"/>
    <xf numFmtId="0" fontId="66" fillId="97" borderId="33" applyNumberFormat="0" applyProtection="0"/>
    <xf numFmtId="0" fontId="56" fillId="0" borderId="0"/>
    <xf numFmtId="0" fontId="56" fillId="0" borderId="0"/>
    <xf numFmtId="0" fontId="30" fillId="0" borderId="0"/>
    <xf numFmtId="0" fontId="30" fillId="0" borderId="0"/>
    <xf numFmtId="0" fontId="30" fillId="0" borderId="0"/>
    <xf numFmtId="0" fontId="30" fillId="0" borderId="0"/>
    <xf numFmtId="0" fontId="56" fillId="0" borderId="0"/>
    <xf numFmtId="0" fontId="63" fillId="0" borderId="0"/>
    <xf numFmtId="0" fontId="64" fillId="0" borderId="0"/>
    <xf numFmtId="0" fontId="64" fillId="0" borderId="0"/>
    <xf numFmtId="0" fontId="64" fillId="0" borderId="0"/>
    <xf numFmtId="0" fontId="64" fillId="0" borderId="0"/>
    <xf numFmtId="0" fontId="63" fillId="0" borderId="0"/>
    <xf numFmtId="0" fontId="30" fillId="0" borderId="0"/>
    <xf numFmtId="0" fontId="30" fillId="0" borderId="0"/>
    <xf numFmtId="0" fontId="30" fillId="0" borderId="0"/>
    <xf numFmtId="0" fontId="30" fillId="0" borderId="0"/>
    <xf numFmtId="0" fontId="56" fillId="0" borderId="0"/>
    <xf numFmtId="4" fontId="67" fillId="99" borderId="24">
      <alignment horizontal="right" shrinkToFit="1"/>
    </xf>
    <xf numFmtId="4" fontId="33" fillId="13" borderId="24">
      <alignment horizontal="right" shrinkToFit="1"/>
    </xf>
    <xf numFmtId="4" fontId="33" fillId="13" borderId="24">
      <alignment horizontal="right" shrinkToFit="1"/>
    </xf>
    <xf numFmtId="4" fontId="33" fillId="13" borderId="24">
      <alignment horizontal="right" shrinkToFit="1"/>
    </xf>
    <xf numFmtId="4" fontId="33" fillId="13" borderId="24">
      <alignment horizontal="right" shrinkToFit="1"/>
    </xf>
    <xf numFmtId="4" fontId="67" fillId="99" borderId="24">
      <alignment horizontal="right" shrinkToFit="1"/>
    </xf>
    <xf numFmtId="4" fontId="67" fillId="99" borderId="24">
      <alignment horizontal="right" shrinkToFit="1"/>
    </xf>
    <xf numFmtId="4" fontId="33" fillId="13" borderId="24">
      <alignment horizontal="right" shrinkToFit="1"/>
    </xf>
    <xf numFmtId="4" fontId="33" fillId="13" borderId="24">
      <alignment horizontal="right" shrinkToFit="1"/>
    </xf>
    <xf numFmtId="4" fontId="33" fillId="13" borderId="24">
      <alignment horizontal="right" shrinkToFit="1"/>
    </xf>
    <xf numFmtId="4" fontId="33" fillId="13" borderId="24">
      <alignment horizontal="right" shrinkToFit="1"/>
    </xf>
    <xf numFmtId="4" fontId="67" fillId="99" borderId="24">
      <alignment horizontal="right" shrinkToFit="1"/>
    </xf>
    <xf numFmtId="169" fontId="67" fillId="99" borderId="25">
      <alignment horizontal="right" shrinkToFit="1"/>
    </xf>
    <xf numFmtId="169" fontId="33" fillId="13" borderId="25">
      <alignment horizontal="right" shrinkToFit="1"/>
    </xf>
    <xf numFmtId="169" fontId="33" fillId="13" borderId="25">
      <alignment horizontal="right" shrinkToFit="1"/>
    </xf>
    <xf numFmtId="169" fontId="33" fillId="13" borderId="25">
      <alignment horizontal="right" shrinkToFit="1"/>
    </xf>
    <xf numFmtId="169" fontId="33" fillId="13" borderId="25">
      <alignment horizontal="right" shrinkToFit="1"/>
    </xf>
    <xf numFmtId="169" fontId="67" fillId="99" borderId="25">
      <alignment horizontal="right" shrinkToFit="1"/>
    </xf>
    <xf numFmtId="4" fontId="33" fillId="13" borderId="25">
      <alignment horizontal="right" shrinkToFit="1"/>
    </xf>
    <xf numFmtId="4" fontId="33" fillId="13" borderId="25">
      <alignment horizontal="right" shrinkToFit="1"/>
    </xf>
    <xf numFmtId="4" fontId="33" fillId="13" borderId="25">
      <alignment horizontal="right" shrinkToFit="1"/>
    </xf>
    <xf numFmtId="4" fontId="33" fillId="13" borderId="25">
      <alignment horizontal="right" shrinkToFit="1"/>
    </xf>
    <xf numFmtId="4" fontId="67" fillId="99" borderId="25">
      <alignment horizontal="right" shrinkToFit="1"/>
    </xf>
    <xf numFmtId="4" fontId="67" fillId="99" borderId="24">
      <alignment horizontal="right" shrinkToFit="1"/>
    </xf>
    <xf numFmtId="4" fontId="67" fillId="99" borderId="25">
      <alignment horizontal="right" shrinkToFit="1"/>
    </xf>
    <xf numFmtId="4" fontId="33" fillId="13" borderId="25">
      <alignment horizontal="right" shrinkToFit="1"/>
    </xf>
    <xf numFmtId="4" fontId="33" fillId="13" borderId="25">
      <alignment horizontal="right" shrinkToFit="1"/>
    </xf>
    <xf numFmtId="4" fontId="33" fillId="13" borderId="25">
      <alignment horizontal="right" shrinkToFit="1"/>
    </xf>
    <xf numFmtId="4" fontId="33" fillId="13" borderId="25">
      <alignment horizontal="right" shrinkToFit="1"/>
    </xf>
    <xf numFmtId="4" fontId="67" fillId="99" borderId="25">
      <alignment horizontal="right" shrinkToFit="1"/>
    </xf>
    <xf numFmtId="4" fontId="33" fillId="13" borderId="24">
      <alignment horizontal="right" shrinkToFit="1"/>
    </xf>
    <xf numFmtId="4" fontId="33" fillId="13" borderId="24">
      <alignment horizontal="right" shrinkToFit="1"/>
    </xf>
    <xf numFmtId="4" fontId="33" fillId="13" borderId="24">
      <alignment horizontal="right" shrinkToFit="1"/>
    </xf>
    <xf numFmtId="4" fontId="33" fillId="13" borderId="24">
      <alignment horizontal="right" shrinkToFit="1"/>
    </xf>
    <xf numFmtId="4" fontId="67" fillId="99" borderId="24">
      <alignment horizontal="right" shrinkToFit="1"/>
    </xf>
    <xf numFmtId="4" fontId="67" fillId="99" borderId="25">
      <alignment horizontal="right" shrinkToFit="1"/>
    </xf>
    <xf numFmtId="4" fontId="33" fillId="13" borderId="25">
      <alignment horizontal="right" shrinkToFit="1"/>
    </xf>
    <xf numFmtId="4" fontId="33" fillId="13" borderId="25">
      <alignment horizontal="right" shrinkToFit="1"/>
    </xf>
    <xf numFmtId="4" fontId="33" fillId="13" borderId="25">
      <alignment horizontal="right" shrinkToFit="1"/>
    </xf>
    <xf numFmtId="4" fontId="33" fillId="13" borderId="25">
      <alignment horizontal="right" shrinkToFit="1"/>
    </xf>
    <xf numFmtId="4" fontId="67" fillId="99" borderId="25">
      <alignment horizontal="right" shrinkToFit="1"/>
    </xf>
    <xf numFmtId="4" fontId="67" fillId="99" borderId="25">
      <alignment horizontal="right" shrinkToFit="1"/>
    </xf>
    <xf numFmtId="4" fontId="33" fillId="13" borderId="25">
      <alignment horizontal="right" shrinkToFit="1"/>
    </xf>
    <xf numFmtId="4" fontId="33" fillId="13" borderId="25">
      <alignment horizontal="right" shrinkToFit="1"/>
    </xf>
    <xf numFmtId="4" fontId="33" fillId="13" borderId="25">
      <alignment horizontal="right" shrinkToFit="1"/>
    </xf>
    <xf numFmtId="4" fontId="33" fillId="13" borderId="25">
      <alignment horizontal="right" shrinkToFit="1"/>
    </xf>
    <xf numFmtId="4" fontId="67" fillId="99" borderId="25">
      <alignment horizontal="right" shrinkToFit="1"/>
    </xf>
    <xf numFmtId="4" fontId="67" fillId="99" borderId="25">
      <alignment horizontal="right" shrinkToFit="1"/>
    </xf>
    <xf numFmtId="4" fontId="33" fillId="13" borderId="25">
      <alignment horizontal="right" shrinkToFit="1"/>
    </xf>
    <xf numFmtId="4" fontId="33" fillId="13" borderId="25">
      <alignment horizontal="right" shrinkToFit="1"/>
    </xf>
    <xf numFmtId="4" fontId="33" fillId="13" borderId="25">
      <alignment horizontal="right" shrinkToFit="1"/>
    </xf>
    <xf numFmtId="4" fontId="33" fillId="13" borderId="25">
      <alignment horizontal="right" shrinkToFit="1"/>
    </xf>
    <xf numFmtId="4" fontId="67" fillId="99" borderId="25">
      <alignment horizontal="right" shrinkToFit="1"/>
    </xf>
    <xf numFmtId="4" fontId="67" fillId="99" borderId="25">
      <alignment horizontal="right" shrinkToFit="1"/>
    </xf>
    <xf numFmtId="4" fontId="33" fillId="13" borderId="25">
      <alignment horizontal="right" shrinkToFit="1"/>
    </xf>
    <xf numFmtId="4" fontId="33" fillId="13" borderId="25">
      <alignment horizontal="right" shrinkToFit="1"/>
    </xf>
    <xf numFmtId="4" fontId="33" fillId="13" borderId="25">
      <alignment horizontal="right" shrinkToFit="1"/>
    </xf>
    <xf numFmtId="4" fontId="33" fillId="13" borderId="25">
      <alignment horizontal="right" shrinkToFit="1"/>
    </xf>
    <xf numFmtId="4" fontId="67" fillId="99" borderId="25">
      <alignment horizontal="right" shrinkToFit="1"/>
    </xf>
    <xf numFmtId="4" fontId="67" fillId="99" borderId="25">
      <alignment horizontal="right" shrinkToFit="1"/>
    </xf>
    <xf numFmtId="4" fontId="33" fillId="13" borderId="25">
      <alignment horizontal="right" shrinkToFit="1"/>
    </xf>
    <xf numFmtId="4" fontId="33" fillId="13" borderId="25">
      <alignment horizontal="right" shrinkToFit="1"/>
    </xf>
    <xf numFmtId="4" fontId="33" fillId="13" borderId="25">
      <alignment horizontal="right" shrinkToFit="1"/>
    </xf>
    <xf numFmtId="4" fontId="33" fillId="13" borderId="25">
      <alignment horizontal="right" shrinkToFit="1"/>
    </xf>
    <xf numFmtId="4" fontId="67" fillId="99" borderId="25">
      <alignment horizontal="right" shrinkToFit="1"/>
    </xf>
    <xf numFmtId="4" fontId="67" fillId="99" borderId="25">
      <alignment horizontal="right" shrinkToFit="1"/>
    </xf>
    <xf numFmtId="4" fontId="33" fillId="13" borderId="25">
      <alignment horizontal="right" shrinkToFit="1"/>
    </xf>
    <xf numFmtId="4" fontId="33" fillId="13" borderId="25">
      <alignment horizontal="right" shrinkToFit="1"/>
    </xf>
    <xf numFmtId="4" fontId="33" fillId="13" borderId="25">
      <alignment horizontal="right" shrinkToFit="1"/>
    </xf>
    <xf numFmtId="4" fontId="33" fillId="13" borderId="25">
      <alignment horizontal="right" shrinkToFit="1"/>
    </xf>
    <xf numFmtId="4" fontId="67" fillId="99" borderId="25">
      <alignment horizontal="right" shrinkToFit="1"/>
    </xf>
    <xf numFmtId="4" fontId="67" fillId="99" borderId="25">
      <alignment horizontal="right" shrinkToFit="1"/>
    </xf>
    <xf numFmtId="4" fontId="33" fillId="13" borderId="25">
      <alignment horizontal="right" shrinkToFit="1"/>
    </xf>
    <xf numFmtId="4" fontId="33" fillId="13" borderId="25">
      <alignment horizontal="right" shrinkToFit="1"/>
    </xf>
    <xf numFmtId="4" fontId="33" fillId="13" borderId="25">
      <alignment horizontal="right" shrinkToFit="1"/>
    </xf>
    <xf numFmtId="4" fontId="33" fillId="13" borderId="25">
      <alignment horizontal="right" shrinkToFit="1"/>
    </xf>
    <xf numFmtId="4" fontId="67" fillId="99" borderId="25">
      <alignment horizontal="right" shrinkToFit="1"/>
    </xf>
    <xf numFmtId="4" fontId="67" fillId="99" borderId="25">
      <alignment horizontal="right" shrinkToFit="1"/>
    </xf>
    <xf numFmtId="4" fontId="33" fillId="13" borderId="25">
      <alignment horizontal="right" shrinkToFit="1"/>
    </xf>
    <xf numFmtId="4" fontId="33" fillId="13" borderId="25">
      <alignment horizontal="right" shrinkToFit="1"/>
    </xf>
    <xf numFmtId="4" fontId="33" fillId="13" borderId="25">
      <alignment horizontal="right" shrinkToFit="1"/>
    </xf>
    <xf numFmtId="4" fontId="33" fillId="13" borderId="25">
      <alignment horizontal="right" shrinkToFit="1"/>
    </xf>
    <xf numFmtId="4" fontId="67" fillId="99" borderId="25">
      <alignment horizontal="right" shrinkToFit="1"/>
    </xf>
    <xf numFmtId="4" fontId="67" fillId="99" borderId="24">
      <alignment horizontal="right" shrinkToFit="1"/>
    </xf>
    <xf numFmtId="4" fontId="33" fillId="13" borderId="24">
      <alignment horizontal="right" shrinkToFit="1"/>
    </xf>
    <xf numFmtId="4" fontId="33" fillId="13" borderId="24">
      <alignment horizontal="right" shrinkToFit="1"/>
    </xf>
    <xf numFmtId="4" fontId="33" fillId="13" borderId="24">
      <alignment horizontal="right" shrinkToFit="1"/>
    </xf>
    <xf numFmtId="4" fontId="33" fillId="13" borderId="24">
      <alignment horizontal="right" shrinkToFit="1"/>
    </xf>
    <xf numFmtId="4" fontId="67" fillId="99" borderId="24">
      <alignment horizontal="right" shrinkToFit="1"/>
    </xf>
    <xf numFmtId="4" fontId="67" fillId="99" borderId="24">
      <alignment horizontal="right" shrinkToFit="1"/>
    </xf>
    <xf numFmtId="4" fontId="33" fillId="13" borderId="24">
      <alignment horizontal="right" shrinkToFit="1"/>
    </xf>
    <xf numFmtId="4" fontId="33" fillId="13" borderId="24">
      <alignment horizontal="right" shrinkToFit="1"/>
    </xf>
    <xf numFmtId="4" fontId="33" fillId="13" borderId="24">
      <alignment horizontal="right" shrinkToFit="1"/>
    </xf>
    <xf numFmtId="4" fontId="33" fillId="13" borderId="24">
      <alignment horizontal="right" shrinkToFit="1"/>
    </xf>
    <xf numFmtId="4" fontId="67" fillId="99" borderId="24">
      <alignment horizontal="right" shrinkToFit="1"/>
    </xf>
    <xf numFmtId="4" fontId="67" fillId="99" borderId="24">
      <alignment horizontal="right" shrinkToFit="1"/>
    </xf>
    <xf numFmtId="4" fontId="33" fillId="13" borderId="24">
      <alignment horizontal="right" shrinkToFit="1"/>
    </xf>
    <xf numFmtId="4" fontId="33" fillId="13" borderId="24">
      <alignment horizontal="right" shrinkToFit="1"/>
    </xf>
    <xf numFmtId="4" fontId="33" fillId="13" borderId="24">
      <alignment horizontal="right" shrinkToFit="1"/>
    </xf>
    <xf numFmtId="4" fontId="33" fillId="13" borderId="24">
      <alignment horizontal="right" shrinkToFit="1"/>
    </xf>
    <xf numFmtId="4" fontId="67" fillId="99" borderId="24">
      <alignment horizontal="right" shrinkToFit="1"/>
    </xf>
    <xf numFmtId="4" fontId="67" fillId="99" borderId="24">
      <alignment horizontal="right" shrinkToFit="1"/>
    </xf>
    <xf numFmtId="4" fontId="33" fillId="13" borderId="24">
      <alignment horizontal="right" shrinkToFit="1"/>
    </xf>
    <xf numFmtId="4" fontId="33" fillId="13" borderId="24">
      <alignment horizontal="right" shrinkToFit="1"/>
    </xf>
    <xf numFmtId="4" fontId="33" fillId="13" borderId="24">
      <alignment horizontal="right" shrinkToFit="1"/>
    </xf>
    <xf numFmtId="4" fontId="33" fillId="13" borderId="24">
      <alignment horizontal="right" shrinkToFit="1"/>
    </xf>
    <xf numFmtId="4" fontId="67" fillId="99" borderId="24">
      <alignment horizontal="right" shrinkToFit="1"/>
    </xf>
    <xf numFmtId="4" fontId="67" fillId="99" borderId="24">
      <alignment horizontal="right" shrinkToFit="1"/>
    </xf>
    <xf numFmtId="4" fontId="33" fillId="13" borderId="24">
      <alignment horizontal="right" shrinkToFit="1"/>
    </xf>
    <xf numFmtId="4" fontId="33" fillId="13" borderId="24">
      <alignment horizontal="right" shrinkToFit="1"/>
    </xf>
    <xf numFmtId="4" fontId="33" fillId="13" borderId="24">
      <alignment horizontal="right" shrinkToFit="1"/>
    </xf>
    <xf numFmtId="4" fontId="33" fillId="13" borderId="24">
      <alignment horizontal="right" shrinkToFit="1"/>
    </xf>
    <xf numFmtId="4" fontId="67" fillId="99" borderId="24">
      <alignment horizontal="right" shrinkToFit="1"/>
    </xf>
    <xf numFmtId="4" fontId="67" fillId="99" borderId="24">
      <alignment horizontal="right" shrinkToFit="1"/>
    </xf>
    <xf numFmtId="4" fontId="33" fillId="13" borderId="24">
      <alignment horizontal="right" shrinkToFit="1"/>
    </xf>
    <xf numFmtId="4" fontId="33" fillId="13" borderId="24">
      <alignment horizontal="right" shrinkToFit="1"/>
    </xf>
    <xf numFmtId="4" fontId="33" fillId="13" borderId="24">
      <alignment horizontal="right" shrinkToFit="1"/>
    </xf>
    <xf numFmtId="4" fontId="33" fillId="13" borderId="24">
      <alignment horizontal="right" shrinkToFit="1"/>
    </xf>
    <xf numFmtId="4" fontId="67" fillId="99" borderId="24">
      <alignment horizontal="right" shrinkToFit="1"/>
    </xf>
    <xf numFmtId="4" fontId="67" fillId="99" borderId="24">
      <alignment horizontal="right" shrinkToFit="1"/>
    </xf>
    <xf numFmtId="4" fontId="33" fillId="13" borderId="24">
      <alignment horizontal="right" shrinkToFit="1"/>
    </xf>
    <xf numFmtId="4" fontId="33" fillId="13" borderId="24">
      <alignment horizontal="right" shrinkToFit="1"/>
    </xf>
    <xf numFmtId="4" fontId="33" fillId="13" borderId="24">
      <alignment horizontal="right" shrinkToFit="1"/>
    </xf>
    <xf numFmtId="4" fontId="33" fillId="13" borderId="24">
      <alignment horizontal="right" shrinkToFit="1"/>
    </xf>
    <xf numFmtId="4" fontId="67" fillId="99" borderId="24">
      <alignment horizontal="right" shrinkToFit="1"/>
    </xf>
    <xf numFmtId="0" fontId="67" fillId="100" borderId="15">
      <alignment horizontal="left" vertical="top" wrapText="1"/>
    </xf>
    <xf numFmtId="0" fontId="33" fillId="10" borderId="15">
      <alignment horizontal="left" vertical="top" wrapText="1"/>
    </xf>
    <xf numFmtId="0" fontId="33" fillId="10" borderId="15">
      <alignment horizontal="left" vertical="top" wrapText="1"/>
    </xf>
    <xf numFmtId="0" fontId="33" fillId="10" borderId="15">
      <alignment horizontal="left" vertical="top" wrapText="1"/>
    </xf>
    <xf numFmtId="0" fontId="33" fillId="10" borderId="15">
      <alignment horizontal="left" vertical="top" wrapText="1"/>
    </xf>
    <xf numFmtId="0" fontId="67" fillId="100" borderId="15">
      <alignment horizontal="left" vertical="top" wrapText="1"/>
    </xf>
    <xf numFmtId="49" fontId="32" fillId="12" borderId="21">
      <alignment horizontal="center" vertical="top" shrinkToFit="1"/>
    </xf>
    <xf numFmtId="49" fontId="32" fillId="12" borderId="21">
      <alignment horizontal="center" vertical="top" shrinkToFit="1"/>
    </xf>
    <xf numFmtId="49" fontId="32" fillId="12" borderId="21">
      <alignment horizontal="center" vertical="top" shrinkToFit="1"/>
    </xf>
    <xf numFmtId="49" fontId="32" fillId="12" borderId="21">
      <alignment horizontal="center" vertical="top" shrinkToFit="1"/>
    </xf>
    <xf numFmtId="49" fontId="68" fillId="101" borderId="21">
      <alignment horizontal="center" vertical="top" shrinkToFit="1"/>
    </xf>
    <xf numFmtId="0" fontId="67" fillId="100" borderId="15">
      <alignment horizontal="left" vertical="top" wrapText="1"/>
    </xf>
    <xf numFmtId="49" fontId="67" fillId="100" borderId="15">
      <alignment horizontal="center" vertical="top" shrinkToFit="1"/>
    </xf>
    <xf numFmtId="49" fontId="33" fillId="10" borderId="15">
      <alignment horizontal="center" vertical="top" shrinkToFit="1"/>
    </xf>
    <xf numFmtId="49" fontId="33" fillId="10" borderId="15">
      <alignment horizontal="center" vertical="top" shrinkToFit="1"/>
    </xf>
    <xf numFmtId="49" fontId="33" fillId="10" borderId="15">
      <alignment horizontal="center" vertical="top" shrinkToFit="1"/>
    </xf>
    <xf numFmtId="49" fontId="33" fillId="10" borderId="15">
      <alignment horizontal="center" vertical="top" shrinkToFit="1"/>
    </xf>
    <xf numFmtId="49" fontId="67" fillId="100" borderId="15">
      <alignment horizontal="center" vertical="top" shrinkToFit="1"/>
    </xf>
    <xf numFmtId="0" fontId="33" fillId="10" borderId="15">
      <alignment horizontal="left" vertical="top" wrapText="1"/>
    </xf>
    <xf numFmtId="0" fontId="33" fillId="10" borderId="15">
      <alignment horizontal="left" vertical="top" wrapText="1"/>
    </xf>
    <xf numFmtId="0" fontId="33" fillId="10" borderId="15">
      <alignment horizontal="left" vertical="top" wrapText="1"/>
    </xf>
    <xf numFmtId="0" fontId="33" fillId="10" borderId="15">
      <alignment horizontal="left" vertical="top" wrapText="1"/>
    </xf>
    <xf numFmtId="0" fontId="67" fillId="100" borderId="15">
      <alignment horizontal="left" vertical="top" wrapText="1"/>
    </xf>
    <xf numFmtId="49" fontId="67" fillId="100" borderId="15">
      <alignment horizontal="center" vertical="top" shrinkToFit="1"/>
    </xf>
    <xf numFmtId="49" fontId="33" fillId="10" borderId="15">
      <alignment horizontal="center" vertical="top" shrinkToFit="1"/>
    </xf>
    <xf numFmtId="49" fontId="33" fillId="10" borderId="15">
      <alignment horizontal="center" vertical="top" shrinkToFit="1"/>
    </xf>
    <xf numFmtId="49" fontId="33" fillId="10" borderId="15">
      <alignment horizontal="center" vertical="top" shrinkToFit="1"/>
    </xf>
    <xf numFmtId="49" fontId="33" fillId="10" borderId="15">
      <alignment horizontal="center" vertical="top" shrinkToFit="1"/>
    </xf>
    <xf numFmtId="49" fontId="67" fillId="100" borderId="15">
      <alignment horizontal="center" vertical="top" shrinkToFit="1"/>
    </xf>
    <xf numFmtId="49" fontId="67" fillId="100" borderId="15">
      <alignment horizontal="center" vertical="top" shrinkToFit="1"/>
    </xf>
    <xf numFmtId="49" fontId="33" fillId="10" borderId="15">
      <alignment horizontal="center" vertical="top" shrinkToFit="1"/>
    </xf>
    <xf numFmtId="49" fontId="33" fillId="10" borderId="15">
      <alignment horizontal="center" vertical="top" shrinkToFit="1"/>
    </xf>
    <xf numFmtId="49" fontId="33" fillId="10" borderId="15">
      <alignment horizontal="center" vertical="top" shrinkToFit="1"/>
    </xf>
    <xf numFmtId="49" fontId="33" fillId="10" borderId="15">
      <alignment horizontal="center" vertical="top" shrinkToFit="1"/>
    </xf>
    <xf numFmtId="49" fontId="67" fillId="100" borderId="15">
      <alignment horizontal="center" vertical="top" shrinkToFit="1"/>
    </xf>
    <xf numFmtId="49" fontId="67" fillId="100" borderId="15">
      <alignment horizontal="center" vertical="top" shrinkToFit="1"/>
    </xf>
    <xf numFmtId="49" fontId="33" fillId="10" borderId="15">
      <alignment horizontal="center" vertical="top" shrinkToFit="1"/>
    </xf>
    <xf numFmtId="49" fontId="33" fillId="10" borderId="15">
      <alignment horizontal="center" vertical="top" shrinkToFit="1"/>
    </xf>
    <xf numFmtId="49" fontId="33" fillId="10" borderId="15">
      <alignment horizontal="center" vertical="top" shrinkToFit="1"/>
    </xf>
    <xf numFmtId="49" fontId="33" fillId="10" borderId="15">
      <alignment horizontal="center" vertical="top" shrinkToFit="1"/>
    </xf>
    <xf numFmtId="49" fontId="67" fillId="100" borderId="15">
      <alignment horizontal="center" vertical="top" shrinkToFit="1"/>
    </xf>
    <xf numFmtId="49" fontId="67" fillId="100" borderId="15">
      <alignment horizontal="center" vertical="top" shrinkToFit="1"/>
    </xf>
    <xf numFmtId="49" fontId="33" fillId="10" borderId="15">
      <alignment horizontal="center" vertical="top" shrinkToFit="1"/>
    </xf>
    <xf numFmtId="49" fontId="33" fillId="10" borderId="15">
      <alignment horizontal="center" vertical="top" shrinkToFit="1"/>
    </xf>
    <xf numFmtId="49" fontId="33" fillId="10" borderId="15">
      <alignment horizontal="center" vertical="top" shrinkToFit="1"/>
    </xf>
    <xf numFmtId="49" fontId="33" fillId="10" borderId="15">
      <alignment horizontal="center" vertical="top" shrinkToFit="1"/>
    </xf>
    <xf numFmtId="49" fontId="67" fillId="100" borderId="15">
      <alignment horizontal="center" vertical="top" shrinkToFit="1"/>
    </xf>
    <xf numFmtId="49" fontId="67" fillId="100" borderId="15">
      <alignment horizontal="center" vertical="top" shrinkToFit="1"/>
    </xf>
    <xf numFmtId="49" fontId="33" fillId="10" borderId="15">
      <alignment horizontal="center" vertical="top" shrinkToFit="1"/>
    </xf>
    <xf numFmtId="49" fontId="33" fillId="10" borderId="15">
      <alignment horizontal="center" vertical="top" shrinkToFit="1"/>
    </xf>
    <xf numFmtId="49" fontId="33" fillId="10" borderId="15">
      <alignment horizontal="center" vertical="top" shrinkToFit="1"/>
    </xf>
    <xf numFmtId="49" fontId="33" fillId="10" borderId="15">
      <alignment horizontal="center" vertical="top" shrinkToFit="1"/>
    </xf>
    <xf numFmtId="49" fontId="67" fillId="100" borderId="15">
      <alignment horizontal="center" vertical="top" shrinkToFit="1"/>
    </xf>
    <xf numFmtId="49" fontId="67" fillId="100" borderId="15">
      <alignment horizontal="center" vertical="top" shrinkToFit="1"/>
    </xf>
    <xf numFmtId="49" fontId="33" fillId="10" borderId="15">
      <alignment horizontal="center" vertical="top" shrinkToFit="1"/>
    </xf>
    <xf numFmtId="49" fontId="33" fillId="10" borderId="15">
      <alignment horizontal="center" vertical="top" shrinkToFit="1"/>
    </xf>
    <xf numFmtId="49" fontId="33" fillId="10" borderId="15">
      <alignment horizontal="center" vertical="top" shrinkToFit="1"/>
    </xf>
    <xf numFmtId="49" fontId="33" fillId="10" borderId="15">
      <alignment horizontal="center" vertical="top" shrinkToFit="1"/>
    </xf>
    <xf numFmtId="49" fontId="67" fillId="100" borderId="15">
      <alignment horizontal="center" vertical="top" shrinkToFit="1"/>
    </xf>
    <xf numFmtId="49" fontId="67" fillId="100" borderId="15">
      <alignment horizontal="center" vertical="top" shrinkToFit="1"/>
    </xf>
    <xf numFmtId="49" fontId="33" fillId="10" borderId="15">
      <alignment horizontal="center" vertical="top" shrinkToFit="1"/>
    </xf>
    <xf numFmtId="49" fontId="33" fillId="10" borderId="15">
      <alignment horizontal="center" vertical="top" shrinkToFit="1"/>
    </xf>
    <xf numFmtId="49" fontId="33" fillId="10" borderId="15">
      <alignment horizontal="center" vertical="top" shrinkToFit="1"/>
    </xf>
    <xf numFmtId="49" fontId="33" fillId="10" borderId="15">
      <alignment horizontal="center" vertical="top" shrinkToFit="1"/>
    </xf>
    <xf numFmtId="49" fontId="67" fillId="100" borderId="15">
      <alignment horizontal="center" vertical="top" shrinkToFit="1"/>
    </xf>
    <xf numFmtId="49" fontId="67" fillId="100" borderId="15">
      <alignment horizontal="center" vertical="top" shrinkToFit="1"/>
    </xf>
    <xf numFmtId="49" fontId="33" fillId="10" borderId="15">
      <alignment horizontal="center" vertical="top" shrinkToFit="1"/>
    </xf>
    <xf numFmtId="49" fontId="33" fillId="10" borderId="15">
      <alignment horizontal="center" vertical="top" shrinkToFit="1"/>
    </xf>
    <xf numFmtId="49" fontId="33" fillId="10" borderId="15">
      <alignment horizontal="center" vertical="top" shrinkToFit="1"/>
    </xf>
    <xf numFmtId="49" fontId="33" fillId="10" borderId="15">
      <alignment horizontal="center" vertical="top" shrinkToFit="1"/>
    </xf>
    <xf numFmtId="49" fontId="67" fillId="100" borderId="15">
      <alignment horizontal="center" vertical="top" shrinkToFit="1"/>
    </xf>
    <xf numFmtId="0" fontId="67" fillId="100" borderId="15">
      <alignment horizontal="left" vertical="top" wrapText="1"/>
    </xf>
    <xf numFmtId="0" fontId="33" fillId="10" borderId="15">
      <alignment horizontal="left" vertical="top" wrapText="1"/>
    </xf>
    <xf numFmtId="0" fontId="33" fillId="10" borderId="15">
      <alignment horizontal="left" vertical="top" wrapText="1"/>
    </xf>
    <xf numFmtId="0" fontId="33" fillId="10" borderId="15">
      <alignment horizontal="left" vertical="top" wrapText="1"/>
    </xf>
    <xf numFmtId="0" fontId="33" fillId="10" borderId="15">
      <alignment horizontal="left" vertical="top" wrapText="1"/>
    </xf>
    <xf numFmtId="0" fontId="67" fillId="100" borderId="15">
      <alignment horizontal="left" vertical="top" wrapText="1"/>
    </xf>
    <xf numFmtId="0" fontId="67" fillId="100" borderId="15">
      <alignment horizontal="left" vertical="top" wrapText="1"/>
    </xf>
    <xf numFmtId="0" fontId="33" fillId="10" borderId="15">
      <alignment horizontal="left" vertical="top" wrapText="1"/>
    </xf>
    <xf numFmtId="0" fontId="33" fillId="10" borderId="15">
      <alignment horizontal="left" vertical="top" wrapText="1"/>
    </xf>
    <xf numFmtId="0" fontId="33" fillId="10" borderId="15">
      <alignment horizontal="left" vertical="top" wrapText="1"/>
    </xf>
    <xf numFmtId="0" fontId="33" fillId="10" borderId="15">
      <alignment horizontal="left" vertical="top" wrapText="1"/>
    </xf>
    <xf numFmtId="0" fontId="67" fillId="100" borderId="15">
      <alignment horizontal="left" vertical="top" wrapText="1"/>
    </xf>
    <xf numFmtId="0" fontId="67" fillId="100" borderId="15">
      <alignment horizontal="left" vertical="top" wrapText="1"/>
    </xf>
    <xf numFmtId="0" fontId="33" fillId="10" borderId="15">
      <alignment horizontal="left" vertical="top" wrapText="1"/>
    </xf>
    <xf numFmtId="0" fontId="33" fillId="10" borderId="15">
      <alignment horizontal="left" vertical="top" wrapText="1"/>
    </xf>
    <xf numFmtId="0" fontId="33" fillId="10" borderId="15">
      <alignment horizontal="left" vertical="top" wrapText="1"/>
    </xf>
    <xf numFmtId="0" fontId="33" fillId="10" borderId="15">
      <alignment horizontal="left" vertical="top" wrapText="1"/>
    </xf>
    <xf numFmtId="0" fontId="67" fillId="100" borderId="15">
      <alignment horizontal="left" vertical="top" wrapText="1"/>
    </xf>
    <xf numFmtId="0" fontId="67" fillId="100" borderId="15">
      <alignment horizontal="left" vertical="top" wrapText="1"/>
    </xf>
    <xf numFmtId="0" fontId="33" fillId="10" borderId="15">
      <alignment horizontal="left" vertical="top" wrapText="1"/>
    </xf>
    <xf numFmtId="0" fontId="33" fillId="10" borderId="15">
      <alignment horizontal="left" vertical="top" wrapText="1"/>
    </xf>
    <xf numFmtId="0" fontId="33" fillId="10" borderId="15">
      <alignment horizontal="left" vertical="top" wrapText="1"/>
    </xf>
    <xf numFmtId="0" fontId="33" fillId="10" borderId="15">
      <alignment horizontal="left" vertical="top" wrapText="1"/>
    </xf>
    <xf numFmtId="0" fontId="67" fillId="100" borderId="15">
      <alignment horizontal="left" vertical="top" wrapText="1"/>
    </xf>
    <xf numFmtId="0" fontId="67" fillId="100" borderId="15">
      <alignment horizontal="left" vertical="top" wrapText="1"/>
    </xf>
    <xf numFmtId="0" fontId="33" fillId="10" borderId="15">
      <alignment horizontal="left" vertical="top" wrapText="1"/>
    </xf>
    <xf numFmtId="0" fontId="33" fillId="10" borderId="15">
      <alignment horizontal="left" vertical="top" wrapText="1"/>
    </xf>
    <xf numFmtId="0" fontId="33" fillId="10" borderId="15">
      <alignment horizontal="left" vertical="top" wrapText="1"/>
    </xf>
    <xf numFmtId="0" fontId="33" fillId="10" borderId="15">
      <alignment horizontal="left" vertical="top" wrapText="1"/>
    </xf>
    <xf numFmtId="0" fontId="67" fillId="100" borderId="15">
      <alignment horizontal="left" vertical="top" wrapText="1"/>
    </xf>
    <xf numFmtId="0" fontId="67" fillId="100" borderId="15">
      <alignment horizontal="left" vertical="top" wrapText="1"/>
    </xf>
    <xf numFmtId="0" fontId="33" fillId="10" borderId="15">
      <alignment horizontal="left" vertical="top" wrapText="1"/>
    </xf>
    <xf numFmtId="0" fontId="33" fillId="10" borderId="15">
      <alignment horizontal="left" vertical="top" wrapText="1"/>
    </xf>
    <xf numFmtId="0" fontId="33" fillId="10" borderId="15">
      <alignment horizontal="left" vertical="top" wrapText="1"/>
    </xf>
    <xf numFmtId="0" fontId="33" fillId="10" borderId="15">
      <alignment horizontal="left" vertical="top" wrapText="1"/>
    </xf>
    <xf numFmtId="0" fontId="67" fillId="100" borderId="15">
      <alignment horizontal="left" vertical="top" wrapText="1"/>
    </xf>
    <xf numFmtId="0" fontId="67" fillId="100" borderId="15">
      <alignment horizontal="left" vertical="top" wrapText="1"/>
    </xf>
    <xf numFmtId="0" fontId="33" fillId="10" borderId="15">
      <alignment horizontal="left" vertical="top" wrapText="1"/>
    </xf>
    <xf numFmtId="0" fontId="33" fillId="10" borderId="15">
      <alignment horizontal="left" vertical="top" wrapText="1"/>
    </xf>
    <xf numFmtId="0" fontId="33" fillId="10" borderId="15">
      <alignment horizontal="left" vertical="top" wrapText="1"/>
    </xf>
    <xf numFmtId="0" fontId="33" fillId="10" borderId="15">
      <alignment horizontal="left" vertical="top" wrapText="1"/>
    </xf>
    <xf numFmtId="0" fontId="67" fillId="100" borderId="15">
      <alignment horizontal="left" vertical="top" wrapText="1"/>
    </xf>
    <xf numFmtId="49" fontId="67" fillId="100" borderId="16">
      <alignment horizontal="center" vertical="top" wrapText="1" shrinkToFit="1"/>
    </xf>
    <xf numFmtId="49" fontId="33" fillId="10" borderId="16">
      <alignment horizontal="center" vertical="top" wrapText="1" shrinkToFit="1"/>
    </xf>
    <xf numFmtId="49" fontId="33" fillId="10" borderId="16">
      <alignment horizontal="center" vertical="top" wrapText="1" shrinkToFit="1"/>
    </xf>
    <xf numFmtId="49" fontId="33" fillId="10" borderId="16">
      <alignment horizontal="center" vertical="top" wrapText="1" shrinkToFit="1"/>
    </xf>
    <xf numFmtId="49" fontId="33" fillId="10" borderId="16">
      <alignment horizontal="center" vertical="top" wrapText="1" shrinkToFit="1"/>
    </xf>
    <xf numFmtId="49" fontId="67" fillId="100" borderId="16">
      <alignment horizontal="center" vertical="top" wrapText="1" shrinkToFit="1"/>
    </xf>
    <xf numFmtId="0" fontId="32" fillId="12" borderId="22">
      <alignment horizontal="left" vertical="top" wrapText="1"/>
    </xf>
    <xf numFmtId="0" fontId="32" fillId="12" borderId="22">
      <alignment horizontal="left" vertical="top" wrapText="1"/>
    </xf>
    <xf numFmtId="0" fontId="32" fillId="12" borderId="22">
      <alignment horizontal="left" vertical="top" wrapText="1"/>
    </xf>
    <xf numFmtId="0" fontId="32" fillId="12" borderId="22">
      <alignment horizontal="left" vertical="top" wrapText="1"/>
    </xf>
    <xf numFmtId="0" fontId="68" fillId="101" borderId="22">
      <alignment horizontal="left" vertical="top" wrapText="1"/>
    </xf>
    <xf numFmtId="49" fontId="67" fillId="100" borderId="16">
      <alignment horizontal="center" vertical="top" wrapText="1" shrinkToFit="1"/>
    </xf>
    <xf numFmtId="0" fontId="67" fillId="100" borderId="16">
      <alignment horizontal="left" vertical="top" wrapText="1"/>
    </xf>
    <xf numFmtId="0" fontId="33" fillId="10" borderId="16">
      <alignment horizontal="left" vertical="top" wrapText="1"/>
    </xf>
    <xf numFmtId="0" fontId="33" fillId="10" borderId="16">
      <alignment horizontal="left" vertical="top" wrapText="1"/>
    </xf>
    <xf numFmtId="0" fontId="33" fillId="10" borderId="16">
      <alignment horizontal="left" vertical="top" wrapText="1"/>
    </xf>
    <xf numFmtId="0" fontId="33" fillId="10" borderId="16">
      <alignment horizontal="left" vertical="top" wrapText="1"/>
    </xf>
    <xf numFmtId="0" fontId="67" fillId="100" borderId="16">
      <alignment horizontal="left" vertical="top" wrapText="1"/>
    </xf>
    <xf numFmtId="49" fontId="33" fillId="10" borderId="16">
      <alignment horizontal="center" vertical="top" wrapText="1" shrinkToFit="1"/>
    </xf>
    <xf numFmtId="49" fontId="33" fillId="10" borderId="16">
      <alignment horizontal="center" vertical="top" wrapText="1" shrinkToFit="1"/>
    </xf>
    <xf numFmtId="49" fontId="33" fillId="10" borderId="16">
      <alignment horizontal="center" vertical="top" wrapText="1" shrinkToFit="1"/>
    </xf>
    <xf numFmtId="49" fontId="33" fillId="10" borderId="16">
      <alignment horizontal="center" vertical="top" wrapText="1" shrinkToFit="1"/>
    </xf>
    <xf numFmtId="49" fontId="67" fillId="100" borderId="16">
      <alignment horizontal="center" vertical="top" wrapText="1" shrinkToFit="1"/>
    </xf>
    <xf numFmtId="49" fontId="67" fillId="100" borderId="16">
      <alignment horizontal="center" vertical="top" wrapText="1" shrinkToFit="1"/>
    </xf>
    <xf numFmtId="49" fontId="33" fillId="10" borderId="16">
      <alignment horizontal="center" vertical="top" wrapText="1" shrinkToFit="1"/>
    </xf>
    <xf numFmtId="49" fontId="33" fillId="10" borderId="16">
      <alignment horizontal="center" vertical="top" wrapText="1" shrinkToFit="1"/>
    </xf>
    <xf numFmtId="49" fontId="33" fillId="10" borderId="16">
      <alignment horizontal="center" vertical="top" wrapText="1" shrinkToFit="1"/>
    </xf>
    <xf numFmtId="49" fontId="33" fillId="10" borderId="16">
      <alignment horizontal="center" vertical="top" wrapText="1" shrinkToFit="1"/>
    </xf>
    <xf numFmtId="49" fontId="67" fillId="100" borderId="16">
      <alignment horizontal="center" vertical="top" wrapText="1" shrinkToFit="1"/>
    </xf>
    <xf numFmtId="49" fontId="67" fillId="100" borderId="16">
      <alignment horizontal="center" vertical="top" wrapText="1" shrinkToFit="1"/>
    </xf>
    <xf numFmtId="49" fontId="33" fillId="10" borderId="16">
      <alignment horizontal="center" vertical="top" wrapText="1" shrinkToFit="1"/>
    </xf>
    <xf numFmtId="49" fontId="33" fillId="10" borderId="16">
      <alignment horizontal="center" vertical="top" wrapText="1" shrinkToFit="1"/>
    </xf>
    <xf numFmtId="49" fontId="33" fillId="10" borderId="16">
      <alignment horizontal="center" vertical="top" wrapText="1" shrinkToFit="1"/>
    </xf>
    <xf numFmtId="49" fontId="33" fillId="10" borderId="16">
      <alignment horizontal="center" vertical="top" wrapText="1" shrinkToFit="1"/>
    </xf>
    <xf numFmtId="49" fontId="67" fillId="100" borderId="16">
      <alignment horizontal="center" vertical="top" wrapText="1" shrinkToFit="1"/>
    </xf>
    <xf numFmtId="49" fontId="67" fillId="100" borderId="16">
      <alignment horizontal="center" vertical="top" wrapText="1" shrinkToFit="1"/>
    </xf>
    <xf numFmtId="49" fontId="33" fillId="10" borderId="16">
      <alignment horizontal="center" vertical="top" wrapText="1" shrinkToFit="1"/>
    </xf>
    <xf numFmtId="49" fontId="33" fillId="10" borderId="16">
      <alignment horizontal="center" vertical="top" wrapText="1" shrinkToFit="1"/>
    </xf>
    <xf numFmtId="49" fontId="33" fillId="10" borderId="16">
      <alignment horizontal="center" vertical="top" wrapText="1" shrinkToFit="1"/>
    </xf>
    <xf numFmtId="49" fontId="33" fillId="10" borderId="16">
      <alignment horizontal="center" vertical="top" wrapText="1" shrinkToFit="1"/>
    </xf>
    <xf numFmtId="49" fontId="67" fillId="100" borderId="16">
      <alignment horizontal="center" vertical="top" wrapText="1" shrinkToFit="1"/>
    </xf>
    <xf numFmtId="49" fontId="67" fillId="100" borderId="16">
      <alignment horizontal="center" vertical="top" wrapText="1" shrinkToFit="1"/>
    </xf>
    <xf numFmtId="49" fontId="33" fillId="10" borderId="16">
      <alignment horizontal="center" vertical="top" wrapText="1" shrinkToFit="1"/>
    </xf>
    <xf numFmtId="49" fontId="33" fillId="10" borderId="16">
      <alignment horizontal="center" vertical="top" wrapText="1" shrinkToFit="1"/>
    </xf>
    <xf numFmtId="49" fontId="33" fillId="10" borderId="16">
      <alignment horizontal="center" vertical="top" wrapText="1" shrinkToFit="1"/>
    </xf>
    <xf numFmtId="49" fontId="33" fillId="10" borderId="16">
      <alignment horizontal="center" vertical="top" wrapText="1" shrinkToFit="1"/>
    </xf>
    <xf numFmtId="49" fontId="67" fillId="100" borderId="16">
      <alignment horizontal="center" vertical="top" wrapText="1" shrinkToFit="1"/>
    </xf>
    <xf numFmtId="49" fontId="67" fillId="100" borderId="16">
      <alignment horizontal="center" vertical="top" wrapText="1" shrinkToFit="1"/>
    </xf>
    <xf numFmtId="49" fontId="33" fillId="10" borderId="16">
      <alignment horizontal="center" vertical="top" wrapText="1" shrinkToFit="1"/>
    </xf>
    <xf numFmtId="49" fontId="33" fillId="10" borderId="16">
      <alignment horizontal="center" vertical="top" wrapText="1" shrinkToFit="1"/>
    </xf>
    <xf numFmtId="49" fontId="33" fillId="10" borderId="16">
      <alignment horizontal="center" vertical="top" wrapText="1" shrinkToFit="1"/>
    </xf>
    <xf numFmtId="49" fontId="33" fillId="10" borderId="16">
      <alignment horizontal="center" vertical="top" wrapText="1" shrinkToFit="1"/>
    </xf>
    <xf numFmtId="49" fontId="67" fillId="100" borderId="16">
      <alignment horizontal="center" vertical="top" wrapText="1" shrinkToFit="1"/>
    </xf>
    <xf numFmtId="49" fontId="67" fillId="100" borderId="16">
      <alignment horizontal="center" vertical="top" wrapText="1" shrinkToFit="1"/>
    </xf>
    <xf numFmtId="49" fontId="33" fillId="10" borderId="16">
      <alignment horizontal="center" vertical="top" wrapText="1" shrinkToFit="1"/>
    </xf>
    <xf numFmtId="49" fontId="33" fillId="10" borderId="16">
      <alignment horizontal="center" vertical="top" wrapText="1" shrinkToFit="1"/>
    </xf>
    <xf numFmtId="49" fontId="33" fillId="10" borderId="16">
      <alignment horizontal="center" vertical="top" wrapText="1" shrinkToFit="1"/>
    </xf>
    <xf numFmtId="49" fontId="33" fillId="10" borderId="16">
      <alignment horizontal="center" vertical="top" wrapText="1" shrinkToFit="1"/>
    </xf>
    <xf numFmtId="49" fontId="67" fillId="100" borderId="16">
      <alignment horizontal="center" vertical="top" wrapText="1" shrinkToFit="1"/>
    </xf>
    <xf numFmtId="49" fontId="67" fillId="100" borderId="16">
      <alignment horizontal="center" vertical="top" wrapText="1" shrinkToFit="1"/>
    </xf>
    <xf numFmtId="49" fontId="33" fillId="10" borderId="16">
      <alignment horizontal="center" vertical="top" wrapText="1" shrinkToFit="1"/>
    </xf>
    <xf numFmtId="49" fontId="33" fillId="10" borderId="16">
      <alignment horizontal="center" vertical="top" wrapText="1" shrinkToFit="1"/>
    </xf>
    <xf numFmtId="49" fontId="33" fillId="10" borderId="16">
      <alignment horizontal="center" vertical="top" wrapText="1" shrinkToFit="1"/>
    </xf>
    <xf numFmtId="49" fontId="33" fillId="10" borderId="16">
      <alignment horizontal="center" vertical="top" wrapText="1" shrinkToFit="1"/>
    </xf>
    <xf numFmtId="49" fontId="67" fillId="100" borderId="16">
      <alignment horizontal="center" vertical="top" wrapText="1" shrinkToFit="1"/>
    </xf>
    <xf numFmtId="0" fontId="67" fillId="100" borderId="16">
      <alignment horizontal="left" vertical="top" wrapText="1"/>
    </xf>
    <xf numFmtId="0" fontId="33" fillId="10" borderId="16">
      <alignment horizontal="left" vertical="top" wrapText="1"/>
    </xf>
    <xf numFmtId="0" fontId="33" fillId="10" borderId="16">
      <alignment horizontal="left" vertical="top" wrapText="1"/>
    </xf>
    <xf numFmtId="0" fontId="33" fillId="10" borderId="16">
      <alignment horizontal="left" vertical="top" wrapText="1"/>
    </xf>
    <xf numFmtId="0" fontId="33" fillId="10" borderId="16">
      <alignment horizontal="left" vertical="top" wrapText="1"/>
    </xf>
    <xf numFmtId="0" fontId="67" fillId="100" borderId="16">
      <alignment horizontal="left" vertical="top" wrapText="1"/>
    </xf>
    <xf numFmtId="49" fontId="32" fillId="12" borderId="22">
      <alignment horizontal="center" vertical="top" shrinkToFit="1"/>
    </xf>
    <xf numFmtId="49" fontId="32" fillId="12" borderId="22">
      <alignment horizontal="center" vertical="top" shrinkToFit="1"/>
    </xf>
    <xf numFmtId="49" fontId="32" fillId="12" borderId="22">
      <alignment horizontal="center" vertical="top" shrinkToFit="1"/>
    </xf>
    <xf numFmtId="49" fontId="32" fillId="12" borderId="22">
      <alignment horizontal="center" vertical="top" shrinkToFit="1"/>
    </xf>
    <xf numFmtId="49" fontId="68" fillId="101" borderId="22">
      <alignment horizontal="center" vertical="top" shrinkToFit="1"/>
    </xf>
    <xf numFmtId="0" fontId="67" fillId="100" borderId="16">
      <alignment horizontal="left" vertical="top" wrapText="1"/>
    </xf>
    <xf numFmtId="49" fontId="67" fillId="100" borderId="16">
      <alignment horizontal="center" vertical="top" wrapText="1" shrinkToFit="1"/>
    </xf>
    <xf numFmtId="49" fontId="33" fillId="10" borderId="16">
      <alignment horizontal="center" vertical="top" wrapText="1" shrinkToFit="1"/>
    </xf>
    <xf numFmtId="49" fontId="33" fillId="10" borderId="16">
      <alignment horizontal="center" vertical="top" wrapText="1" shrinkToFit="1"/>
    </xf>
    <xf numFmtId="49" fontId="33" fillId="10" borderId="16">
      <alignment horizontal="center" vertical="top" wrapText="1" shrinkToFit="1"/>
    </xf>
    <xf numFmtId="49" fontId="33" fillId="10" borderId="16">
      <alignment horizontal="center" vertical="top" wrapText="1" shrinkToFit="1"/>
    </xf>
    <xf numFmtId="49" fontId="67" fillId="100" borderId="16">
      <alignment horizontal="center" vertical="top" wrapText="1" shrinkToFit="1"/>
    </xf>
    <xf numFmtId="0" fontId="33" fillId="10" borderId="16">
      <alignment horizontal="left" vertical="top" wrapText="1"/>
    </xf>
    <xf numFmtId="0" fontId="33" fillId="10" borderId="16">
      <alignment horizontal="left" vertical="top" wrapText="1"/>
    </xf>
    <xf numFmtId="0" fontId="33" fillId="10" borderId="16">
      <alignment horizontal="left" vertical="top" wrapText="1"/>
    </xf>
    <xf numFmtId="0" fontId="33" fillId="10" borderId="16">
      <alignment horizontal="left" vertical="top" wrapText="1"/>
    </xf>
    <xf numFmtId="0" fontId="67" fillId="100" borderId="16">
      <alignment horizontal="left" vertical="top" wrapText="1"/>
    </xf>
    <xf numFmtId="0" fontId="67" fillId="100" borderId="16">
      <alignment horizontal="left" vertical="top" wrapText="1"/>
    </xf>
    <xf numFmtId="0" fontId="33" fillId="10" borderId="16">
      <alignment horizontal="left" vertical="top" wrapText="1"/>
    </xf>
    <xf numFmtId="0" fontId="33" fillId="10" borderId="16">
      <alignment horizontal="left" vertical="top" wrapText="1"/>
    </xf>
    <xf numFmtId="0" fontId="33" fillId="10" borderId="16">
      <alignment horizontal="left" vertical="top" wrapText="1"/>
    </xf>
    <xf numFmtId="0" fontId="33" fillId="10" borderId="16">
      <alignment horizontal="left" vertical="top" wrapText="1"/>
    </xf>
    <xf numFmtId="0" fontId="67" fillId="100" borderId="16">
      <alignment horizontal="left" vertical="top" wrapText="1"/>
    </xf>
    <xf numFmtId="0" fontId="67" fillId="100" borderId="16">
      <alignment horizontal="left" vertical="top" wrapText="1"/>
    </xf>
    <xf numFmtId="0" fontId="33" fillId="10" borderId="16">
      <alignment horizontal="left" vertical="top" wrapText="1"/>
    </xf>
    <xf numFmtId="0" fontId="33" fillId="10" borderId="16">
      <alignment horizontal="left" vertical="top" wrapText="1"/>
    </xf>
    <xf numFmtId="0" fontId="33" fillId="10" borderId="16">
      <alignment horizontal="left" vertical="top" wrapText="1"/>
    </xf>
    <xf numFmtId="0" fontId="33" fillId="10" borderId="16">
      <alignment horizontal="left" vertical="top" wrapText="1"/>
    </xf>
    <xf numFmtId="0" fontId="67" fillId="100" borderId="16">
      <alignment horizontal="left" vertical="top" wrapText="1"/>
    </xf>
    <xf numFmtId="0" fontId="67" fillId="100" borderId="16">
      <alignment horizontal="left" vertical="top" wrapText="1"/>
    </xf>
    <xf numFmtId="0" fontId="33" fillId="10" borderId="16">
      <alignment horizontal="left" vertical="top" wrapText="1"/>
    </xf>
    <xf numFmtId="0" fontId="33" fillId="10" borderId="16">
      <alignment horizontal="left" vertical="top" wrapText="1"/>
    </xf>
    <xf numFmtId="0" fontId="33" fillId="10" borderId="16">
      <alignment horizontal="left" vertical="top" wrapText="1"/>
    </xf>
    <xf numFmtId="0" fontId="33" fillId="10" borderId="16">
      <alignment horizontal="left" vertical="top" wrapText="1"/>
    </xf>
    <xf numFmtId="0" fontId="67" fillId="100" borderId="16">
      <alignment horizontal="left" vertical="top" wrapText="1"/>
    </xf>
    <xf numFmtId="0" fontId="67" fillId="100" borderId="16">
      <alignment horizontal="left" vertical="top" wrapText="1"/>
    </xf>
    <xf numFmtId="0" fontId="33" fillId="10" borderId="16">
      <alignment horizontal="left" vertical="top" wrapText="1"/>
    </xf>
    <xf numFmtId="0" fontId="33" fillId="10" borderId="16">
      <alignment horizontal="left" vertical="top" wrapText="1"/>
    </xf>
    <xf numFmtId="0" fontId="33" fillId="10" borderId="16">
      <alignment horizontal="left" vertical="top" wrapText="1"/>
    </xf>
    <xf numFmtId="0" fontId="33" fillId="10" borderId="16">
      <alignment horizontal="left" vertical="top" wrapText="1"/>
    </xf>
    <xf numFmtId="0" fontId="67" fillId="100" borderId="16">
      <alignment horizontal="left" vertical="top" wrapText="1"/>
    </xf>
    <xf numFmtId="0" fontId="67" fillId="100" borderId="16">
      <alignment horizontal="left" vertical="top" wrapText="1"/>
    </xf>
    <xf numFmtId="0" fontId="33" fillId="10" borderId="16">
      <alignment horizontal="left" vertical="top" wrapText="1"/>
    </xf>
    <xf numFmtId="0" fontId="33" fillId="10" borderId="16">
      <alignment horizontal="left" vertical="top" wrapText="1"/>
    </xf>
    <xf numFmtId="0" fontId="33" fillId="10" borderId="16">
      <alignment horizontal="left" vertical="top" wrapText="1"/>
    </xf>
    <xf numFmtId="0" fontId="33" fillId="10" borderId="16">
      <alignment horizontal="left" vertical="top" wrapText="1"/>
    </xf>
    <xf numFmtId="0" fontId="67" fillId="100" borderId="16">
      <alignment horizontal="left" vertical="top" wrapText="1"/>
    </xf>
    <xf numFmtId="0" fontId="67" fillId="100" borderId="16">
      <alignment horizontal="left" vertical="top" wrapText="1"/>
    </xf>
    <xf numFmtId="0" fontId="33" fillId="10" borderId="16">
      <alignment horizontal="left" vertical="top" wrapText="1"/>
    </xf>
    <xf numFmtId="0" fontId="33" fillId="10" borderId="16">
      <alignment horizontal="left" vertical="top" wrapText="1"/>
    </xf>
    <xf numFmtId="0" fontId="33" fillId="10" borderId="16">
      <alignment horizontal="left" vertical="top" wrapText="1"/>
    </xf>
    <xf numFmtId="0" fontId="33" fillId="10" borderId="16">
      <alignment horizontal="left" vertical="top" wrapText="1"/>
    </xf>
    <xf numFmtId="0" fontId="67" fillId="100" borderId="16">
      <alignment horizontal="left" vertical="top" wrapText="1"/>
    </xf>
    <xf numFmtId="0" fontId="67" fillId="100" borderId="16">
      <alignment horizontal="left" vertical="top" wrapText="1"/>
    </xf>
    <xf numFmtId="0" fontId="33" fillId="10" borderId="16">
      <alignment horizontal="left" vertical="top" wrapText="1"/>
    </xf>
    <xf numFmtId="0" fontId="33" fillId="10" borderId="16">
      <alignment horizontal="left" vertical="top" wrapText="1"/>
    </xf>
    <xf numFmtId="0" fontId="33" fillId="10" borderId="16">
      <alignment horizontal="left" vertical="top" wrapText="1"/>
    </xf>
    <xf numFmtId="0" fontId="33" fillId="10" borderId="16">
      <alignment horizontal="left" vertical="top" wrapText="1"/>
    </xf>
    <xf numFmtId="0" fontId="67" fillId="100" borderId="16">
      <alignment horizontal="left" vertical="top" wrapText="1"/>
    </xf>
    <xf numFmtId="4" fontId="67" fillId="100" borderId="16">
      <alignment horizontal="right" vertical="top" wrapText="1" shrinkToFit="1"/>
    </xf>
    <xf numFmtId="4" fontId="33" fillId="10" borderId="16">
      <alignment horizontal="right" vertical="top" wrapText="1" shrinkToFit="1"/>
    </xf>
    <xf numFmtId="4" fontId="33" fillId="10" borderId="16">
      <alignment horizontal="right" vertical="top" wrapText="1" shrinkToFit="1"/>
    </xf>
    <xf numFmtId="4" fontId="33" fillId="10" borderId="16">
      <alignment horizontal="right" vertical="top" wrapText="1" shrinkToFit="1"/>
    </xf>
    <xf numFmtId="4" fontId="33" fillId="10" borderId="16">
      <alignment horizontal="right" vertical="top" wrapText="1" shrinkToFit="1"/>
    </xf>
    <xf numFmtId="4" fontId="67" fillId="100" borderId="16">
      <alignment horizontal="right" vertical="top" wrapText="1" shrinkToFit="1"/>
    </xf>
    <xf numFmtId="4" fontId="32" fillId="12" borderId="22">
      <alignment horizontal="right" vertical="top" shrinkToFit="1"/>
    </xf>
    <xf numFmtId="4" fontId="32" fillId="12" borderId="22">
      <alignment horizontal="right" vertical="top" shrinkToFit="1"/>
    </xf>
    <xf numFmtId="4" fontId="32" fillId="12" borderId="22">
      <alignment horizontal="right" vertical="top" shrinkToFit="1"/>
    </xf>
    <xf numFmtId="4" fontId="32" fillId="12" borderId="22">
      <alignment horizontal="right" vertical="top" shrinkToFit="1"/>
    </xf>
    <xf numFmtId="4" fontId="68" fillId="101" borderId="22">
      <alignment horizontal="right" vertical="top" shrinkToFit="1"/>
    </xf>
    <xf numFmtId="4" fontId="67" fillId="100" borderId="16">
      <alignment horizontal="right" vertical="top" wrapText="1" shrinkToFit="1"/>
    </xf>
    <xf numFmtId="4" fontId="33" fillId="10" borderId="16">
      <alignment horizontal="right" vertical="top" wrapText="1" shrinkToFit="1"/>
    </xf>
    <xf numFmtId="4" fontId="33" fillId="10" borderId="16">
      <alignment horizontal="right" vertical="top" wrapText="1" shrinkToFit="1"/>
    </xf>
    <xf numFmtId="4" fontId="33" fillId="10" borderId="16">
      <alignment horizontal="right" vertical="top" wrapText="1" shrinkToFit="1"/>
    </xf>
    <xf numFmtId="4" fontId="33" fillId="10" borderId="16">
      <alignment horizontal="right" vertical="top" wrapText="1" shrinkToFit="1"/>
    </xf>
    <xf numFmtId="4" fontId="67" fillId="100" borderId="16">
      <alignment horizontal="right" vertical="top" wrapText="1" shrinkToFit="1"/>
    </xf>
    <xf numFmtId="4" fontId="67" fillId="100" borderId="16">
      <alignment horizontal="right" vertical="top" wrapText="1" shrinkToFit="1"/>
    </xf>
    <xf numFmtId="4" fontId="33" fillId="10" borderId="16">
      <alignment horizontal="right" vertical="top" wrapText="1" shrinkToFit="1"/>
    </xf>
    <xf numFmtId="4" fontId="33" fillId="10" borderId="16">
      <alignment horizontal="right" vertical="top" wrapText="1" shrinkToFit="1"/>
    </xf>
    <xf numFmtId="4" fontId="33" fillId="10" borderId="16">
      <alignment horizontal="right" vertical="top" wrapText="1" shrinkToFit="1"/>
    </xf>
    <xf numFmtId="4" fontId="33" fillId="10" borderId="16">
      <alignment horizontal="right" vertical="top" wrapText="1" shrinkToFit="1"/>
    </xf>
    <xf numFmtId="4" fontId="67" fillId="100" borderId="16">
      <alignment horizontal="right" vertical="top" wrapText="1" shrinkToFit="1"/>
    </xf>
    <xf numFmtId="4" fontId="67" fillId="100" borderId="16">
      <alignment horizontal="right" vertical="top" wrapText="1" shrinkToFit="1"/>
    </xf>
    <xf numFmtId="4" fontId="33" fillId="10" borderId="16">
      <alignment horizontal="right" vertical="top" wrapText="1" shrinkToFit="1"/>
    </xf>
    <xf numFmtId="4" fontId="33" fillId="10" borderId="16">
      <alignment horizontal="right" vertical="top" wrapText="1" shrinkToFit="1"/>
    </xf>
    <xf numFmtId="4" fontId="33" fillId="10" borderId="16">
      <alignment horizontal="right" vertical="top" wrapText="1" shrinkToFit="1"/>
    </xf>
    <xf numFmtId="4" fontId="33" fillId="10" borderId="16">
      <alignment horizontal="right" vertical="top" wrapText="1" shrinkToFit="1"/>
    </xf>
    <xf numFmtId="4" fontId="67" fillId="100" borderId="16">
      <alignment horizontal="right" vertical="top" wrapText="1" shrinkToFit="1"/>
    </xf>
    <xf numFmtId="4" fontId="67" fillId="100" borderId="16">
      <alignment horizontal="right" vertical="top" wrapText="1" shrinkToFit="1"/>
    </xf>
    <xf numFmtId="4" fontId="33" fillId="10" borderId="16">
      <alignment horizontal="right" vertical="top" wrapText="1" shrinkToFit="1"/>
    </xf>
    <xf numFmtId="4" fontId="33" fillId="10" borderId="16">
      <alignment horizontal="right" vertical="top" wrapText="1" shrinkToFit="1"/>
    </xf>
    <xf numFmtId="4" fontId="33" fillId="10" borderId="16">
      <alignment horizontal="right" vertical="top" wrapText="1" shrinkToFit="1"/>
    </xf>
    <xf numFmtId="4" fontId="33" fillId="10" borderId="16">
      <alignment horizontal="right" vertical="top" wrapText="1" shrinkToFit="1"/>
    </xf>
    <xf numFmtId="4" fontId="67" fillId="100" borderId="16">
      <alignment horizontal="right" vertical="top" wrapText="1" shrinkToFit="1"/>
    </xf>
    <xf numFmtId="4" fontId="67" fillId="100" borderId="16">
      <alignment horizontal="right" vertical="top" wrapText="1" shrinkToFit="1"/>
    </xf>
    <xf numFmtId="4" fontId="33" fillId="10" borderId="16">
      <alignment horizontal="right" vertical="top" wrapText="1" shrinkToFit="1"/>
    </xf>
    <xf numFmtId="4" fontId="33" fillId="10" borderId="16">
      <alignment horizontal="right" vertical="top" wrapText="1" shrinkToFit="1"/>
    </xf>
    <xf numFmtId="4" fontId="33" fillId="10" borderId="16">
      <alignment horizontal="right" vertical="top" wrapText="1" shrinkToFit="1"/>
    </xf>
    <xf numFmtId="4" fontId="33" fillId="10" borderId="16">
      <alignment horizontal="right" vertical="top" wrapText="1" shrinkToFit="1"/>
    </xf>
    <xf numFmtId="4" fontId="67" fillId="100" borderId="16">
      <alignment horizontal="right" vertical="top" wrapText="1" shrinkToFit="1"/>
    </xf>
    <xf numFmtId="4" fontId="67" fillId="100" borderId="16">
      <alignment horizontal="right" vertical="top" wrapText="1" shrinkToFit="1"/>
    </xf>
    <xf numFmtId="4" fontId="33" fillId="10" borderId="16">
      <alignment horizontal="right" vertical="top" wrapText="1" shrinkToFit="1"/>
    </xf>
    <xf numFmtId="4" fontId="33" fillId="10" borderId="16">
      <alignment horizontal="right" vertical="top" wrapText="1" shrinkToFit="1"/>
    </xf>
    <xf numFmtId="4" fontId="33" fillId="10" borderId="16">
      <alignment horizontal="right" vertical="top" wrapText="1" shrinkToFit="1"/>
    </xf>
    <xf numFmtId="4" fontId="33" fillId="10" borderId="16">
      <alignment horizontal="right" vertical="top" wrapText="1" shrinkToFit="1"/>
    </xf>
    <xf numFmtId="4" fontId="67" fillId="100" borderId="16">
      <alignment horizontal="right" vertical="top" wrapText="1" shrinkToFit="1"/>
    </xf>
    <xf numFmtId="4" fontId="67" fillId="100" borderId="16">
      <alignment horizontal="right" vertical="top" wrapText="1" shrinkToFit="1"/>
    </xf>
    <xf numFmtId="4" fontId="33" fillId="10" borderId="16">
      <alignment horizontal="right" vertical="top" wrapText="1" shrinkToFit="1"/>
    </xf>
    <xf numFmtId="4" fontId="33" fillId="10" borderId="16">
      <alignment horizontal="right" vertical="top" wrapText="1" shrinkToFit="1"/>
    </xf>
    <xf numFmtId="4" fontId="33" fillId="10" borderId="16">
      <alignment horizontal="right" vertical="top" wrapText="1" shrinkToFit="1"/>
    </xf>
    <xf numFmtId="4" fontId="33" fillId="10" borderId="16">
      <alignment horizontal="right" vertical="top" wrapText="1" shrinkToFit="1"/>
    </xf>
    <xf numFmtId="4" fontId="67" fillId="100" borderId="16">
      <alignment horizontal="right" vertical="top" wrapText="1" shrinkToFit="1"/>
    </xf>
    <xf numFmtId="4" fontId="67" fillId="100" borderId="16">
      <alignment horizontal="right" vertical="top" wrapText="1" shrinkToFit="1"/>
    </xf>
    <xf numFmtId="4" fontId="33" fillId="10" borderId="16">
      <alignment horizontal="right" vertical="top" wrapText="1" shrinkToFit="1"/>
    </xf>
    <xf numFmtId="4" fontId="33" fillId="10" borderId="16">
      <alignment horizontal="right" vertical="top" wrapText="1" shrinkToFit="1"/>
    </xf>
    <xf numFmtId="4" fontId="33" fillId="10" borderId="16">
      <alignment horizontal="right" vertical="top" wrapText="1" shrinkToFit="1"/>
    </xf>
    <xf numFmtId="4" fontId="33" fillId="10" borderId="16">
      <alignment horizontal="right" vertical="top" wrapText="1" shrinkToFit="1"/>
    </xf>
    <xf numFmtId="4" fontId="67" fillId="100" borderId="16">
      <alignment horizontal="right" vertical="top" wrapText="1" shrinkToFit="1"/>
    </xf>
    <xf numFmtId="4" fontId="68" fillId="101" borderId="23">
      <alignment horizontal="right" vertical="top" shrinkToFit="1"/>
    </xf>
    <xf numFmtId="0" fontId="67" fillId="100" borderId="17">
      <alignment vertical="top" shrinkToFit="1"/>
    </xf>
    <xf numFmtId="0" fontId="33" fillId="10" borderId="17">
      <alignment vertical="top" shrinkToFit="1"/>
    </xf>
    <xf numFmtId="0" fontId="33" fillId="10" borderId="17">
      <alignment vertical="top" shrinkToFit="1"/>
    </xf>
    <xf numFmtId="0" fontId="33" fillId="10" borderId="17">
      <alignment vertical="top" shrinkToFit="1"/>
    </xf>
    <xf numFmtId="0" fontId="33" fillId="10" borderId="17">
      <alignment vertical="top" shrinkToFit="1"/>
    </xf>
    <xf numFmtId="0" fontId="67" fillId="100" borderId="17">
      <alignment vertical="top" shrinkToFit="1"/>
    </xf>
    <xf numFmtId="169" fontId="67" fillId="100" borderId="17">
      <alignment horizontal="right" vertical="top" shrinkToFit="1"/>
    </xf>
    <xf numFmtId="169" fontId="33" fillId="10" borderId="17">
      <alignment horizontal="right" vertical="top" shrinkToFit="1"/>
    </xf>
    <xf numFmtId="169" fontId="33" fillId="10" borderId="17">
      <alignment horizontal="right" vertical="top" shrinkToFit="1"/>
    </xf>
    <xf numFmtId="169" fontId="33" fillId="10" borderId="17">
      <alignment horizontal="right" vertical="top" shrinkToFit="1"/>
    </xf>
    <xf numFmtId="169" fontId="33" fillId="10" borderId="17">
      <alignment horizontal="right" vertical="top" shrinkToFit="1"/>
    </xf>
    <xf numFmtId="169" fontId="67" fillId="100" borderId="17">
      <alignment horizontal="right" vertical="top" shrinkToFit="1"/>
    </xf>
    <xf numFmtId="4" fontId="32" fillId="12" borderId="23">
      <alignment horizontal="right" vertical="top" shrinkToFit="1"/>
    </xf>
    <xf numFmtId="4" fontId="32" fillId="12" borderId="23">
      <alignment horizontal="right" vertical="top" shrinkToFit="1"/>
    </xf>
    <xf numFmtId="4" fontId="32" fillId="12" borderId="23">
      <alignment horizontal="right" vertical="top" shrinkToFit="1"/>
    </xf>
    <xf numFmtId="4" fontId="32" fillId="12" borderId="23">
      <alignment horizontal="right" vertical="top" shrinkToFit="1"/>
    </xf>
    <xf numFmtId="4" fontId="68" fillId="101" borderId="23">
      <alignment horizontal="right" vertical="top" shrinkToFit="1"/>
    </xf>
    <xf numFmtId="0" fontId="67" fillId="100" borderId="17">
      <alignment vertical="top" shrinkToFit="1"/>
    </xf>
    <xf numFmtId="4" fontId="67" fillId="100" borderId="17">
      <alignment horizontal="right" vertical="top" shrinkToFit="1"/>
    </xf>
    <xf numFmtId="4" fontId="33" fillId="10" borderId="17">
      <alignment horizontal="right" vertical="top" shrinkToFit="1"/>
    </xf>
    <xf numFmtId="4" fontId="33" fillId="10" borderId="17">
      <alignment horizontal="right" vertical="top" shrinkToFit="1"/>
    </xf>
    <xf numFmtId="4" fontId="33" fillId="10" borderId="17">
      <alignment horizontal="right" vertical="top" shrinkToFit="1"/>
    </xf>
    <xf numFmtId="4" fontId="33" fillId="10" borderId="17">
      <alignment horizontal="right" vertical="top" shrinkToFit="1"/>
    </xf>
    <xf numFmtId="4" fontId="67" fillId="100" borderId="17">
      <alignment horizontal="right" vertical="top" shrinkToFit="1"/>
    </xf>
    <xf numFmtId="0" fontId="33" fillId="10" borderId="17">
      <alignment vertical="top" shrinkToFit="1"/>
    </xf>
    <xf numFmtId="0" fontId="33" fillId="10" borderId="17">
      <alignment vertical="top" shrinkToFit="1"/>
    </xf>
    <xf numFmtId="0" fontId="33" fillId="10" borderId="17">
      <alignment vertical="top" shrinkToFit="1"/>
    </xf>
    <xf numFmtId="0" fontId="33" fillId="10" borderId="17">
      <alignment vertical="top" shrinkToFit="1"/>
    </xf>
    <xf numFmtId="0" fontId="67" fillId="100" borderId="17">
      <alignment vertical="top" shrinkToFit="1"/>
    </xf>
    <xf numFmtId="4" fontId="67" fillId="100" borderId="17">
      <alignment horizontal="right" vertical="top" shrinkToFit="1"/>
    </xf>
    <xf numFmtId="4" fontId="33" fillId="10" borderId="17">
      <alignment horizontal="right" vertical="top" shrinkToFit="1"/>
    </xf>
    <xf numFmtId="4" fontId="33" fillId="10" borderId="17">
      <alignment horizontal="right" vertical="top" shrinkToFit="1"/>
    </xf>
    <xf numFmtId="4" fontId="33" fillId="10" borderId="17">
      <alignment horizontal="right" vertical="top" shrinkToFit="1"/>
    </xf>
    <xf numFmtId="4" fontId="33" fillId="10" borderId="17">
      <alignment horizontal="right" vertical="top" shrinkToFit="1"/>
    </xf>
    <xf numFmtId="4" fontId="67" fillId="100" borderId="17">
      <alignment horizontal="right" vertical="top" shrinkToFit="1"/>
    </xf>
    <xf numFmtId="4" fontId="67" fillId="100" borderId="17">
      <alignment horizontal="right" vertical="top" shrinkToFit="1"/>
    </xf>
    <xf numFmtId="4" fontId="33" fillId="10" borderId="17">
      <alignment horizontal="right" vertical="top" shrinkToFit="1"/>
    </xf>
    <xf numFmtId="4" fontId="33" fillId="10" borderId="17">
      <alignment horizontal="right" vertical="top" shrinkToFit="1"/>
    </xf>
    <xf numFmtId="4" fontId="33" fillId="10" borderId="17">
      <alignment horizontal="right" vertical="top" shrinkToFit="1"/>
    </xf>
    <xf numFmtId="4" fontId="33" fillId="10" borderId="17">
      <alignment horizontal="right" vertical="top" shrinkToFit="1"/>
    </xf>
    <xf numFmtId="4" fontId="67" fillId="100" borderId="17">
      <alignment horizontal="right" vertical="top" shrinkToFit="1"/>
    </xf>
    <xf numFmtId="4" fontId="67" fillId="100" borderId="17">
      <alignment horizontal="right" vertical="top" shrinkToFit="1"/>
    </xf>
    <xf numFmtId="4" fontId="33" fillId="10" borderId="17">
      <alignment horizontal="right" vertical="top" shrinkToFit="1"/>
    </xf>
    <xf numFmtId="4" fontId="33" fillId="10" borderId="17">
      <alignment horizontal="right" vertical="top" shrinkToFit="1"/>
    </xf>
    <xf numFmtId="4" fontId="33" fillId="10" borderId="17">
      <alignment horizontal="right" vertical="top" shrinkToFit="1"/>
    </xf>
    <xf numFmtId="4" fontId="33" fillId="10" borderId="17">
      <alignment horizontal="right" vertical="top" shrinkToFit="1"/>
    </xf>
    <xf numFmtId="4" fontId="67" fillId="100" borderId="17">
      <alignment horizontal="right" vertical="top" shrinkToFit="1"/>
    </xf>
    <xf numFmtId="4" fontId="67" fillId="100" borderId="17">
      <alignment horizontal="right" vertical="top" shrinkToFit="1"/>
    </xf>
    <xf numFmtId="4" fontId="33" fillId="10" borderId="17">
      <alignment horizontal="right" vertical="top" shrinkToFit="1"/>
    </xf>
    <xf numFmtId="4" fontId="33" fillId="10" borderId="17">
      <alignment horizontal="right" vertical="top" shrinkToFit="1"/>
    </xf>
    <xf numFmtId="4" fontId="33" fillId="10" borderId="17">
      <alignment horizontal="right" vertical="top" shrinkToFit="1"/>
    </xf>
    <xf numFmtId="4" fontId="33" fillId="10" borderId="17">
      <alignment horizontal="right" vertical="top" shrinkToFit="1"/>
    </xf>
    <xf numFmtId="4" fontId="67" fillId="100" borderId="17">
      <alignment horizontal="right" vertical="top" shrinkToFit="1"/>
    </xf>
    <xf numFmtId="4" fontId="67" fillId="100" borderId="17">
      <alignment horizontal="right" vertical="top" shrinkToFit="1"/>
    </xf>
    <xf numFmtId="4" fontId="33" fillId="10" borderId="17">
      <alignment horizontal="right" vertical="top" shrinkToFit="1"/>
    </xf>
    <xf numFmtId="4" fontId="33" fillId="10" borderId="17">
      <alignment horizontal="right" vertical="top" shrinkToFit="1"/>
    </xf>
    <xf numFmtId="4" fontId="33" fillId="10" borderId="17">
      <alignment horizontal="right" vertical="top" shrinkToFit="1"/>
    </xf>
    <xf numFmtId="4" fontId="33" fillId="10" borderId="17">
      <alignment horizontal="right" vertical="top" shrinkToFit="1"/>
    </xf>
    <xf numFmtId="4" fontId="67" fillId="100" borderId="17">
      <alignment horizontal="right" vertical="top" shrinkToFit="1"/>
    </xf>
    <xf numFmtId="4" fontId="67" fillId="100" borderId="17">
      <alignment horizontal="right" vertical="top" shrinkToFit="1"/>
    </xf>
    <xf numFmtId="4" fontId="33" fillId="10" borderId="17">
      <alignment horizontal="right" vertical="top" shrinkToFit="1"/>
    </xf>
    <xf numFmtId="4" fontId="33" fillId="10" borderId="17">
      <alignment horizontal="right" vertical="top" shrinkToFit="1"/>
    </xf>
    <xf numFmtId="4" fontId="33" fillId="10" borderId="17">
      <alignment horizontal="right" vertical="top" shrinkToFit="1"/>
    </xf>
    <xf numFmtId="4" fontId="33" fillId="10" borderId="17">
      <alignment horizontal="right" vertical="top" shrinkToFit="1"/>
    </xf>
    <xf numFmtId="4" fontId="67" fillId="100" borderId="17">
      <alignment horizontal="right" vertical="top" shrinkToFit="1"/>
    </xf>
    <xf numFmtId="4" fontId="67" fillId="100" borderId="17">
      <alignment horizontal="right" vertical="top" shrinkToFit="1"/>
    </xf>
    <xf numFmtId="4" fontId="33" fillId="10" borderId="17">
      <alignment horizontal="right" vertical="top" shrinkToFit="1"/>
    </xf>
    <xf numFmtId="4" fontId="33" fillId="10" borderId="17">
      <alignment horizontal="right" vertical="top" shrinkToFit="1"/>
    </xf>
    <xf numFmtId="4" fontId="33" fillId="10" borderId="17">
      <alignment horizontal="right" vertical="top" shrinkToFit="1"/>
    </xf>
    <xf numFmtId="4" fontId="33" fillId="10" borderId="17">
      <alignment horizontal="right" vertical="top" shrinkToFit="1"/>
    </xf>
    <xf numFmtId="4" fontId="67" fillId="100" borderId="17">
      <alignment horizontal="right" vertical="top" shrinkToFit="1"/>
    </xf>
    <xf numFmtId="4" fontId="67" fillId="100" borderId="17">
      <alignment horizontal="right" vertical="top" shrinkToFit="1"/>
    </xf>
    <xf numFmtId="4" fontId="33" fillId="10" borderId="17">
      <alignment horizontal="right" vertical="top" shrinkToFit="1"/>
    </xf>
    <xf numFmtId="4" fontId="33" fillId="10" borderId="17">
      <alignment horizontal="right" vertical="top" shrinkToFit="1"/>
    </xf>
    <xf numFmtId="4" fontId="33" fillId="10" borderId="17">
      <alignment horizontal="right" vertical="top" shrinkToFit="1"/>
    </xf>
    <xf numFmtId="4" fontId="33" fillId="10" borderId="17">
      <alignment horizontal="right" vertical="top" shrinkToFit="1"/>
    </xf>
    <xf numFmtId="4" fontId="67" fillId="100" borderId="17">
      <alignment horizontal="right" vertical="top" shrinkToFit="1"/>
    </xf>
    <xf numFmtId="0" fontId="67" fillId="100" borderId="17">
      <alignment vertical="top" shrinkToFit="1"/>
    </xf>
    <xf numFmtId="0" fontId="33" fillId="10" borderId="17">
      <alignment vertical="top" shrinkToFit="1"/>
    </xf>
    <xf numFmtId="0" fontId="33" fillId="10" borderId="17">
      <alignment vertical="top" shrinkToFit="1"/>
    </xf>
    <xf numFmtId="0" fontId="33" fillId="10" borderId="17">
      <alignment vertical="top" shrinkToFit="1"/>
    </xf>
    <xf numFmtId="0" fontId="33" fillId="10" borderId="17">
      <alignment vertical="top" shrinkToFit="1"/>
    </xf>
    <xf numFmtId="0" fontId="67" fillId="100" borderId="17">
      <alignment vertical="top" shrinkToFit="1"/>
    </xf>
    <xf numFmtId="0" fontId="67" fillId="100" borderId="17">
      <alignment vertical="top" shrinkToFit="1"/>
    </xf>
    <xf numFmtId="0" fontId="33" fillId="10" borderId="17">
      <alignment vertical="top" shrinkToFit="1"/>
    </xf>
    <xf numFmtId="0" fontId="33" fillId="10" borderId="17">
      <alignment vertical="top" shrinkToFit="1"/>
    </xf>
    <xf numFmtId="0" fontId="33" fillId="10" borderId="17">
      <alignment vertical="top" shrinkToFit="1"/>
    </xf>
    <xf numFmtId="0" fontId="33" fillId="10" borderId="17">
      <alignment vertical="top" shrinkToFit="1"/>
    </xf>
    <xf numFmtId="0" fontId="67" fillId="100" borderId="17">
      <alignment vertical="top" shrinkToFit="1"/>
    </xf>
    <xf numFmtId="0" fontId="67" fillId="100" borderId="17">
      <alignment vertical="top" shrinkToFit="1"/>
    </xf>
    <xf numFmtId="0" fontId="33" fillId="10" borderId="17">
      <alignment vertical="top" shrinkToFit="1"/>
    </xf>
    <xf numFmtId="0" fontId="33" fillId="10" borderId="17">
      <alignment vertical="top" shrinkToFit="1"/>
    </xf>
    <xf numFmtId="0" fontId="33" fillId="10" borderId="17">
      <alignment vertical="top" shrinkToFit="1"/>
    </xf>
    <xf numFmtId="0" fontId="33" fillId="10" borderId="17">
      <alignment vertical="top" shrinkToFit="1"/>
    </xf>
    <xf numFmtId="0" fontId="67" fillId="100" borderId="17">
      <alignment vertical="top" shrinkToFit="1"/>
    </xf>
    <xf numFmtId="0" fontId="67" fillId="100" borderId="17">
      <alignment vertical="top" shrinkToFit="1"/>
    </xf>
    <xf numFmtId="0" fontId="33" fillId="10" borderId="17">
      <alignment vertical="top" shrinkToFit="1"/>
    </xf>
    <xf numFmtId="0" fontId="33" fillId="10" borderId="17">
      <alignment vertical="top" shrinkToFit="1"/>
    </xf>
    <xf numFmtId="0" fontId="33" fillId="10" borderId="17">
      <alignment vertical="top" shrinkToFit="1"/>
    </xf>
    <xf numFmtId="0" fontId="33" fillId="10" borderId="17">
      <alignment vertical="top" shrinkToFit="1"/>
    </xf>
    <xf numFmtId="0" fontId="67" fillId="100" borderId="17">
      <alignment vertical="top" shrinkToFit="1"/>
    </xf>
    <xf numFmtId="0" fontId="67" fillId="100" borderId="17">
      <alignment vertical="top" shrinkToFit="1"/>
    </xf>
    <xf numFmtId="0" fontId="33" fillId="10" borderId="17">
      <alignment vertical="top" shrinkToFit="1"/>
    </xf>
    <xf numFmtId="0" fontId="33" fillId="10" borderId="17">
      <alignment vertical="top" shrinkToFit="1"/>
    </xf>
    <xf numFmtId="0" fontId="33" fillId="10" borderId="17">
      <alignment vertical="top" shrinkToFit="1"/>
    </xf>
    <xf numFmtId="0" fontId="33" fillId="10" borderId="17">
      <alignment vertical="top" shrinkToFit="1"/>
    </xf>
    <xf numFmtId="0" fontId="67" fillId="100" borderId="17">
      <alignment vertical="top" shrinkToFit="1"/>
    </xf>
    <xf numFmtId="0" fontId="67" fillId="100" borderId="17">
      <alignment vertical="top" shrinkToFit="1"/>
    </xf>
    <xf numFmtId="0" fontId="33" fillId="10" borderId="17">
      <alignment vertical="top" shrinkToFit="1"/>
    </xf>
    <xf numFmtId="0" fontId="33" fillId="10" borderId="17">
      <alignment vertical="top" shrinkToFit="1"/>
    </xf>
    <xf numFmtId="0" fontId="33" fillId="10" borderId="17">
      <alignment vertical="top" shrinkToFit="1"/>
    </xf>
    <xf numFmtId="0" fontId="33" fillId="10" borderId="17">
      <alignment vertical="top" shrinkToFit="1"/>
    </xf>
    <xf numFmtId="0" fontId="67" fillId="100" borderId="17">
      <alignment vertical="top" shrinkToFit="1"/>
    </xf>
    <xf numFmtId="0" fontId="67" fillId="100" borderId="17">
      <alignment vertical="top" shrinkToFit="1"/>
    </xf>
    <xf numFmtId="0" fontId="33" fillId="10" borderId="17">
      <alignment vertical="top" shrinkToFit="1"/>
    </xf>
    <xf numFmtId="0" fontId="33" fillId="10" borderId="17">
      <alignment vertical="top" shrinkToFit="1"/>
    </xf>
    <xf numFmtId="0" fontId="33" fillId="10" borderId="17">
      <alignment vertical="top" shrinkToFit="1"/>
    </xf>
    <xf numFmtId="0" fontId="33" fillId="10" borderId="17">
      <alignment vertical="top" shrinkToFit="1"/>
    </xf>
    <xf numFmtId="0" fontId="67" fillId="100" borderId="17">
      <alignment vertical="top" shrinkToFit="1"/>
    </xf>
    <xf numFmtId="0" fontId="68" fillId="102" borderId="18">
      <alignment horizontal="left" vertical="top" wrapText="1"/>
    </xf>
    <xf numFmtId="0" fontId="32" fillId="11" borderId="18">
      <alignment horizontal="left" vertical="top" wrapText="1"/>
    </xf>
    <xf numFmtId="0" fontId="32" fillId="11" borderId="18">
      <alignment horizontal="left" vertical="top" wrapText="1"/>
    </xf>
    <xf numFmtId="0" fontId="32" fillId="11" borderId="18">
      <alignment horizontal="left" vertical="top" wrapText="1"/>
    </xf>
    <xf numFmtId="0" fontId="32" fillId="11" borderId="18">
      <alignment horizontal="left" vertical="top" wrapText="1"/>
    </xf>
    <xf numFmtId="0" fontId="68" fillId="102" borderId="18">
      <alignment horizontal="left" vertical="top" wrapText="1"/>
    </xf>
    <xf numFmtId="49" fontId="34" fillId="0" borderId="21">
      <alignment horizontal="center" vertical="top" shrinkToFit="1"/>
    </xf>
    <xf numFmtId="49" fontId="34" fillId="0" borderId="21">
      <alignment horizontal="center" vertical="top" shrinkToFit="1"/>
    </xf>
    <xf numFmtId="49" fontId="34" fillId="0" borderId="21">
      <alignment horizontal="center" vertical="top" shrinkToFit="1"/>
    </xf>
    <xf numFmtId="49" fontId="34" fillId="0" borderId="21">
      <alignment horizontal="center" vertical="top" shrinkToFit="1"/>
    </xf>
    <xf numFmtId="49" fontId="69" fillId="0" borderId="21">
      <alignment horizontal="center" vertical="top" shrinkToFit="1"/>
    </xf>
    <xf numFmtId="0" fontId="68" fillId="102" borderId="18">
      <alignment horizontal="left" vertical="top" wrapText="1"/>
    </xf>
    <xf numFmtId="49" fontId="68" fillId="102" borderId="18">
      <alignment horizontal="center" vertical="top" shrinkToFit="1"/>
    </xf>
    <xf numFmtId="49" fontId="32" fillId="11" borderId="18">
      <alignment horizontal="center" vertical="top" shrinkToFit="1"/>
    </xf>
    <xf numFmtId="49" fontId="32" fillId="11" borderId="18">
      <alignment horizontal="center" vertical="top" shrinkToFit="1"/>
    </xf>
    <xf numFmtId="49" fontId="32" fillId="11" borderId="18">
      <alignment horizontal="center" vertical="top" shrinkToFit="1"/>
    </xf>
    <xf numFmtId="49" fontId="32" fillId="11" borderId="18">
      <alignment horizontal="center" vertical="top" shrinkToFit="1"/>
    </xf>
    <xf numFmtId="49" fontId="68" fillId="102" borderId="18">
      <alignment horizontal="center" vertical="top" shrinkToFit="1"/>
    </xf>
    <xf numFmtId="0" fontId="32" fillId="11" borderId="18">
      <alignment horizontal="left" vertical="top" wrapText="1"/>
    </xf>
    <xf numFmtId="0" fontId="32" fillId="11" borderId="18">
      <alignment horizontal="left" vertical="top" wrapText="1"/>
    </xf>
    <xf numFmtId="0" fontId="32" fillId="11" borderId="18">
      <alignment horizontal="left" vertical="top" wrapText="1"/>
    </xf>
    <xf numFmtId="0" fontId="32" fillId="11" borderId="18">
      <alignment horizontal="left" vertical="top" wrapText="1"/>
    </xf>
    <xf numFmtId="0" fontId="68" fillId="102" borderId="18">
      <alignment horizontal="left" vertical="top" wrapText="1"/>
    </xf>
    <xf numFmtId="49" fontId="68" fillId="102" borderId="18">
      <alignment horizontal="center" vertical="top" shrinkToFit="1"/>
    </xf>
    <xf numFmtId="49" fontId="32" fillId="11" borderId="18">
      <alignment horizontal="center" vertical="top" shrinkToFit="1"/>
    </xf>
    <xf numFmtId="49" fontId="32" fillId="11" borderId="18">
      <alignment horizontal="center" vertical="top" shrinkToFit="1"/>
    </xf>
    <xf numFmtId="49" fontId="32" fillId="11" borderId="18">
      <alignment horizontal="center" vertical="top" shrinkToFit="1"/>
    </xf>
    <xf numFmtId="49" fontId="32" fillId="11" borderId="18">
      <alignment horizontal="center" vertical="top" shrinkToFit="1"/>
    </xf>
    <xf numFmtId="49" fontId="68" fillId="102" borderId="18">
      <alignment horizontal="center" vertical="top" shrinkToFit="1"/>
    </xf>
    <xf numFmtId="49" fontId="68" fillId="102" borderId="18">
      <alignment horizontal="center" vertical="top" shrinkToFit="1"/>
    </xf>
    <xf numFmtId="49" fontId="32" fillId="11" borderId="18">
      <alignment horizontal="center" vertical="top" shrinkToFit="1"/>
    </xf>
    <xf numFmtId="49" fontId="32" fillId="11" borderId="18">
      <alignment horizontal="center" vertical="top" shrinkToFit="1"/>
    </xf>
    <xf numFmtId="49" fontId="32" fillId="11" borderId="18">
      <alignment horizontal="center" vertical="top" shrinkToFit="1"/>
    </xf>
    <xf numFmtId="49" fontId="32" fillId="11" borderId="18">
      <alignment horizontal="center" vertical="top" shrinkToFit="1"/>
    </xf>
    <xf numFmtId="49" fontId="68" fillId="102" borderId="18">
      <alignment horizontal="center" vertical="top" shrinkToFit="1"/>
    </xf>
    <xf numFmtId="49" fontId="68" fillId="102" borderId="18">
      <alignment horizontal="center" vertical="top" shrinkToFit="1"/>
    </xf>
    <xf numFmtId="49" fontId="32" fillId="11" borderId="18">
      <alignment horizontal="center" vertical="top" shrinkToFit="1"/>
    </xf>
    <xf numFmtId="49" fontId="32" fillId="11" borderId="18">
      <alignment horizontal="center" vertical="top" shrinkToFit="1"/>
    </xf>
    <xf numFmtId="49" fontId="32" fillId="11" borderId="18">
      <alignment horizontal="center" vertical="top" shrinkToFit="1"/>
    </xf>
    <xf numFmtId="49" fontId="32" fillId="11" borderId="18">
      <alignment horizontal="center" vertical="top" shrinkToFit="1"/>
    </xf>
    <xf numFmtId="49" fontId="68" fillId="102" borderId="18">
      <alignment horizontal="center" vertical="top" shrinkToFit="1"/>
    </xf>
    <xf numFmtId="49" fontId="68" fillId="102" borderId="18">
      <alignment horizontal="center" vertical="top" shrinkToFit="1"/>
    </xf>
    <xf numFmtId="49" fontId="32" fillId="11" borderId="18">
      <alignment horizontal="center" vertical="top" shrinkToFit="1"/>
    </xf>
    <xf numFmtId="49" fontId="32" fillId="11" borderId="18">
      <alignment horizontal="center" vertical="top" shrinkToFit="1"/>
    </xf>
    <xf numFmtId="49" fontId="32" fillId="11" borderId="18">
      <alignment horizontal="center" vertical="top" shrinkToFit="1"/>
    </xf>
    <xf numFmtId="49" fontId="32" fillId="11" borderId="18">
      <alignment horizontal="center" vertical="top" shrinkToFit="1"/>
    </xf>
    <xf numFmtId="49" fontId="68" fillId="102" borderId="18">
      <alignment horizontal="center" vertical="top" shrinkToFit="1"/>
    </xf>
    <xf numFmtId="49" fontId="68" fillId="102" borderId="18">
      <alignment horizontal="center" vertical="top" shrinkToFit="1"/>
    </xf>
    <xf numFmtId="49" fontId="32" fillId="11" borderId="18">
      <alignment horizontal="center" vertical="top" shrinkToFit="1"/>
    </xf>
    <xf numFmtId="49" fontId="32" fillId="11" borderId="18">
      <alignment horizontal="center" vertical="top" shrinkToFit="1"/>
    </xf>
    <xf numFmtId="49" fontId="32" fillId="11" borderId="18">
      <alignment horizontal="center" vertical="top" shrinkToFit="1"/>
    </xf>
    <xf numFmtId="49" fontId="32" fillId="11" borderId="18">
      <alignment horizontal="center" vertical="top" shrinkToFit="1"/>
    </xf>
    <xf numFmtId="49" fontId="68" fillId="102" borderId="18">
      <alignment horizontal="center" vertical="top" shrinkToFit="1"/>
    </xf>
    <xf numFmtId="49" fontId="68" fillId="102" borderId="18">
      <alignment horizontal="center" vertical="top" shrinkToFit="1"/>
    </xf>
    <xf numFmtId="49" fontId="32" fillId="11" borderId="18">
      <alignment horizontal="center" vertical="top" shrinkToFit="1"/>
    </xf>
    <xf numFmtId="49" fontId="32" fillId="11" borderId="18">
      <alignment horizontal="center" vertical="top" shrinkToFit="1"/>
    </xf>
    <xf numFmtId="49" fontId="32" fillId="11" borderId="18">
      <alignment horizontal="center" vertical="top" shrinkToFit="1"/>
    </xf>
    <xf numFmtId="49" fontId="32" fillId="11" borderId="18">
      <alignment horizontal="center" vertical="top" shrinkToFit="1"/>
    </xf>
    <xf numFmtId="49" fontId="68" fillId="102" borderId="18">
      <alignment horizontal="center" vertical="top" shrinkToFit="1"/>
    </xf>
    <xf numFmtId="49" fontId="68" fillId="102" borderId="18">
      <alignment horizontal="center" vertical="top" shrinkToFit="1"/>
    </xf>
    <xf numFmtId="49" fontId="32" fillId="11" borderId="18">
      <alignment horizontal="center" vertical="top" shrinkToFit="1"/>
    </xf>
    <xf numFmtId="49" fontId="32" fillId="11" borderId="18">
      <alignment horizontal="center" vertical="top" shrinkToFit="1"/>
    </xf>
    <xf numFmtId="49" fontId="32" fillId="11" borderId="18">
      <alignment horizontal="center" vertical="top" shrinkToFit="1"/>
    </xf>
    <xf numFmtId="49" fontId="32" fillId="11" borderId="18">
      <alignment horizontal="center" vertical="top" shrinkToFit="1"/>
    </xf>
    <xf numFmtId="49" fontId="68" fillId="102" borderId="18">
      <alignment horizontal="center" vertical="top" shrinkToFit="1"/>
    </xf>
    <xf numFmtId="49" fontId="68" fillId="102" borderId="18">
      <alignment horizontal="center" vertical="top" shrinkToFit="1"/>
    </xf>
    <xf numFmtId="49" fontId="32" fillId="11" borderId="18">
      <alignment horizontal="center" vertical="top" shrinkToFit="1"/>
    </xf>
    <xf numFmtId="49" fontId="32" fillId="11" borderId="18">
      <alignment horizontal="center" vertical="top" shrinkToFit="1"/>
    </xf>
    <xf numFmtId="49" fontId="32" fillId="11" borderId="18">
      <alignment horizontal="center" vertical="top" shrinkToFit="1"/>
    </xf>
    <xf numFmtId="49" fontId="32" fillId="11" borderId="18">
      <alignment horizontal="center" vertical="top" shrinkToFit="1"/>
    </xf>
    <xf numFmtId="49" fontId="68" fillId="102" borderId="18">
      <alignment horizontal="center" vertical="top" shrinkToFit="1"/>
    </xf>
    <xf numFmtId="0" fontId="68" fillId="102" borderId="18">
      <alignment horizontal="left" vertical="top" wrapText="1"/>
    </xf>
    <xf numFmtId="0" fontId="32" fillId="11" borderId="18">
      <alignment horizontal="left" vertical="top" wrapText="1"/>
    </xf>
    <xf numFmtId="0" fontId="32" fillId="11" borderId="18">
      <alignment horizontal="left" vertical="top" wrapText="1"/>
    </xf>
    <xf numFmtId="0" fontId="32" fillId="11" borderId="18">
      <alignment horizontal="left" vertical="top" wrapText="1"/>
    </xf>
    <xf numFmtId="0" fontId="32" fillId="11" borderId="18">
      <alignment horizontal="left" vertical="top" wrapText="1"/>
    </xf>
    <xf numFmtId="0" fontId="68" fillId="102" borderId="18">
      <alignment horizontal="left" vertical="top" wrapText="1"/>
    </xf>
    <xf numFmtId="0" fontId="68" fillId="102" borderId="18">
      <alignment horizontal="left" vertical="top" wrapText="1"/>
    </xf>
    <xf numFmtId="0" fontId="32" fillId="11" borderId="18">
      <alignment horizontal="left" vertical="top" wrapText="1"/>
    </xf>
    <xf numFmtId="0" fontId="32" fillId="11" borderId="18">
      <alignment horizontal="left" vertical="top" wrapText="1"/>
    </xf>
    <xf numFmtId="0" fontId="32" fillId="11" borderId="18">
      <alignment horizontal="left" vertical="top" wrapText="1"/>
    </xf>
    <xf numFmtId="0" fontId="32" fillId="11" borderId="18">
      <alignment horizontal="left" vertical="top" wrapText="1"/>
    </xf>
    <xf numFmtId="0" fontId="68" fillId="102" borderId="18">
      <alignment horizontal="left" vertical="top" wrapText="1"/>
    </xf>
    <xf numFmtId="0" fontId="68" fillId="102" borderId="18">
      <alignment horizontal="left" vertical="top" wrapText="1"/>
    </xf>
    <xf numFmtId="0" fontId="32" fillId="11" borderId="18">
      <alignment horizontal="left" vertical="top" wrapText="1"/>
    </xf>
    <xf numFmtId="0" fontId="32" fillId="11" borderId="18">
      <alignment horizontal="left" vertical="top" wrapText="1"/>
    </xf>
    <xf numFmtId="0" fontId="32" fillId="11" borderId="18">
      <alignment horizontal="left" vertical="top" wrapText="1"/>
    </xf>
    <xf numFmtId="0" fontId="32" fillId="11" borderId="18">
      <alignment horizontal="left" vertical="top" wrapText="1"/>
    </xf>
    <xf numFmtId="0" fontId="68" fillId="102" borderId="18">
      <alignment horizontal="left" vertical="top" wrapText="1"/>
    </xf>
    <xf numFmtId="0" fontId="68" fillId="102" borderId="18">
      <alignment horizontal="left" vertical="top" wrapText="1"/>
    </xf>
    <xf numFmtId="0" fontId="32" fillId="11" borderId="18">
      <alignment horizontal="left" vertical="top" wrapText="1"/>
    </xf>
    <xf numFmtId="0" fontId="32" fillId="11" borderId="18">
      <alignment horizontal="left" vertical="top" wrapText="1"/>
    </xf>
    <xf numFmtId="0" fontId="32" fillId="11" borderId="18">
      <alignment horizontal="left" vertical="top" wrapText="1"/>
    </xf>
    <xf numFmtId="0" fontId="32" fillId="11" borderId="18">
      <alignment horizontal="left" vertical="top" wrapText="1"/>
    </xf>
    <xf numFmtId="0" fontId="68" fillId="102" borderId="18">
      <alignment horizontal="left" vertical="top" wrapText="1"/>
    </xf>
    <xf numFmtId="0" fontId="68" fillId="102" borderId="18">
      <alignment horizontal="left" vertical="top" wrapText="1"/>
    </xf>
    <xf numFmtId="0" fontId="32" fillId="11" borderId="18">
      <alignment horizontal="left" vertical="top" wrapText="1"/>
    </xf>
    <xf numFmtId="0" fontId="32" fillId="11" borderId="18">
      <alignment horizontal="left" vertical="top" wrapText="1"/>
    </xf>
    <xf numFmtId="0" fontId="32" fillId="11" borderId="18">
      <alignment horizontal="left" vertical="top" wrapText="1"/>
    </xf>
    <xf numFmtId="0" fontId="32" fillId="11" borderId="18">
      <alignment horizontal="left" vertical="top" wrapText="1"/>
    </xf>
    <xf numFmtId="0" fontId="68" fillId="102" borderId="18">
      <alignment horizontal="left" vertical="top" wrapText="1"/>
    </xf>
    <xf numFmtId="0" fontId="68" fillId="102" borderId="18">
      <alignment horizontal="left" vertical="top" wrapText="1"/>
    </xf>
    <xf numFmtId="0" fontId="32" fillId="11" borderId="18">
      <alignment horizontal="left" vertical="top" wrapText="1"/>
    </xf>
    <xf numFmtId="0" fontId="32" fillId="11" borderId="18">
      <alignment horizontal="left" vertical="top" wrapText="1"/>
    </xf>
    <xf numFmtId="0" fontId="32" fillId="11" borderId="18">
      <alignment horizontal="left" vertical="top" wrapText="1"/>
    </xf>
    <xf numFmtId="0" fontId="32" fillId="11" borderId="18">
      <alignment horizontal="left" vertical="top" wrapText="1"/>
    </xf>
    <xf numFmtId="0" fontId="68" fillId="102" borderId="18">
      <alignment horizontal="left" vertical="top" wrapText="1"/>
    </xf>
    <xf numFmtId="0" fontId="68" fillId="102" borderId="18">
      <alignment horizontal="left" vertical="top" wrapText="1"/>
    </xf>
    <xf numFmtId="0" fontId="32" fillId="11" borderId="18">
      <alignment horizontal="left" vertical="top" wrapText="1"/>
    </xf>
    <xf numFmtId="0" fontId="32" fillId="11" borderId="18">
      <alignment horizontal="left" vertical="top" wrapText="1"/>
    </xf>
    <xf numFmtId="0" fontId="32" fillId="11" borderId="18">
      <alignment horizontal="left" vertical="top" wrapText="1"/>
    </xf>
    <xf numFmtId="0" fontId="32" fillId="11" borderId="18">
      <alignment horizontal="left" vertical="top" wrapText="1"/>
    </xf>
    <xf numFmtId="0" fontId="68" fillId="102" borderId="18">
      <alignment horizontal="left" vertical="top" wrapText="1"/>
    </xf>
    <xf numFmtId="49" fontId="68" fillId="102" borderId="19">
      <alignment horizontal="center" vertical="top" shrinkToFit="1"/>
    </xf>
    <xf numFmtId="49" fontId="32" fillId="11" borderId="19">
      <alignment horizontal="center" vertical="top" shrinkToFit="1"/>
    </xf>
    <xf numFmtId="49" fontId="32" fillId="11" borderId="19">
      <alignment horizontal="center" vertical="top" shrinkToFit="1"/>
    </xf>
    <xf numFmtId="49" fontId="32" fillId="11" borderId="19">
      <alignment horizontal="center" vertical="top" shrinkToFit="1"/>
    </xf>
    <xf numFmtId="49" fontId="32" fillId="11" borderId="19">
      <alignment horizontal="center" vertical="top" shrinkToFit="1"/>
    </xf>
    <xf numFmtId="49" fontId="68" fillId="102" borderId="19">
      <alignment horizontal="center" vertical="top" shrinkToFit="1"/>
    </xf>
    <xf numFmtId="0" fontId="70" fillId="0" borderId="22">
      <alignment horizontal="left" vertical="top" wrapText="1"/>
    </xf>
    <xf numFmtId="0" fontId="14" fillId="0" borderId="22">
      <alignment horizontal="left" vertical="top" wrapText="1"/>
    </xf>
    <xf numFmtId="0" fontId="14" fillId="0" borderId="22">
      <alignment horizontal="left" vertical="top" wrapText="1"/>
    </xf>
    <xf numFmtId="0" fontId="14" fillId="0" borderId="22">
      <alignment horizontal="left" vertical="top" wrapText="1"/>
    </xf>
    <xf numFmtId="0" fontId="14" fillId="0" borderId="22">
      <alignment horizontal="left" vertical="top" wrapText="1"/>
    </xf>
    <xf numFmtId="0" fontId="70" fillId="0" borderId="22">
      <alignment horizontal="left" vertical="top" wrapText="1"/>
    </xf>
    <xf numFmtId="0" fontId="70" fillId="0" borderId="22">
      <alignment horizontal="left" vertical="top" wrapText="1"/>
    </xf>
    <xf numFmtId="0" fontId="14" fillId="0" borderId="22">
      <alignment horizontal="left" vertical="top" wrapText="1"/>
    </xf>
    <xf numFmtId="0" fontId="14" fillId="0" borderId="22">
      <alignment horizontal="left" vertical="top" wrapText="1"/>
    </xf>
    <xf numFmtId="0" fontId="14" fillId="0" borderId="22">
      <alignment horizontal="left" vertical="top" wrapText="1"/>
    </xf>
    <xf numFmtId="0" fontId="14" fillId="0" borderId="22">
      <alignment horizontal="left" vertical="top" wrapText="1"/>
    </xf>
    <xf numFmtId="0" fontId="70" fillId="0" borderId="22">
      <alignment horizontal="left" vertical="top" wrapText="1"/>
    </xf>
    <xf numFmtId="0" fontId="31" fillId="0" borderId="22">
      <alignment horizontal="left" vertical="top" wrapText="1"/>
    </xf>
    <xf numFmtId="0" fontId="31" fillId="0" borderId="22">
      <alignment horizontal="left" vertical="top" wrapText="1"/>
    </xf>
    <xf numFmtId="0" fontId="31" fillId="0" borderId="22">
      <alignment horizontal="left" vertical="top" wrapText="1"/>
    </xf>
    <xf numFmtId="0" fontId="31" fillId="0" borderId="22">
      <alignment horizontal="left" vertical="top" wrapText="1"/>
    </xf>
    <xf numFmtId="0" fontId="71" fillId="0" borderId="22">
      <alignment horizontal="left" vertical="top" wrapText="1"/>
    </xf>
    <xf numFmtId="49" fontId="68" fillId="102" borderId="19">
      <alignment horizontal="center" vertical="top" shrinkToFit="1"/>
    </xf>
    <xf numFmtId="0" fontId="68" fillId="102" borderId="19">
      <alignment horizontal="left" vertical="top" wrapText="1"/>
    </xf>
    <xf numFmtId="0" fontId="32" fillId="11" borderId="19">
      <alignment horizontal="left" vertical="top" wrapText="1"/>
    </xf>
    <xf numFmtId="0" fontId="32" fillId="11" borderId="19">
      <alignment horizontal="left" vertical="top" wrapText="1"/>
    </xf>
    <xf numFmtId="0" fontId="32" fillId="11" borderId="19">
      <alignment horizontal="left" vertical="top" wrapText="1"/>
    </xf>
    <xf numFmtId="0" fontId="32" fillId="11" borderId="19">
      <alignment horizontal="left" vertical="top" wrapText="1"/>
    </xf>
    <xf numFmtId="0" fontId="68" fillId="102" borderId="19">
      <alignment horizontal="left" vertical="top" wrapText="1"/>
    </xf>
    <xf numFmtId="49" fontId="32" fillId="11" borderId="19">
      <alignment horizontal="center" vertical="top" shrinkToFit="1"/>
    </xf>
    <xf numFmtId="49" fontId="32" fillId="11" borderId="19">
      <alignment horizontal="center" vertical="top" shrinkToFit="1"/>
    </xf>
    <xf numFmtId="49" fontId="32" fillId="11" borderId="19">
      <alignment horizontal="center" vertical="top" shrinkToFit="1"/>
    </xf>
    <xf numFmtId="49" fontId="32" fillId="11" borderId="19">
      <alignment horizontal="center" vertical="top" shrinkToFit="1"/>
    </xf>
    <xf numFmtId="49" fontId="68" fillId="102" borderId="19">
      <alignment horizontal="center" vertical="top" shrinkToFit="1"/>
    </xf>
    <xf numFmtId="49" fontId="68" fillId="102" borderId="19">
      <alignment horizontal="center" vertical="top" shrinkToFit="1"/>
    </xf>
    <xf numFmtId="49" fontId="32" fillId="11" borderId="19">
      <alignment horizontal="center" vertical="top" shrinkToFit="1"/>
    </xf>
    <xf numFmtId="49" fontId="32" fillId="11" borderId="19">
      <alignment horizontal="center" vertical="top" shrinkToFit="1"/>
    </xf>
    <xf numFmtId="49" fontId="32" fillId="11" borderId="19">
      <alignment horizontal="center" vertical="top" shrinkToFit="1"/>
    </xf>
    <xf numFmtId="49" fontId="32" fillId="11" borderId="19">
      <alignment horizontal="center" vertical="top" shrinkToFit="1"/>
    </xf>
    <xf numFmtId="49" fontId="68" fillId="102" borderId="19">
      <alignment horizontal="center" vertical="top" shrinkToFit="1"/>
    </xf>
    <xf numFmtId="49" fontId="68" fillId="102" borderId="19">
      <alignment horizontal="center" vertical="top" shrinkToFit="1"/>
    </xf>
    <xf numFmtId="49" fontId="32" fillId="11" borderId="19">
      <alignment horizontal="center" vertical="top" shrinkToFit="1"/>
    </xf>
    <xf numFmtId="49" fontId="32" fillId="11" borderId="19">
      <alignment horizontal="center" vertical="top" shrinkToFit="1"/>
    </xf>
    <xf numFmtId="49" fontId="32" fillId="11" borderId="19">
      <alignment horizontal="center" vertical="top" shrinkToFit="1"/>
    </xf>
    <xf numFmtId="49" fontId="32" fillId="11" borderId="19">
      <alignment horizontal="center" vertical="top" shrinkToFit="1"/>
    </xf>
    <xf numFmtId="49" fontId="68" fillId="102" borderId="19">
      <alignment horizontal="center" vertical="top" shrinkToFit="1"/>
    </xf>
    <xf numFmtId="49" fontId="68" fillId="102" borderId="19">
      <alignment horizontal="center" vertical="top" shrinkToFit="1"/>
    </xf>
    <xf numFmtId="49" fontId="32" fillId="11" borderId="19">
      <alignment horizontal="center" vertical="top" shrinkToFit="1"/>
    </xf>
    <xf numFmtId="49" fontId="32" fillId="11" borderId="19">
      <alignment horizontal="center" vertical="top" shrinkToFit="1"/>
    </xf>
    <xf numFmtId="49" fontId="32" fillId="11" borderId="19">
      <alignment horizontal="center" vertical="top" shrinkToFit="1"/>
    </xf>
    <xf numFmtId="49" fontId="32" fillId="11" borderId="19">
      <alignment horizontal="center" vertical="top" shrinkToFit="1"/>
    </xf>
    <xf numFmtId="49" fontId="68" fillId="102" borderId="19">
      <alignment horizontal="center" vertical="top" shrinkToFit="1"/>
    </xf>
    <xf numFmtId="49" fontId="68" fillId="102" borderId="19">
      <alignment horizontal="center" vertical="top" shrinkToFit="1"/>
    </xf>
    <xf numFmtId="49" fontId="32" fillId="11" borderId="19">
      <alignment horizontal="center" vertical="top" shrinkToFit="1"/>
    </xf>
    <xf numFmtId="49" fontId="32" fillId="11" borderId="19">
      <alignment horizontal="center" vertical="top" shrinkToFit="1"/>
    </xf>
    <xf numFmtId="49" fontId="32" fillId="11" borderId="19">
      <alignment horizontal="center" vertical="top" shrinkToFit="1"/>
    </xf>
    <xf numFmtId="49" fontId="32" fillId="11" borderId="19">
      <alignment horizontal="center" vertical="top" shrinkToFit="1"/>
    </xf>
    <xf numFmtId="49" fontId="68" fillId="102" borderId="19">
      <alignment horizontal="center" vertical="top" shrinkToFit="1"/>
    </xf>
    <xf numFmtId="49" fontId="68" fillId="102" borderId="19">
      <alignment horizontal="center" vertical="top" shrinkToFit="1"/>
    </xf>
    <xf numFmtId="49" fontId="32" fillId="11" borderId="19">
      <alignment horizontal="center" vertical="top" shrinkToFit="1"/>
    </xf>
    <xf numFmtId="49" fontId="32" fillId="11" borderId="19">
      <alignment horizontal="center" vertical="top" shrinkToFit="1"/>
    </xf>
    <xf numFmtId="49" fontId="32" fillId="11" borderId="19">
      <alignment horizontal="center" vertical="top" shrinkToFit="1"/>
    </xf>
    <xf numFmtId="49" fontId="32" fillId="11" borderId="19">
      <alignment horizontal="center" vertical="top" shrinkToFit="1"/>
    </xf>
    <xf numFmtId="49" fontId="68" fillId="102" borderId="19">
      <alignment horizontal="center" vertical="top" shrinkToFit="1"/>
    </xf>
    <xf numFmtId="49" fontId="68" fillId="102" borderId="19">
      <alignment horizontal="center" vertical="top" shrinkToFit="1"/>
    </xf>
    <xf numFmtId="49" fontId="32" fillId="11" borderId="19">
      <alignment horizontal="center" vertical="top" shrinkToFit="1"/>
    </xf>
    <xf numFmtId="49" fontId="32" fillId="11" borderId="19">
      <alignment horizontal="center" vertical="top" shrinkToFit="1"/>
    </xf>
    <xf numFmtId="49" fontId="32" fillId="11" borderId="19">
      <alignment horizontal="center" vertical="top" shrinkToFit="1"/>
    </xf>
    <xf numFmtId="49" fontId="32" fillId="11" borderId="19">
      <alignment horizontal="center" vertical="top" shrinkToFit="1"/>
    </xf>
    <xf numFmtId="49" fontId="68" fillId="102" borderId="19">
      <alignment horizontal="center" vertical="top" shrinkToFit="1"/>
    </xf>
    <xf numFmtId="49" fontId="68" fillId="102" borderId="19">
      <alignment horizontal="center" vertical="top" shrinkToFit="1"/>
    </xf>
    <xf numFmtId="49" fontId="32" fillId="11" borderId="19">
      <alignment horizontal="center" vertical="top" shrinkToFit="1"/>
    </xf>
    <xf numFmtId="49" fontId="32" fillId="11" borderId="19">
      <alignment horizontal="center" vertical="top" shrinkToFit="1"/>
    </xf>
    <xf numFmtId="49" fontId="32" fillId="11" borderId="19">
      <alignment horizontal="center" vertical="top" shrinkToFit="1"/>
    </xf>
    <xf numFmtId="49" fontId="32" fillId="11" borderId="19">
      <alignment horizontal="center" vertical="top" shrinkToFit="1"/>
    </xf>
    <xf numFmtId="49" fontId="68" fillId="102" borderId="19">
      <alignment horizontal="center" vertical="top" shrinkToFit="1"/>
    </xf>
    <xf numFmtId="0" fontId="68" fillId="102" borderId="19">
      <alignment horizontal="left" vertical="top" wrapText="1"/>
    </xf>
    <xf numFmtId="0" fontId="32" fillId="11" borderId="19">
      <alignment horizontal="left" vertical="top" wrapText="1"/>
    </xf>
    <xf numFmtId="0" fontId="32" fillId="11" borderId="19">
      <alignment horizontal="left" vertical="top" wrapText="1"/>
    </xf>
    <xf numFmtId="0" fontId="32" fillId="11" borderId="19">
      <alignment horizontal="left" vertical="top" wrapText="1"/>
    </xf>
    <xf numFmtId="0" fontId="32" fillId="11" borderId="19">
      <alignment horizontal="left" vertical="top" wrapText="1"/>
    </xf>
    <xf numFmtId="0" fontId="68" fillId="102" borderId="19">
      <alignment horizontal="left" vertical="top" wrapText="1"/>
    </xf>
    <xf numFmtId="49" fontId="70" fillId="0" borderId="22">
      <alignment horizontal="center" vertical="top" shrinkToFit="1"/>
    </xf>
    <xf numFmtId="49" fontId="14" fillId="0" borderId="22">
      <alignment horizontal="center" vertical="top" shrinkToFit="1"/>
    </xf>
    <xf numFmtId="49" fontId="14" fillId="0" borderId="22">
      <alignment horizontal="center" vertical="top" shrinkToFit="1"/>
    </xf>
    <xf numFmtId="49" fontId="14" fillId="0" borderId="22">
      <alignment horizontal="center" vertical="top" shrinkToFit="1"/>
    </xf>
    <xf numFmtId="49" fontId="14" fillId="0" borderId="22">
      <alignment horizontal="center" vertical="top" shrinkToFit="1"/>
    </xf>
    <xf numFmtId="49" fontId="70" fillId="0" borderId="22">
      <alignment horizontal="center" vertical="top" shrinkToFit="1"/>
    </xf>
    <xf numFmtId="49" fontId="70" fillId="0" borderId="22">
      <alignment horizontal="center" vertical="top" shrinkToFit="1"/>
    </xf>
    <xf numFmtId="49" fontId="14" fillId="0" borderId="22">
      <alignment horizontal="center" vertical="top" shrinkToFit="1"/>
    </xf>
    <xf numFmtId="49" fontId="14" fillId="0" borderId="22">
      <alignment horizontal="center" vertical="top" shrinkToFit="1"/>
    </xf>
    <xf numFmtId="49" fontId="14" fillId="0" borderId="22">
      <alignment horizontal="center" vertical="top" shrinkToFit="1"/>
    </xf>
    <xf numFmtId="49" fontId="14" fillId="0" borderId="22">
      <alignment horizontal="center" vertical="top" shrinkToFit="1"/>
    </xf>
    <xf numFmtId="49" fontId="70" fillId="0" borderId="22">
      <alignment horizontal="center" vertical="top" shrinkToFit="1"/>
    </xf>
    <xf numFmtId="49" fontId="31" fillId="0" borderId="22">
      <alignment horizontal="center" vertical="top" shrinkToFit="1"/>
    </xf>
    <xf numFmtId="49" fontId="31" fillId="0" borderId="22">
      <alignment horizontal="center" vertical="top" shrinkToFit="1"/>
    </xf>
    <xf numFmtId="49" fontId="31" fillId="0" borderId="22">
      <alignment horizontal="center" vertical="top" shrinkToFit="1"/>
    </xf>
    <xf numFmtId="49" fontId="31" fillId="0" borderId="22">
      <alignment horizontal="center" vertical="top" shrinkToFit="1"/>
    </xf>
    <xf numFmtId="49" fontId="71" fillId="0" borderId="22">
      <alignment horizontal="center" vertical="top" shrinkToFit="1"/>
    </xf>
    <xf numFmtId="0" fontId="68" fillId="102" borderId="19">
      <alignment horizontal="left" vertical="top" wrapText="1"/>
    </xf>
    <xf numFmtId="49" fontId="68" fillId="102" borderId="19">
      <alignment horizontal="center" vertical="top" shrinkToFit="1"/>
    </xf>
    <xf numFmtId="49" fontId="32" fillId="11" borderId="19">
      <alignment horizontal="center" vertical="top" shrinkToFit="1"/>
    </xf>
    <xf numFmtId="49" fontId="32" fillId="11" borderId="19">
      <alignment horizontal="center" vertical="top" shrinkToFit="1"/>
    </xf>
    <xf numFmtId="49" fontId="32" fillId="11" borderId="19">
      <alignment horizontal="center" vertical="top" shrinkToFit="1"/>
    </xf>
    <xf numFmtId="49" fontId="32" fillId="11" borderId="19">
      <alignment horizontal="center" vertical="top" shrinkToFit="1"/>
    </xf>
    <xf numFmtId="49" fontId="68" fillId="102" borderId="19">
      <alignment horizontal="center" vertical="top" shrinkToFit="1"/>
    </xf>
    <xf numFmtId="0" fontId="32" fillId="11" borderId="19">
      <alignment horizontal="left" vertical="top" wrapText="1"/>
    </xf>
    <xf numFmtId="0" fontId="32" fillId="11" borderId="19">
      <alignment horizontal="left" vertical="top" wrapText="1"/>
    </xf>
    <xf numFmtId="0" fontId="32" fillId="11" borderId="19">
      <alignment horizontal="left" vertical="top" wrapText="1"/>
    </xf>
    <xf numFmtId="0" fontId="32" fillId="11" borderId="19">
      <alignment horizontal="left" vertical="top" wrapText="1"/>
    </xf>
    <xf numFmtId="0" fontId="68" fillId="102" borderId="19">
      <alignment horizontal="left" vertical="top" wrapText="1"/>
    </xf>
    <xf numFmtId="0" fontId="68" fillId="102" borderId="19">
      <alignment horizontal="left" vertical="top" wrapText="1"/>
    </xf>
    <xf numFmtId="0" fontId="32" fillId="11" borderId="19">
      <alignment horizontal="left" vertical="top" wrapText="1"/>
    </xf>
    <xf numFmtId="0" fontId="32" fillId="11" borderId="19">
      <alignment horizontal="left" vertical="top" wrapText="1"/>
    </xf>
    <xf numFmtId="0" fontId="32" fillId="11" borderId="19">
      <alignment horizontal="left" vertical="top" wrapText="1"/>
    </xf>
    <xf numFmtId="0" fontId="32" fillId="11" borderId="19">
      <alignment horizontal="left" vertical="top" wrapText="1"/>
    </xf>
    <xf numFmtId="0" fontId="68" fillId="102" borderId="19">
      <alignment horizontal="left" vertical="top" wrapText="1"/>
    </xf>
    <xf numFmtId="0" fontId="68" fillId="102" borderId="19">
      <alignment horizontal="left" vertical="top" wrapText="1"/>
    </xf>
    <xf numFmtId="0" fontId="32" fillId="11" borderId="19">
      <alignment horizontal="left" vertical="top" wrapText="1"/>
    </xf>
    <xf numFmtId="0" fontId="32" fillId="11" borderId="19">
      <alignment horizontal="left" vertical="top" wrapText="1"/>
    </xf>
    <xf numFmtId="0" fontId="32" fillId="11" borderId="19">
      <alignment horizontal="left" vertical="top" wrapText="1"/>
    </xf>
    <xf numFmtId="0" fontId="32" fillId="11" borderId="19">
      <alignment horizontal="left" vertical="top" wrapText="1"/>
    </xf>
    <xf numFmtId="0" fontId="68" fillId="102" borderId="19">
      <alignment horizontal="left" vertical="top" wrapText="1"/>
    </xf>
    <xf numFmtId="0" fontId="68" fillId="102" borderId="19">
      <alignment horizontal="left" vertical="top" wrapText="1"/>
    </xf>
    <xf numFmtId="0" fontId="32" fillId="11" borderId="19">
      <alignment horizontal="left" vertical="top" wrapText="1"/>
    </xf>
    <xf numFmtId="0" fontId="32" fillId="11" borderId="19">
      <alignment horizontal="left" vertical="top" wrapText="1"/>
    </xf>
    <xf numFmtId="0" fontId="32" fillId="11" borderId="19">
      <alignment horizontal="left" vertical="top" wrapText="1"/>
    </xf>
    <xf numFmtId="0" fontId="32" fillId="11" borderId="19">
      <alignment horizontal="left" vertical="top" wrapText="1"/>
    </xf>
    <xf numFmtId="0" fontId="68" fillId="102" borderId="19">
      <alignment horizontal="left" vertical="top" wrapText="1"/>
    </xf>
    <xf numFmtId="0" fontId="68" fillId="102" borderId="19">
      <alignment horizontal="left" vertical="top" wrapText="1"/>
    </xf>
    <xf numFmtId="0" fontId="32" fillId="11" borderId="19">
      <alignment horizontal="left" vertical="top" wrapText="1"/>
    </xf>
    <xf numFmtId="0" fontId="32" fillId="11" borderId="19">
      <alignment horizontal="left" vertical="top" wrapText="1"/>
    </xf>
    <xf numFmtId="0" fontId="32" fillId="11" borderId="19">
      <alignment horizontal="left" vertical="top" wrapText="1"/>
    </xf>
    <xf numFmtId="0" fontId="32" fillId="11" borderId="19">
      <alignment horizontal="left" vertical="top" wrapText="1"/>
    </xf>
    <xf numFmtId="0" fontId="68" fillId="102" borderId="19">
      <alignment horizontal="left" vertical="top" wrapText="1"/>
    </xf>
    <xf numFmtId="0" fontId="68" fillId="102" borderId="19">
      <alignment horizontal="left" vertical="top" wrapText="1"/>
    </xf>
    <xf numFmtId="0" fontId="32" fillId="11" borderId="19">
      <alignment horizontal="left" vertical="top" wrapText="1"/>
    </xf>
    <xf numFmtId="0" fontId="32" fillId="11" borderId="19">
      <alignment horizontal="left" vertical="top" wrapText="1"/>
    </xf>
    <xf numFmtId="0" fontId="32" fillId="11" borderId="19">
      <alignment horizontal="left" vertical="top" wrapText="1"/>
    </xf>
    <xf numFmtId="0" fontId="32" fillId="11" borderId="19">
      <alignment horizontal="left" vertical="top" wrapText="1"/>
    </xf>
    <xf numFmtId="0" fontId="68" fillId="102" borderId="19">
      <alignment horizontal="left" vertical="top" wrapText="1"/>
    </xf>
    <xf numFmtId="0" fontId="68" fillId="102" borderId="19">
      <alignment horizontal="left" vertical="top" wrapText="1"/>
    </xf>
    <xf numFmtId="0" fontId="32" fillId="11" borderId="19">
      <alignment horizontal="left" vertical="top" wrapText="1"/>
    </xf>
    <xf numFmtId="0" fontId="32" fillId="11" borderId="19">
      <alignment horizontal="left" vertical="top" wrapText="1"/>
    </xf>
    <xf numFmtId="0" fontId="32" fillId="11" borderId="19">
      <alignment horizontal="left" vertical="top" wrapText="1"/>
    </xf>
    <xf numFmtId="0" fontId="32" fillId="11" borderId="19">
      <alignment horizontal="left" vertical="top" wrapText="1"/>
    </xf>
    <xf numFmtId="0" fontId="68" fillId="102" borderId="19">
      <alignment horizontal="left" vertical="top" wrapText="1"/>
    </xf>
    <xf numFmtId="0" fontId="68" fillId="102" borderId="19">
      <alignment horizontal="left" vertical="top" wrapText="1"/>
    </xf>
    <xf numFmtId="0" fontId="32" fillId="11" borderId="19">
      <alignment horizontal="left" vertical="top" wrapText="1"/>
    </xf>
    <xf numFmtId="0" fontId="32" fillId="11" borderId="19">
      <alignment horizontal="left" vertical="top" wrapText="1"/>
    </xf>
    <xf numFmtId="0" fontId="32" fillId="11" borderId="19">
      <alignment horizontal="left" vertical="top" wrapText="1"/>
    </xf>
    <xf numFmtId="0" fontId="32" fillId="11" borderId="19">
      <alignment horizontal="left" vertical="top" wrapText="1"/>
    </xf>
    <xf numFmtId="0" fontId="68" fillId="102" borderId="19">
      <alignment horizontal="left" vertical="top" wrapText="1"/>
    </xf>
    <xf numFmtId="4" fontId="68" fillId="102" borderId="19">
      <alignment horizontal="right" vertical="top" shrinkToFit="1"/>
    </xf>
    <xf numFmtId="4" fontId="32" fillId="11" borderId="19">
      <alignment horizontal="right" vertical="top" shrinkToFit="1"/>
    </xf>
    <xf numFmtId="4" fontId="32" fillId="11" borderId="19">
      <alignment horizontal="right" vertical="top" shrinkToFit="1"/>
    </xf>
    <xf numFmtId="4" fontId="32" fillId="11" borderId="19">
      <alignment horizontal="right" vertical="top" shrinkToFit="1"/>
    </xf>
    <xf numFmtId="4" fontId="32" fillId="11" borderId="19">
      <alignment horizontal="right" vertical="top" shrinkToFit="1"/>
    </xf>
    <xf numFmtId="4" fontId="68" fillId="102" borderId="19">
      <alignment horizontal="right" vertical="top" shrinkToFit="1"/>
    </xf>
    <xf numFmtId="4" fontId="70" fillId="0" borderId="22">
      <alignment horizontal="right" vertical="top" shrinkToFit="1"/>
    </xf>
    <xf numFmtId="4" fontId="14" fillId="0" borderId="22">
      <alignment horizontal="right" vertical="top" shrinkToFit="1"/>
    </xf>
    <xf numFmtId="4" fontId="14" fillId="0" borderId="22">
      <alignment horizontal="right" vertical="top" shrinkToFit="1"/>
    </xf>
    <xf numFmtId="4" fontId="14" fillId="0" borderId="22">
      <alignment horizontal="right" vertical="top" shrinkToFit="1"/>
    </xf>
    <xf numFmtId="4" fontId="14" fillId="0" borderId="22">
      <alignment horizontal="right" vertical="top" shrinkToFit="1"/>
    </xf>
    <xf numFmtId="4" fontId="70" fillId="0" borderId="22">
      <alignment horizontal="right" vertical="top" shrinkToFit="1"/>
    </xf>
    <xf numFmtId="4" fontId="70" fillId="0" borderId="22">
      <alignment horizontal="right" vertical="top" shrinkToFit="1"/>
    </xf>
    <xf numFmtId="4" fontId="14" fillId="0" borderId="22">
      <alignment horizontal="right" vertical="top" shrinkToFit="1"/>
    </xf>
    <xf numFmtId="4" fontId="14" fillId="0" borderId="22">
      <alignment horizontal="right" vertical="top" shrinkToFit="1"/>
    </xf>
    <xf numFmtId="4" fontId="14" fillId="0" borderId="22">
      <alignment horizontal="right" vertical="top" shrinkToFit="1"/>
    </xf>
    <xf numFmtId="4" fontId="14" fillId="0" borderId="22">
      <alignment horizontal="right" vertical="top" shrinkToFit="1"/>
    </xf>
    <xf numFmtId="4" fontId="70" fillId="0" borderId="22">
      <alignment horizontal="right" vertical="top" shrinkToFit="1"/>
    </xf>
    <xf numFmtId="4" fontId="31" fillId="0" borderId="22">
      <alignment horizontal="right" vertical="top" shrinkToFit="1"/>
    </xf>
    <xf numFmtId="4" fontId="31" fillId="0" borderId="22">
      <alignment horizontal="right" vertical="top" shrinkToFit="1"/>
    </xf>
    <xf numFmtId="4" fontId="31" fillId="0" borderId="22">
      <alignment horizontal="right" vertical="top" shrinkToFit="1"/>
    </xf>
    <xf numFmtId="4" fontId="31" fillId="0" borderId="22">
      <alignment horizontal="right" vertical="top" shrinkToFit="1"/>
    </xf>
    <xf numFmtId="4" fontId="71" fillId="0" borderId="22">
      <alignment horizontal="right" vertical="top" shrinkToFit="1"/>
    </xf>
    <xf numFmtId="4" fontId="68" fillId="102" borderId="19">
      <alignment horizontal="right" vertical="top" shrinkToFit="1"/>
    </xf>
    <xf numFmtId="4" fontId="32" fillId="11" borderId="19">
      <alignment horizontal="right" vertical="top" shrinkToFit="1"/>
    </xf>
    <xf numFmtId="4" fontId="32" fillId="11" borderId="19">
      <alignment horizontal="right" vertical="top" shrinkToFit="1"/>
    </xf>
    <xf numFmtId="4" fontId="32" fillId="11" borderId="19">
      <alignment horizontal="right" vertical="top" shrinkToFit="1"/>
    </xf>
    <xf numFmtId="4" fontId="32" fillId="11" borderId="19">
      <alignment horizontal="right" vertical="top" shrinkToFit="1"/>
    </xf>
    <xf numFmtId="4" fontId="68" fillId="102" borderId="19">
      <alignment horizontal="right" vertical="top" shrinkToFit="1"/>
    </xf>
    <xf numFmtId="4" fontId="68" fillId="102" borderId="19">
      <alignment horizontal="right" vertical="top" shrinkToFit="1"/>
    </xf>
    <xf numFmtId="4" fontId="32" fillId="11" borderId="19">
      <alignment horizontal="right" vertical="top" shrinkToFit="1"/>
    </xf>
    <xf numFmtId="4" fontId="32" fillId="11" borderId="19">
      <alignment horizontal="right" vertical="top" shrinkToFit="1"/>
    </xf>
    <xf numFmtId="4" fontId="32" fillId="11" borderId="19">
      <alignment horizontal="right" vertical="top" shrinkToFit="1"/>
    </xf>
    <xf numFmtId="4" fontId="32" fillId="11" borderId="19">
      <alignment horizontal="right" vertical="top" shrinkToFit="1"/>
    </xf>
    <xf numFmtId="4" fontId="68" fillId="102" borderId="19">
      <alignment horizontal="right" vertical="top" shrinkToFit="1"/>
    </xf>
    <xf numFmtId="4" fontId="68" fillId="102" borderId="19">
      <alignment horizontal="right" vertical="top" shrinkToFit="1"/>
    </xf>
    <xf numFmtId="4" fontId="32" fillId="11" borderId="19">
      <alignment horizontal="right" vertical="top" shrinkToFit="1"/>
    </xf>
    <xf numFmtId="4" fontId="32" fillId="11" borderId="19">
      <alignment horizontal="right" vertical="top" shrinkToFit="1"/>
    </xf>
    <xf numFmtId="4" fontId="32" fillId="11" borderId="19">
      <alignment horizontal="right" vertical="top" shrinkToFit="1"/>
    </xf>
    <xf numFmtId="4" fontId="32" fillId="11" borderId="19">
      <alignment horizontal="right" vertical="top" shrinkToFit="1"/>
    </xf>
    <xf numFmtId="4" fontId="68" fillId="102" borderId="19">
      <alignment horizontal="right" vertical="top" shrinkToFit="1"/>
    </xf>
    <xf numFmtId="4" fontId="68" fillId="102" borderId="19">
      <alignment horizontal="right" vertical="top" shrinkToFit="1"/>
    </xf>
    <xf numFmtId="4" fontId="32" fillId="11" borderId="19">
      <alignment horizontal="right" vertical="top" shrinkToFit="1"/>
    </xf>
    <xf numFmtId="4" fontId="32" fillId="11" borderId="19">
      <alignment horizontal="right" vertical="top" shrinkToFit="1"/>
    </xf>
    <xf numFmtId="4" fontId="32" fillId="11" borderId="19">
      <alignment horizontal="right" vertical="top" shrinkToFit="1"/>
    </xf>
    <xf numFmtId="4" fontId="32" fillId="11" borderId="19">
      <alignment horizontal="right" vertical="top" shrinkToFit="1"/>
    </xf>
    <xf numFmtId="4" fontId="68" fillId="102" borderId="19">
      <alignment horizontal="right" vertical="top" shrinkToFit="1"/>
    </xf>
    <xf numFmtId="4" fontId="68" fillId="102" borderId="19">
      <alignment horizontal="right" vertical="top" shrinkToFit="1"/>
    </xf>
    <xf numFmtId="4" fontId="32" fillId="11" borderId="19">
      <alignment horizontal="right" vertical="top" shrinkToFit="1"/>
    </xf>
    <xf numFmtId="4" fontId="32" fillId="11" borderId="19">
      <alignment horizontal="right" vertical="top" shrinkToFit="1"/>
    </xf>
    <xf numFmtId="4" fontId="32" fillId="11" borderId="19">
      <alignment horizontal="right" vertical="top" shrinkToFit="1"/>
    </xf>
    <xf numFmtId="4" fontId="32" fillId="11" borderId="19">
      <alignment horizontal="right" vertical="top" shrinkToFit="1"/>
    </xf>
    <xf numFmtId="4" fontId="68" fillId="102" borderId="19">
      <alignment horizontal="right" vertical="top" shrinkToFit="1"/>
    </xf>
    <xf numFmtId="4" fontId="68" fillId="102" borderId="19">
      <alignment horizontal="right" vertical="top" shrinkToFit="1"/>
    </xf>
    <xf numFmtId="4" fontId="32" fillId="11" borderId="19">
      <alignment horizontal="right" vertical="top" shrinkToFit="1"/>
    </xf>
    <xf numFmtId="4" fontId="32" fillId="11" borderId="19">
      <alignment horizontal="right" vertical="top" shrinkToFit="1"/>
    </xf>
    <xf numFmtId="4" fontId="32" fillId="11" borderId="19">
      <alignment horizontal="right" vertical="top" shrinkToFit="1"/>
    </xf>
    <xf numFmtId="4" fontId="32" fillId="11" borderId="19">
      <alignment horizontal="right" vertical="top" shrinkToFit="1"/>
    </xf>
    <xf numFmtId="4" fontId="68" fillId="102" borderId="19">
      <alignment horizontal="right" vertical="top" shrinkToFit="1"/>
    </xf>
    <xf numFmtId="4" fontId="68" fillId="102" borderId="19">
      <alignment horizontal="right" vertical="top" shrinkToFit="1"/>
    </xf>
    <xf numFmtId="4" fontId="32" fillId="11" borderId="19">
      <alignment horizontal="right" vertical="top" shrinkToFit="1"/>
    </xf>
    <xf numFmtId="4" fontId="32" fillId="11" borderId="19">
      <alignment horizontal="right" vertical="top" shrinkToFit="1"/>
    </xf>
    <xf numFmtId="4" fontId="32" fillId="11" borderId="19">
      <alignment horizontal="right" vertical="top" shrinkToFit="1"/>
    </xf>
    <xf numFmtId="4" fontId="32" fillId="11" borderId="19">
      <alignment horizontal="right" vertical="top" shrinkToFit="1"/>
    </xf>
    <xf numFmtId="4" fontId="68" fillId="102" borderId="19">
      <alignment horizontal="right" vertical="top" shrinkToFit="1"/>
    </xf>
    <xf numFmtId="4" fontId="68" fillId="102" borderId="19">
      <alignment horizontal="right" vertical="top" shrinkToFit="1"/>
    </xf>
    <xf numFmtId="4" fontId="32" fillId="11" borderId="19">
      <alignment horizontal="right" vertical="top" shrinkToFit="1"/>
    </xf>
    <xf numFmtId="4" fontId="32" fillId="11" borderId="19">
      <alignment horizontal="right" vertical="top" shrinkToFit="1"/>
    </xf>
    <xf numFmtId="4" fontId="32" fillId="11" borderId="19">
      <alignment horizontal="right" vertical="top" shrinkToFit="1"/>
    </xf>
    <xf numFmtId="4" fontId="32" fillId="11" borderId="19">
      <alignment horizontal="right" vertical="top" shrinkToFit="1"/>
    </xf>
    <xf numFmtId="4" fontId="68" fillId="102" borderId="19">
      <alignment horizontal="right" vertical="top" shrinkToFit="1"/>
    </xf>
    <xf numFmtId="4" fontId="71" fillId="0" borderId="23">
      <alignment horizontal="right" vertical="top" shrinkToFit="1"/>
    </xf>
    <xf numFmtId="0" fontId="68" fillId="102" borderId="20">
      <alignment vertical="top" shrinkToFit="1"/>
    </xf>
    <xf numFmtId="0" fontId="32" fillId="11" borderId="20">
      <alignment vertical="top" shrinkToFit="1"/>
    </xf>
    <xf numFmtId="0" fontId="32" fillId="11" borderId="20">
      <alignment vertical="top" shrinkToFit="1"/>
    </xf>
    <xf numFmtId="0" fontId="32" fillId="11" borderId="20">
      <alignment vertical="top" shrinkToFit="1"/>
    </xf>
    <xf numFmtId="0" fontId="32" fillId="11" borderId="20">
      <alignment vertical="top" shrinkToFit="1"/>
    </xf>
    <xf numFmtId="0" fontId="68" fillId="102" borderId="20">
      <alignment vertical="top" shrinkToFit="1"/>
    </xf>
    <xf numFmtId="169" fontId="68" fillId="102" borderId="20">
      <alignment horizontal="right" vertical="top" shrinkToFit="1"/>
    </xf>
    <xf numFmtId="169" fontId="32" fillId="11" borderId="20">
      <alignment horizontal="right" vertical="top" shrinkToFit="1"/>
    </xf>
    <xf numFmtId="169" fontId="32" fillId="11" borderId="20">
      <alignment horizontal="right" vertical="top" shrinkToFit="1"/>
    </xf>
    <xf numFmtId="169" fontId="32" fillId="11" borderId="20">
      <alignment horizontal="right" vertical="top" shrinkToFit="1"/>
    </xf>
    <xf numFmtId="169" fontId="32" fillId="11" borderId="20">
      <alignment horizontal="right" vertical="top" shrinkToFit="1"/>
    </xf>
    <xf numFmtId="169" fontId="68" fillId="102" borderId="20">
      <alignment horizontal="right" vertical="top" shrinkToFit="1"/>
    </xf>
    <xf numFmtId="4" fontId="31" fillId="0" borderId="23">
      <alignment horizontal="right" vertical="top" shrinkToFit="1"/>
    </xf>
    <xf numFmtId="4" fontId="31" fillId="0" borderId="23">
      <alignment horizontal="right" vertical="top" shrinkToFit="1"/>
    </xf>
    <xf numFmtId="4" fontId="31" fillId="0" borderId="23">
      <alignment horizontal="right" vertical="top" shrinkToFit="1"/>
    </xf>
    <xf numFmtId="4" fontId="31" fillId="0" borderId="23">
      <alignment horizontal="right" vertical="top" shrinkToFit="1"/>
    </xf>
    <xf numFmtId="4" fontId="71" fillId="0" borderId="23">
      <alignment horizontal="right" vertical="top" shrinkToFit="1"/>
    </xf>
    <xf numFmtId="0" fontId="68" fillId="102" borderId="20">
      <alignment vertical="top" shrinkToFit="1"/>
    </xf>
    <xf numFmtId="4" fontId="68" fillId="102" borderId="20">
      <alignment horizontal="right" vertical="top" shrinkToFit="1"/>
    </xf>
    <xf numFmtId="4" fontId="32" fillId="11" borderId="20">
      <alignment horizontal="right" vertical="top" shrinkToFit="1"/>
    </xf>
    <xf numFmtId="4" fontId="32" fillId="11" borderId="20">
      <alignment horizontal="right" vertical="top" shrinkToFit="1"/>
    </xf>
    <xf numFmtId="4" fontId="32" fillId="11" borderId="20">
      <alignment horizontal="right" vertical="top" shrinkToFit="1"/>
    </xf>
    <xf numFmtId="4" fontId="32" fillId="11" borderId="20">
      <alignment horizontal="right" vertical="top" shrinkToFit="1"/>
    </xf>
    <xf numFmtId="4" fontId="68" fillId="102" borderId="20">
      <alignment horizontal="right" vertical="top" shrinkToFit="1"/>
    </xf>
    <xf numFmtId="0" fontId="32" fillId="11" borderId="20">
      <alignment vertical="top" shrinkToFit="1"/>
    </xf>
    <xf numFmtId="0" fontId="32" fillId="11" borderId="20">
      <alignment vertical="top" shrinkToFit="1"/>
    </xf>
    <xf numFmtId="0" fontId="32" fillId="11" borderId="20">
      <alignment vertical="top" shrinkToFit="1"/>
    </xf>
    <xf numFmtId="0" fontId="32" fillId="11" borderId="20">
      <alignment vertical="top" shrinkToFit="1"/>
    </xf>
    <xf numFmtId="0" fontId="68" fillId="102" borderId="20">
      <alignment vertical="top" shrinkToFit="1"/>
    </xf>
    <xf numFmtId="4" fontId="68" fillId="102" borderId="20">
      <alignment horizontal="right" vertical="top" shrinkToFit="1"/>
    </xf>
    <xf numFmtId="4" fontId="32" fillId="11" borderId="20">
      <alignment horizontal="right" vertical="top" shrinkToFit="1"/>
    </xf>
    <xf numFmtId="4" fontId="32" fillId="11" borderId="20">
      <alignment horizontal="right" vertical="top" shrinkToFit="1"/>
    </xf>
    <xf numFmtId="4" fontId="32" fillId="11" borderId="20">
      <alignment horizontal="right" vertical="top" shrinkToFit="1"/>
    </xf>
    <xf numFmtId="4" fontId="32" fillId="11" borderId="20">
      <alignment horizontal="right" vertical="top" shrinkToFit="1"/>
    </xf>
    <xf numFmtId="4" fontId="68" fillId="102" borderId="20">
      <alignment horizontal="right" vertical="top" shrinkToFit="1"/>
    </xf>
    <xf numFmtId="4" fontId="68" fillId="102" borderId="20">
      <alignment horizontal="right" vertical="top" shrinkToFit="1"/>
    </xf>
    <xf numFmtId="4" fontId="32" fillId="11" borderId="20">
      <alignment horizontal="right" vertical="top" shrinkToFit="1"/>
    </xf>
    <xf numFmtId="4" fontId="32" fillId="11" borderId="20">
      <alignment horizontal="right" vertical="top" shrinkToFit="1"/>
    </xf>
    <xf numFmtId="4" fontId="32" fillId="11" borderId="20">
      <alignment horizontal="right" vertical="top" shrinkToFit="1"/>
    </xf>
    <xf numFmtId="4" fontId="32" fillId="11" borderId="20">
      <alignment horizontal="right" vertical="top" shrinkToFit="1"/>
    </xf>
    <xf numFmtId="4" fontId="68" fillId="102" borderId="20">
      <alignment horizontal="right" vertical="top" shrinkToFit="1"/>
    </xf>
    <xf numFmtId="4" fontId="68" fillId="102" borderId="20">
      <alignment horizontal="right" vertical="top" shrinkToFit="1"/>
    </xf>
    <xf numFmtId="4" fontId="32" fillId="11" borderId="20">
      <alignment horizontal="right" vertical="top" shrinkToFit="1"/>
    </xf>
    <xf numFmtId="4" fontId="32" fillId="11" borderId="20">
      <alignment horizontal="right" vertical="top" shrinkToFit="1"/>
    </xf>
    <xf numFmtId="4" fontId="32" fillId="11" borderId="20">
      <alignment horizontal="right" vertical="top" shrinkToFit="1"/>
    </xf>
    <xf numFmtId="4" fontId="32" fillId="11" borderId="20">
      <alignment horizontal="right" vertical="top" shrinkToFit="1"/>
    </xf>
    <xf numFmtId="4" fontId="68" fillId="102" borderId="20">
      <alignment horizontal="right" vertical="top" shrinkToFit="1"/>
    </xf>
    <xf numFmtId="4" fontId="68" fillId="102" borderId="20">
      <alignment horizontal="right" vertical="top" shrinkToFit="1"/>
    </xf>
    <xf numFmtId="4" fontId="32" fillId="11" borderId="20">
      <alignment horizontal="right" vertical="top" shrinkToFit="1"/>
    </xf>
    <xf numFmtId="4" fontId="32" fillId="11" borderId="20">
      <alignment horizontal="right" vertical="top" shrinkToFit="1"/>
    </xf>
    <xf numFmtId="4" fontId="32" fillId="11" borderId="20">
      <alignment horizontal="right" vertical="top" shrinkToFit="1"/>
    </xf>
    <xf numFmtId="4" fontId="32" fillId="11" borderId="20">
      <alignment horizontal="right" vertical="top" shrinkToFit="1"/>
    </xf>
    <xf numFmtId="4" fontId="68" fillId="102" borderId="20">
      <alignment horizontal="right" vertical="top" shrinkToFit="1"/>
    </xf>
    <xf numFmtId="4" fontId="68" fillId="102" borderId="20">
      <alignment horizontal="right" vertical="top" shrinkToFit="1"/>
    </xf>
    <xf numFmtId="4" fontId="32" fillId="11" borderId="20">
      <alignment horizontal="right" vertical="top" shrinkToFit="1"/>
    </xf>
    <xf numFmtId="4" fontId="32" fillId="11" borderId="20">
      <alignment horizontal="right" vertical="top" shrinkToFit="1"/>
    </xf>
    <xf numFmtId="4" fontId="32" fillId="11" borderId="20">
      <alignment horizontal="right" vertical="top" shrinkToFit="1"/>
    </xf>
    <xf numFmtId="4" fontId="32" fillId="11" borderId="20">
      <alignment horizontal="right" vertical="top" shrinkToFit="1"/>
    </xf>
    <xf numFmtId="4" fontId="68" fillId="102" borderId="20">
      <alignment horizontal="right" vertical="top" shrinkToFit="1"/>
    </xf>
    <xf numFmtId="4" fontId="68" fillId="102" borderId="20">
      <alignment horizontal="right" vertical="top" shrinkToFit="1"/>
    </xf>
    <xf numFmtId="4" fontId="32" fillId="11" borderId="20">
      <alignment horizontal="right" vertical="top" shrinkToFit="1"/>
    </xf>
    <xf numFmtId="4" fontId="32" fillId="11" borderId="20">
      <alignment horizontal="right" vertical="top" shrinkToFit="1"/>
    </xf>
    <xf numFmtId="4" fontId="32" fillId="11" borderId="20">
      <alignment horizontal="right" vertical="top" shrinkToFit="1"/>
    </xf>
    <xf numFmtId="4" fontId="32" fillId="11" borderId="20">
      <alignment horizontal="right" vertical="top" shrinkToFit="1"/>
    </xf>
    <xf numFmtId="4" fontId="68" fillId="102" borderId="20">
      <alignment horizontal="right" vertical="top" shrinkToFit="1"/>
    </xf>
    <xf numFmtId="4" fontId="68" fillId="102" borderId="20">
      <alignment horizontal="right" vertical="top" shrinkToFit="1"/>
    </xf>
    <xf numFmtId="4" fontId="32" fillId="11" borderId="20">
      <alignment horizontal="right" vertical="top" shrinkToFit="1"/>
    </xf>
    <xf numFmtId="4" fontId="32" fillId="11" borderId="20">
      <alignment horizontal="right" vertical="top" shrinkToFit="1"/>
    </xf>
    <xf numFmtId="4" fontId="32" fillId="11" borderId="20">
      <alignment horizontal="right" vertical="top" shrinkToFit="1"/>
    </xf>
    <xf numFmtId="4" fontId="32" fillId="11" borderId="20">
      <alignment horizontal="right" vertical="top" shrinkToFit="1"/>
    </xf>
    <xf numFmtId="4" fontId="68" fillId="102" borderId="20">
      <alignment horizontal="right" vertical="top" shrinkToFit="1"/>
    </xf>
    <xf numFmtId="4" fontId="68" fillId="102" borderId="20">
      <alignment horizontal="right" vertical="top" shrinkToFit="1"/>
    </xf>
    <xf numFmtId="4" fontId="32" fillId="11" borderId="20">
      <alignment horizontal="right" vertical="top" shrinkToFit="1"/>
    </xf>
    <xf numFmtId="4" fontId="32" fillId="11" borderId="20">
      <alignment horizontal="right" vertical="top" shrinkToFit="1"/>
    </xf>
    <xf numFmtId="4" fontId="32" fillId="11" borderId="20">
      <alignment horizontal="right" vertical="top" shrinkToFit="1"/>
    </xf>
    <xf numFmtId="4" fontId="32" fillId="11" borderId="20">
      <alignment horizontal="right" vertical="top" shrinkToFit="1"/>
    </xf>
    <xf numFmtId="4" fontId="68" fillId="102" borderId="20">
      <alignment horizontal="right" vertical="top" shrinkToFit="1"/>
    </xf>
    <xf numFmtId="0" fontId="68" fillId="102" borderId="20">
      <alignment vertical="top" shrinkToFit="1"/>
    </xf>
    <xf numFmtId="0" fontId="32" fillId="11" borderId="20">
      <alignment vertical="top" shrinkToFit="1"/>
    </xf>
    <xf numFmtId="0" fontId="32" fillId="11" borderId="20">
      <alignment vertical="top" shrinkToFit="1"/>
    </xf>
    <xf numFmtId="0" fontId="32" fillId="11" borderId="20">
      <alignment vertical="top" shrinkToFit="1"/>
    </xf>
    <xf numFmtId="0" fontId="32" fillId="11" borderId="20">
      <alignment vertical="top" shrinkToFit="1"/>
    </xf>
    <xf numFmtId="0" fontId="68" fillId="102" borderId="20">
      <alignment vertical="top" shrinkToFit="1"/>
    </xf>
    <xf numFmtId="0" fontId="68" fillId="102" borderId="20">
      <alignment vertical="top" shrinkToFit="1"/>
    </xf>
    <xf numFmtId="0" fontId="32" fillId="11" borderId="20">
      <alignment vertical="top" shrinkToFit="1"/>
    </xf>
    <xf numFmtId="0" fontId="32" fillId="11" borderId="20">
      <alignment vertical="top" shrinkToFit="1"/>
    </xf>
    <xf numFmtId="0" fontId="32" fillId="11" borderId="20">
      <alignment vertical="top" shrinkToFit="1"/>
    </xf>
    <xf numFmtId="0" fontId="32" fillId="11" borderId="20">
      <alignment vertical="top" shrinkToFit="1"/>
    </xf>
    <xf numFmtId="0" fontId="68" fillId="102" borderId="20">
      <alignment vertical="top" shrinkToFit="1"/>
    </xf>
    <xf numFmtId="0" fontId="68" fillId="102" borderId="20">
      <alignment vertical="top" shrinkToFit="1"/>
    </xf>
    <xf numFmtId="0" fontId="32" fillId="11" borderId="20">
      <alignment vertical="top" shrinkToFit="1"/>
    </xf>
    <xf numFmtId="0" fontId="32" fillId="11" borderId="20">
      <alignment vertical="top" shrinkToFit="1"/>
    </xf>
    <xf numFmtId="0" fontId="32" fillId="11" borderId="20">
      <alignment vertical="top" shrinkToFit="1"/>
    </xf>
    <xf numFmtId="0" fontId="32" fillId="11" borderId="20">
      <alignment vertical="top" shrinkToFit="1"/>
    </xf>
    <xf numFmtId="0" fontId="68" fillId="102" borderId="20">
      <alignment vertical="top" shrinkToFit="1"/>
    </xf>
    <xf numFmtId="0" fontId="68" fillId="102" borderId="20">
      <alignment vertical="top" shrinkToFit="1"/>
    </xf>
    <xf numFmtId="0" fontId="32" fillId="11" borderId="20">
      <alignment vertical="top" shrinkToFit="1"/>
    </xf>
    <xf numFmtId="0" fontId="32" fillId="11" borderId="20">
      <alignment vertical="top" shrinkToFit="1"/>
    </xf>
    <xf numFmtId="0" fontId="32" fillId="11" borderId="20">
      <alignment vertical="top" shrinkToFit="1"/>
    </xf>
    <xf numFmtId="0" fontId="32" fillId="11" borderId="20">
      <alignment vertical="top" shrinkToFit="1"/>
    </xf>
    <xf numFmtId="0" fontId="68" fillId="102" borderId="20">
      <alignment vertical="top" shrinkToFit="1"/>
    </xf>
    <xf numFmtId="0" fontId="68" fillId="102" borderId="20">
      <alignment vertical="top" shrinkToFit="1"/>
    </xf>
    <xf numFmtId="0" fontId="32" fillId="11" borderId="20">
      <alignment vertical="top" shrinkToFit="1"/>
    </xf>
    <xf numFmtId="0" fontId="32" fillId="11" borderId="20">
      <alignment vertical="top" shrinkToFit="1"/>
    </xf>
    <xf numFmtId="0" fontId="32" fillId="11" borderId="20">
      <alignment vertical="top" shrinkToFit="1"/>
    </xf>
    <xf numFmtId="0" fontId="32" fillId="11" borderId="20">
      <alignment vertical="top" shrinkToFit="1"/>
    </xf>
    <xf numFmtId="0" fontId="68" fillId="102" borderId="20">
      <alignment vertical="top" shrinkToFit="1"/>
    </xf>
    <xf numFmtId="0" fontId="68" fillId="102" borderId="20">
      <alignment vertical="top" shrinkToFit="1"/>
    </xf>
    <xf numFmtId="0" fontId="32" fillId="11" borderId="20">
      <alignment vertical="top" shrinkToFit="1"/>
    </xf>
    <xf numFmtId="0" fontId="32" fillId="11" borderId="20">
      <alignment vertical="top" shrinkToFit="1"/>
    </xf>
    <xf numFmtId="0" fontId="32" fillId="11" borderId="20">
      <alignment vertical="top" shrinkToFit="1"/>
    </xf>
    <xf numFmtId="0" fontId="32" fillId="11" borderId="20">
      <alignment vertical="top" shrinkToFit="1"/>
    </xf>
    <xf numFmtId="0" fontId="68" fillId="102" borderId="20">
      <alignment vertical="top" shrinkToFit="1"/>
    </xf>
    <xf numFmtId="0" fontId="68" fillId="102" borderId="20">
      <alignment vertical="top" shrinkToFit="1"/>
    </xf>
    <xf numFmtId="0" fontId="32" fillId="11" borderId="20">
      <alignment vertical="top" shrinkToFit="1"/>
    </xf>
    <xf numFmtId="0" fontId="32" fillId="11" borderId="20">
      <alignment vertical="top" shrinkToFit="1"/>
    </xf>
    <xf numFmtId="0" fontId="32" fillId="11" borderId="20">
      <alignment vertical="top" shrinkToFit="1"/>
    </xf>
    <xf numFmtId="0" fontId="32" fillId="11" borderId="20">
      <alignment vertical="top" shrinkToFit="1"/>
    </xf>
    <xf numFmtId="0" fontId="68" fillId="102" borderId="20">
      <alignment vertical="top" shrinkToFit="1"/>
    </xf>
    <xf numFmtId="49" fontId="68" fillId="101" borderId="21">
      <alignment horizontal="center" vertical="top" shrinkToFit="1"/>
    </xf>
    <xf numFmtId="49" fontId="32" fillId="12" borderId="21">
      <alignment horizontal="center" vertical="top" shrinkToFit="1"/>
    </xf>
    <xf numFmtId="49" fontId="32" fillId="12" borderId="21">
      <alignment horizontal="center" vertical="top" shrinkToFit="1"/>
    </xf>
    <xf numFmtId="49" fontId="32" fillId="12" borderId="21">
      <alignment horizontal="center" vertical="top" shrinkToFit="1"/>
    </xf>
    <xf numFmtId="49" fontId="32" fillId="12" borderId="21">
      <alignment horizontal="center" vertical="top" shrinkToFit="1"/>
    </xf>
    <xf numFmtId="49" fontId="68" fillId="101" borderId="21">
      <alignment horizontal="center" vertical="top" shrinkToFit="1"/>
    </xf>
    <xf numFmtId="0" fontId="32" fillId="12" borderId="21">
      <alignment horizontal="left" vertical="top" wrapText="1"/>
    </xf>
    <xf numFmtId="0" fontId="32" fillId="12" borderId="21">
      <alignment horizontal="left" vertical="top" wrapText="1"/>
    </xf>
    <xf numFmtId="0" fontId="32" fillId="12" borderId="21">
      <alignment horizontal="left" vertical="top" wrapText="1"/>
    </xf>
    <xf numFmtId="0" fontId="32" fillId="12" borderId="21">
      <alignment horizontal="left" vertical="top" wrapText="1"/>
    </xf>
    <xf numFmtId="0" fontId="68" fillId="101" borderId="21">
      <alignment horizontal="left" vertical="top" wrapText="1"/>
    </xf>
    <xf numFmtId="49" fontId="68" fillId="101" borderId="22">
      <alignment horizontal="center" vertical="top" shrinkToFit="1"/>
    </xf>
    <xf numFmtId="0" fontId="68" fillId="101" borderId="22">
      <alignment horizontal="left" vertical="top" wrapText="1"/>
    </xf>
    <xf numFmtId="0" fontId="32" fillId="12" borderId="22">
      <alignment horizontal="left" vertical="top" wrapText="1"/>
    </xf>
    <xf numFmtId="0" fontId="32" fillId="12" borderId="22">
      <alignment horizontal="left" vertical="top" wrapText="1"/>
    </xf>
    <xf numFmtId="0" fontId="32" fillId="12" borderId="22">
      <alignment horizontal="left" vertical="top" wrapText="1"/>
    </xf>
    <xf numFmtId="0" fontId="32" fillId="12" borderId="22">
      <alignment horizontal="left" vertical="top" wrapText="1"/>
    </xf>
    <xf numFmtId="0" fontId="68" fillId="101" borderId="22">
      <alignment horizontal="left" vertical="top" wrapText="1"/>
    </xf>
    <xf numFmtId="49" fontId="32" fillId="12" borderId="22">
      <alignment horizontal="center" vertical="top" shrinkToFit="1"/>
    </xf>
    <xf numFmtId="49" fontId="32" fillId="12" borderId="22">
      <alignment horizontal="center" vertical="top" shrinkToFit="1"/>
    </xf>
    <xf numFmtId="49" fontId="32" fillId="12" borderId="22">
      <alignment horizontal="center" vertical="top" shrinkToFit="1"/>
    </xf>
    <xf numFmtId="49" fontId="32" fillId="12" borderId="22">
      <alignment horizontal="center" vertical="top" shrinkToFit="1"/>
    </xf>
    <xf numFmtId="49" fontId="68" fillId="101" borderId="22">
      <alignment horizontal="center" vertical="top" shrinkToFit="1"/>
    </xf>
    <xf numFmtId="49" fontId="32" fillId="12" borderId="22">
      <alignment horizontal="center" vertical="top" shrinkToFit="1"/>
    </xf>
    <xf numFmtId="49" fontId="32" fillId="12" borderId="22">
      <alignment horizontal="center" vertical="top" shrinkToFit="1"/>
    </xf>
    <xf numFmtId="49" fontId="32" fillId="12" borderId="22">
      <alignment horizontal="center" vertical="top" shrinkToFit="1"/>
    </xf>
    <xf numFmtId="49" fontId="32" fillId="12" borderId="22">
      <alignment horizontal="center" vertical="top" shrinkToFit="1"/>
    </xf>
    <xf numFmtId="49" fontId="68" fillId="101" borderId="22">
      <alignment horizontal="center" vertical="top" shrinkToFit="1"/>
    </xf>
    <xf numFmtId="0" fontId="68" fillId="101" borderId="22">
      <alignment horizontal="left" vertical="top" wrapText="1"/>
    </xf>
    <xf numFmtId="49" fontId="68" fillId="101" borderId="22">
      <alignment horizontal="center" vertical="top" shrinkToFit="1"/>
    </xf>
    <xf numFmtId="49" fontId="32" fillId="12" borderId="22">
      <alignment horizontal="center" vertical="top" shrinkToFit="1"/>
    </xf>
    <xf numFmtId="49" fontId="32" fillId="12" borderId="22">
      <alignment horizontal="center" vertical="top" shrinkToFit="1"/>
    </xf>
    <xf numFmtId="49" fontId="32" fillId="12" borderId="22">
      <alignment horizontal="center" vertical="top" shrinkToFit="1"/>
    </xf>
    <xf numFmtId="49" fontId="32" fillId="12" borderId="22">
      <alignment horizontal="center" vertical="top" shrinkToFit="1"/>
    </xf>
    <xf numFmtId="49" fontId="68" fillId="101" borderId="22">
      <alignment horizontal="center" vertical="top" shrinkToFit="1"/>
    </xf>
    <xf numFmtId="0" fontId="32" fillId="12" borderId="22">
      <alignment horizontal="left" vertical="top" wrapText="1"/>
    </xf>
    <xf numFmtId="0" fontId="32" fillId="12" borderId="22">
      <alignment horizontal="left" vertical="top" wrapText="1"/>
    </xf>
    <xf numFmtId="0" fontId="32" fillId="12" borderId="22">
      <alignment horizontal="left" vertical="top" wrapText="1"/>
    </xf>
    <xf numFmtId="0" fontId="32" fillId="12" borderId="22">
      <alignment horizontal="left" vertical="top" wrapText="1"/>
    </xf>
    <xf numFmtId="0" fontId="68" fillId="101" borderId="22">
      <alignment horizontal="left" vertical="top" wrapText="1"/>
    </xf>
    <xf numFmtId="0" fontId="32" fillId="12" borderId="22">
      <alignment horizontal="left" vertical="top" wrapText="1"/>
    </xf>
    <xf numFmtId="0" fontId="32" fillId="12" borderId="22">
      <alignment horizontal="left" vertical="top" wrapText="1"/>
    </xf>
    <xf numFmtId="0" fontId="32" fillId="12" borderId="22">
      <alignment horizontal="left" vertical="top" wrapText="1"/>
    </xf>
    <xf numFmtId="0" fontId="32" fillId="12" borderId="22">
      <alignment horizontal="left" vertical="top" wrapText="1"/>
    </xf>
    <xf numFmtId="0" fontId="68" fillId="101" borderId="22">
      <alignment horizontal="left" vertical="top" wrapText="1"/>
    </xf>
    <xf numFmtId="4" fontId="68" fillId="101" borderId="22">
      <alignment horizontal="right" vertical="top" shrinkToFit="1"/>
    </xf>
    <xf numFmtId="4" fontId="32" fillId="12" borderId="22">
      <alignment horizontal="right" vertical="top" shrinkToFit="1"/>
    </xf>
    <xf numFmtId="4" fontId="32" fillId="12" borderId="22">
      <alignment horizontal="right" vertical="top" shrinkToFit="1"/>
    </xf>
    <xf numFmtId="4" fontId="32" fillId="12" borderId="22">
      <alignment horizontal="right" vertical="top" shrinkToFit="1"/>
    </xf>
    <xf numFmtId="4" fontId="32" fillId="12" borderId="22">
      <alignment horizontal="right" vertical="top" shrinkToFit="1"/>
    </xf>
    <xf numFmtId="4" fontId="68" fillId="101" borderId="22">
      <alignment horizontal="right" vertical="top" shrinkToFit="1"/>
    </xf>
    <xf numFmtId="4" fontId="32" fillId="12" borderId="22">
      <alignment horizontal="right" vertical="top" shrinkToFit="1"/>
    </xf>
    <xf numFmtId="4" fontId="32" fillId="12" borderId="22">
      <alignment horizontal="right" vertical="top" shrinkToFit="1"/>
    </xf>
    <xf numFmtId="4" fontId="32" fillId="12" borderId="22">
      <alignment horizontal="right" vertical="top" shrinkToFit="1"/>
    </xf>
    <xf numFmtId="4" fontId="32" fillId="12" borderId="22">
      <alignment horizontal="right" vertical="top" shrinkToFit="1"/>
    </xf>
    <xf numFmtId="4" fontId="68" fillId="101" borderId="22">
      <alignment horizontal="right" vertical="top" shrinkToFit="1"/>
    </xf>
    <xf numFmtId="0" fontId="68" fillId="101" borderId="23">
      <alignment vertical="top" shrinkToFit="1"/>
    </xf>
    <xf numFmtId="4" fontId="68" fillId="101" borderId="23">
      <alignment horizontal="right" vertical="top" shrinkToFit="1"/>
    </xf>
    <xf numFmtId="4" fontId="32" fillId="12" borderId="23">
      <alignment horizontal="right" vertical="top" shrinkToFit="1"/>
    </xf>
    <xf numFmtId="4" fontId="32" fillId="12" borderId="23">
      <alignment horizontal="right" vertical="top" shrinkToFit="1"/>
    </xf>
    <xf numFmtId="4" fontId="32" fillId="12" borderId="23">
      <alignment horizontal="right" vertical="top" shrinkToFit="1"/>
    </xf>
    <xf numFmtId="4" fontId="32" fillId="12" borderId="23">
      <alignment horizontal="right" vertical="top" shrinkToFit="1"/>
    </xf>
    <xf numFmtId="4" fontId="68" fillId="101" borderId="23">
      <alignment horizontal="right" vertical="top" shrinkToFit="1"/>
    </xf>
    <xf numFmtId="169" fontId="68" fillId="101" borderId="23">
      <alignment horizontal="right" vertical="top" shrinkToFit="1"/>
    </xf>
    <xf numFmtId="169" fontId="32" fillId="12" borderId="23">
      <alignment horizontal="right" vertical="top" shrinkToFit="1"/>
    </xf>
    <xf numFmtId="169" fontId="32" fillId="12" borderId="23">
      <alignment horizontal="right" vertical="top" shrinkToFit="1"/>
    </xf>
    <xf numFmtId="169" fontId="32" fillId="12" borderId="23">
      <alignment horizontal="right" vertical="top" shrinkToFit="1"/>
    </xf>
    <xf numFmtId="169" fontId="32" fillId="12" borderId="23">
      <alignment horizontal="right" vertical="top" shrinkToFit="1"/>
    </xf>
    <xf numFmtId="169" fontId="68" fillId="101" borderId="23">
      <alignment horizontal="right" vertical="top" shrinkToFit="1"/>
    </xf>
    <xf numFmtId="0" fontId="32" fillId="12" borderId="23">
      <alignment vertical="top" shrinkToFit="1"/>
    </xf>
    <xf numFmtId="0" fontId="32" fillId="12" borderId="23">
      <alignment vertical="top" shrinkToFit="1"/>
    </xf>
    <xf numFmtId="0" fontId="32" fillId="12" borderId="23">
      <alignment vertical="top" shrinkToFit="1"/>
    </xf>
    <xf numFmtId="0" fontId="32" fillId="12" borderId="23">
      <alignment vertical="top" shrinkToFit="1"/>
    </xf>
    <xf numFmtId="0" fontId="68" fillId="101" borderId="23">
      <alignment vertical="top" shrinkToFit="1"/>
    </xf>
    <xf numFmtId="49" fontId="69" fillId="0" borderId="21">
      <alignment horizontal="center" vertical="top" shrinkToFit="1"/>
    </xf>
    <xf numFmtId="49" fontId="34" fillId="0" borderId="21">
      <alignment horizontal="center" vertical="top" shrinkToFit="1"/>
    </xf>
    <xf numFmtId="49" fontId="34" fillId="0" borderId="21">
      <alignment horizontal="center" vertical="top" shrinkToFit="1"/>
    </xf>
    <xf numFmtId="49" fontId="34" fillId="0" borderId="21">
      <alignment horizontal="center" vertical="top" shrinkToFit="1"/>
    </xf>
    <xf numFmtId="49" fontId="34" fillId="0" borderId="21">
      <alignment horizontal="center" vertical="top" shrinkToFit="1"/>
    </xf>
    <xf numFmtId="49" fontId="69" fillId="0" borderId="21">
      <alignment horizontal="center" vertical="top" shrinkToFit="1"/>
    </xf>
    <xf numFmtId="0" fontId="34" fillId="0" borderId="21">
      <alignment horizontal="left" vertical="top" wrapText="1"/>
    </xf>
    <xf numFmtId="0" fontId="34" fillId="0" borderId="21">
      <alignment horizontal="left" vertical="top" wrapText="1"/>
    </xf>
    <xf numFmtId="0" fontId="34" fillId="0" borderId="21">
      <alignment horizontal="left" vertical="top" wrapText="1"/>
    </xf>
    <xf numFmtId="0" fontId="34" fillId="0" borderId="21">
      <alignment horizontal="left" vertical="top" wrapText="1"/>
    </xf>
    <xf numFmtId="0" fontId="69" fillId="0" borderId="21">
      <alignment horizontal="left" vertical="top" wrapText="1"/>
    </xf>
    <xf numFmtId="49" fontId="71" fillId="0" borderId="22">
      <alignment horizontal="center" vertical="top" shrinkToFit="1"/>
    </xf>
    <xf numFmtId="0" fontId="71" fillId="0" borderId="22">
      <alignment horizontal="left" vertical="top" wrapText="1"/>
    </xf>
    <xf numFmtId="0" fontId="31" fillId="0" borderId="22">
      <alignment horizontal="left" vertical="top" wrapText="1"/>
    </xf>
    <xf numFmtId="0" fontId="31" fillId="0" borderId="22">
      <alignment horizontal="left" vertical="top" wrapText="1"/>
    </xf>
    <xf numFmtId="0" fontId="31" fillId="0" borderId="22">
      <alignment horizontal="left" vertical="top" wrapText="1"/>
    </xf>
    <xf numFmtId="0" fontId="31" fillId="0" borderId="22">
      <alignment horizontal="left" vertical="top" wrapText="1"/>
    </xf>
    <xf numFmtId="0" fontId="71" fillId="0" borderId="22">
      <alignment horizontal="left" vertical="top" wrapText="1"/>
    </xf>
    <xf numFmtId="49" fontId="31" fillId="0" borderId="22">
      <alignment horizontal="center" vertical="top" shrinkToFit="1"/>
    </xf>
    <xf numFmtId="49" fontId="31" fillId="0" borderId="22">
      <alignment horizontal="center" vertical="top" shrinkToFit="1"/>
    </xf>
    <xf numFmtId="49" fontId="31" fillId="0" borderId="22">
      <alignment horizontal="center" vertical="top" shrinkToFit="1"/>
    </xf>
    <xf numFmtId="49" fontId="31" fillId="0" borderId="22">
      <alignment horizontal="center" vertical="top" shrinkToFit="1"/>
    </xf>
    <xf numFmtId="49" fontId="71" fillId="0" borderId="22">
      <alignment horizontal="center" vertical="top" shrinkToFit="1"/>
    </xf>
    <xf numFmtId="49" fontId="31" fillId="0" borderId="22">
      <alignment horizontal="center" vertical="top" shrinkToFit="1"/>
    </xf>
    <xf numFmtId="49" fontId="31" fillId="0" borderId="22">
      <alignment horizontal="center" vertical="top" shrinkToFit="1"/>
    </xf>
    <xf numFmtId="49" fontId="31" fillId="0" borderId="22">
      <alignment horizontal="center" vertical="top" shrinkToFit="1"/>
    </xf>
    <xf numFmtId="49" fontId="31" fillId="0" borderId="22">
      <alignment horizontal="center" vertical="top" shrinkToFit="1"/>
    </xf>
    <xf numFmtId="49" fontId="71" fillId="0" borderId="22">
      <alignment horizontal="center" vertical="top" shrinkToFit="1"/>
    </xf>
    <xf numFmtId="0" fontId="71" fillId="0" borderId="22">
      <alignment horizontal="left" vertical="top" wrapText="1"/>
    </xf>
    <xf numFmtId="49" fontId="71" fillId="0" borderId="22">
      <alignment horizontal="center" vertical="top" shrinkToFit="1"/>
    </xf>
    <xf numFmtId="49" fontId="31" fillId="0" borderId="22">
      <alignment horizontal="center" vertical="top" shrinkToFit="1"/>
    </xf>
    <xf numFmtId="49" fontId="31" fillId="0" borderId="22">
      <alignment horizontal="center" vertical="top" shrinkToFit="1"/>
    </xf>
    <xf numFmtId="49" fontId="31" fillId="0" borderId="22">
      <alignment horizontal="center" vertical="top" shrinkToFit="1"/>
    </xf>
    <xf numFmtId="49" fontId="31" fillId="0" borderId="22">
      <alignment horizontal="center" vertical="top" shrinkToFit="1"/>
    </xf>
    <xf numFmtId="49" fontId="71" fillId="0" borderId="22">
      <alignment horizontal="center" vertical="top" shrinkToFit="1"/>
    </xf>
    <xf numFmtId="0" fontId="31" fillId="0" borderId="22">
      <alignment horizontal="left" vertical="top" wrapText="1"/>
    </xf>
    <xf numFmtId="0" fontId="31" fillId="0" borderId="22">
      <alignment horizontal="left" vertical="top" wrapText="1"/>
    </xf>
    <xf numFmtId="0" fontId="31" fillId="0" borderId="22">
      <alignment horizontal="left" vertical="top" wrapText="1"/>
    </xf>
    <xf numFmtId="0" fontId="31" fillId="0" borderId="22">
      <alignment horizontal="left" vertical="top" wrapText="1"/>
    </xf>
    <xf numFmtId="0" fontId="71" fillId="0" borderId="22">
      <alignment horizontal="left" vertical="top" wrapText="1"/>
    </xf>
    <xf numFmtId="0" fontId="31" fillId="0" borderId="22">
      <alignment horizontal="left" vertical="top" wrapText="1"/>
    </xf>
    <xf numFmtId="0" fontId="31" fillId="0" borderId="22">
      <alignment horizontal="left" vertical="top" wrapText="1"/>
    </xf>
    <xf numFmtId="0" fontId="31" fillId="0" borderId="22">
      <alignment horizontal="left" vertical="top" wrapText="1"/>
    </xf>
    <xf numFmtId="0" fontId="31" fillId="0" borderId="22">
      <alignment horizontal="left" vertical="top" wrapText="1"/>
    </xf>
    <xf numFmtId="0" fontId="71" fillId="0" borderId="22">
      <alignment horizontal="left" vertical="top" wrapText="1"/>
    </xf>
    <xf numFmtId="4" fontId="71" fillId="0" borderId="22">
      <alignment horizontal="right" vertical="top" shrinkToFit="1"/>
    </xf>
    <xf numFmtId="4" fontId="31" fillId="0" borderId="22">
      <alignment horizontal="right" vertical="top" shrinkToFit="1"/>
    </xf>
    <xf numFmtId="4" fontId="31" fillId="0" borderId="22">
      <alignment horizontal="right" vertical="top" shrinkToFit="1"/>
    </xf>
    <xf numFmtId="4" fontId="31" fillId="0" borderId="22">
      <alignment horizontal="right" vertical="top" shrinkToFit="1"/>
    </xf>
    <xf numFmtId="4" fontId="31" fillId="0" borderId="22">
      <alignment horizontal="right" vertical="top" shrinkToFit="1"/>
    </xf>
    <xf numFmtId="4" fontId="71" fillId="0" borderId="22">
      <alignment horizontal="right" vertical="top" shrinkToFit="1"/>
    </xf>
    <xf numFmtId="4" fontId="31" fillId="0" borderId="22">
      <alignment horizontal="right" vertical="top" shrinkToFit="1"/>
    </xf>
    <xf numFmtId="4" fontId="31" fillId="0" borderId="22">
      <alignment horizontal="right" vertical="top" shrinkToFit="1"/>
    </xf>
    <xf numFmtId="4" fontId="31" fillId="0" borderId="22">
      <alignment horizontal="right" vertical="top" shrinkToFit="1"/>
    </xf>
    <xf numFmtId="4" fontId="31" fillId="0" borderId="22">
      <alignment horizontal="right" vertical="top" shrinkToFit="1"/>
    </xf>
    <xf numFmtId="4" fontId="71" fillId="0" borderId="22">
      <alignment horizontal="right" vertical="top" shrinkToFit="1"/>
    </xf>
    <xf numFmtId="0" fontId="71" fillId="0" borderId="23">
      <alignment vertical="top" shrinkToFit="1"/>
    </xf>
    <xf numFmtId="4" fontId="71" fillId="0" borderId="23">
      <alignment horizontal="right" vertical="top" shrinkToFit="1"/>
    </xf>
    <xf numFmtId="4" fontId="31" fillId="0" borderId="23">
      <alignment horizontal="right" vertical="top" shrinkToFit="1"/>
    </xf>
    <xf numFmtId="4" fontId="31" fillId="0" borderId="23">
      <alignment horizontal="right" vertical="top" shrinkToFit="1"/>
    </xf>
    <xf numFmtId="4" fontId="31" fillId="0" borderId="23">
      <alignment horizontal="right" vertical="top" shrinkToFit="1"/>
    </xf>
    <xf numFmtId="4" fontId="31" fillId="0" borderId="23">
      <alignment horizontal="right" vertical="top" shrinkToFit="1"/>
    </xf>
    <xf numFmtId="4" fontId="71" fillId="0" borderId="23">
      <alignment horizontal="right" vertical="top" shrinkToFit="1"/>
    </xf>
    <xf numFmtId="169" fontId="71" fillId="0" borderId="23">
      <alignment horizontal="right" vertical="top" shrinkToFit="1"/>
    </xf>
    <xf numFmtId="169" fontId="31" fillId="0" borderId="23">
      <alignment horizontal="right" vertical="top" shrinkToFit="1"/>
    </xf>
    <xf numFmtId="169" fontId="31" fillId="0" borderId="23">
      <alignment horizontal="right" vertical="top" shrinkToFit="1"/>
    </xf>
    <xf numFmtId="169" fontId="31" fillId="0" borderId="23">
      <alignment horizontal="right" vertical="top" shrinkToFit="1"/>
    </xf>
    <xf numFmtId="169" fontId="31" fillId="0" borderId="23">
      <alignment horizontal="right" vertical="top" shrinkToFit="1"/>
    </xf>
    <xf numFmtId="169" fontId="71" fillId="0" borderId="23">
      <alignment horizontal="right" vertical="top" shrinkToFit="1"/>
    </xf>
    <xf numFmtId="0" fontId="31" fillId="0" borderId="23">
      <alignment vertical="top" shrinkToFit="1"/>
    </xf>
    <xf numFmtId="0" fontId="31" fillId="0" borderId="23">
      <alignment vertical="top" shrinkToFit="1"/>
    </xf>
    <xf numFmtId="0" fontId="31" fillId="0" borderId="23">
      <alignment vertical="top" shrinkToFit="1"/>
    </xf>
    <xf numFmtId="0" fontId="31" fillId="0" borderId="23">
      <alignment vertical="top" shrinkToFit="1"/>
    </xf>
    <xf numFmtId="0" fontId="71" fillId="0" borderId="23">
      <alignment vertical="top" shrinkToFit="1"/>
    </xf>
    <xf numFmtId="49" fontId="69" fillId="0" borderId="21">
      <alignment horizontal="center" vertical="top" shrinkToFit="1"/>
    </xf>
    <xf numFmtId="49" fontId="34" fillId="0" borderId="21">
      <alignment horizontal="center" vertical="top" shrinkToFit="1"/>
    </xf>
    <xf numFmtId="49" fontId="34" fillId="0" borderId="21">
      <alignment horizontal="center" vertical="top" shrinkToFit="1"/>
    </xf>
    <xf numFmtId="49" fontId="34" fillId="0" borderId="21">
      <alignment horizontal="center" vertical="top" shrinkToFit="1"/>
    </xf>
    <xf numFmtId="49" fontId="34" fillId="0" borderId="21">
      <alignment horizontal="center" vertical="top" shrinkToFit="1"/>
    </xf>
    <xf numFmtId="49" fontId="69" fillId="0" borderId="21">
      <alignment horizontal="center" vertical="top" shrinkToFit="1"/>
    </xf>
    <xf numFmtId="0" fontId="34" fillId="0" borderId="21">
      <alignment horizontal="left" vertical="top" wrapText="1"/>
    </xf>
    <xf numFmtId="0" fontId="34" fillId="0" borderId="21">
      <alignment horizontal="left" vertical="top" wrapText="1"/>
    </xf>
    <xf numFmtId="0" fontId="34" fillId="0" borderId="21">
      <alignment horizontal="left" vertical="top" wrapText="1"/>
    </xf>
    <xf numFmtId="0" fontId="34" fillId="0" borderId="21">
      <alignment horizontal="left" vertical="top" wrapText="1"/>
    </xf>
    <xf numFmtId="0" fontId="69" fillId="0" borderId="21">
      <alignment horizontal="left" vertical="top" wrapText="1"/>
    </xf>
    <xf numFmtId="49" fontId="71" fillId="0" borderId="22">
      <alignment horizontal="center" vertical="top" shrinkToFit="1"/>
    </xf>
    <xf numFmtId="49" fontId="31" fillId="0" borderId="22">
      <alignment horizontal="center" vertical="top" shrinkToFit="1"/>
    </xf>
    <xf numFmtId="49" fontId="31" fillId="0" borderId="22">
      <alignment horizontal="center" vertical="top" shrinkToFit="1"/>
    </xf>
    <xf numFmtId="49" fontId="31" fillId="0" borderId="22">
      <alignment horizontal="center" vertical="top" shrinkToFit="1"/>
    </xf>
    <xf numFmtId="49" fontId="31" fillId="0" borderId="22">
      <alignment horizontal="center" vertical="top" shrinkToFit="1"/>
    </xf>
    <xf numFmtId="49" fontId="71" fillId="0" borderId="22">
      <alignment horizontal="center" vertical="top" shrinkToFit="1"/>
    </xf>
    <xf numFmtId="49" fontId="31" fillId="0" borderId="22">
      <alignment horizontal="center" vertical="top" shrinkToFit="1"/>
    </xf>
    <xf numFmtId="49" fontId="31" fillId="0" borderId="22">
      <alignment horizontal="center" vertical="top" shrinkToFit="1"/>
    </xf>
    <xf numFmtId="49" fontId="31" fillId="0" borderId="22">
      <alignment horizontal="center" vertical="top" shrinkToFit="1"/>
    </xf>
    <xf numFmtId="49" fontId="31" fillId="0" borderId="22">
      <alignment horizontal="center" vertical="top" shrinkToFit="1"/>
    </xf>
    <xf numFmtId="49" fontId="71" fillId="0" borderId="22">
      <alignment horizontal="center" vertical="top" shrinkToFit="1"/>
    </xf>
    <xf numFmtId="0" fontId="71" fillId="0" borderId="22">
      <alignment horizontal="left" vertical="top" wrapText="1"/>
    </xf>
    <xf numFmtId="0" fontId="31" fillId="0" borderId="22">
      <alignment horizontal="left" vertical="top" wrapText="1"/>
    </xf>
    <xf numFmtId="0" fontId="31" fillId="0" borderId="22">
      <alignment horizontal="left" vertical="top" wrapText="1"/>
    </xf>
    <xf numFmtId="0" fontId="31" fillId="0" borderId="22">
      <alignment horizontal="left" vertical="top" wrapText="1"/>
    </xf>
    <xf numFmtId="0" fontId="31" fillId="0" borderId="22">
      <alignment horizontal="left" vertical="top" wrapText="1"/>
    </xf>
    <xf numFmtId="0" fontId="71" fillId="0" borderId="22">
      <alignment horizontal="left" vertical="top" wrapText="1"/>
    </xf>
    <xf numFmtId="0" fontId="31" fillId="0" borderId="22">
      <alignment horizontal="left" vertical="top" wrapText="1"/>
    </xf>
    <xf numFmtId="0" fontId="31" fillId="0" borderId="22">
      <alignment horizontal="left" vertical="top" wrapText="1"/>
    </xf>
    <xf numFmtId="0" fontId="31" fillId="0" borderId="22">
      <alignment horizontal="left" vertical="top" wrapText="1"/>
    </xf>
    <xf numFmtId="0" fontId="31" fillId="0" borderId="22">
      <alignment horizontal="left" vertical="top" wrapText="1"/>
    </xf>
    <xf numFmtId="0" fontId="71" fillId="0" borderId="22">
      <alignment horizontal="left" vertical="top" wrapText="1"/>
    </xf>
    <xf numFmtId="4" fontId="71" fillId="0" borderId="22">
      <alignment horizontal="right" vertical="top" shrinkToFit="1"/>
    </xf>
    <xf numFmtId="4" fontId="31" fillId="0" borderId="22">
      <alignment horizontal="right" vertical="top" shrinkToFit="1"/>
    </xf>
    <xf numFmtId="4" fontId="31" fillId="0" borderId="22">
      <alignment horizontal="right" vertical="top" shrinkToFit="1"/>
    </xf>
    <xf numFmtId="4" fontId="31" fillId="0" borderId="22">
      <alignment horizontal="right" vertical="top" shrinkToFit="1"/>
    </xf>
    <xf numFmtId="4" fontId="31" fillId="0" borderId="22">
      <alignment horizontal="right" vertical="top" shrinkToFit="1"/>
    </xf>
    <xf numFmtId="4" fontId="71" fillId="0" borderId="22">
      <alignment horizontal="right" vertical="top" shrinkToFit="1"/>
    </xf>
    <xf numFmtId="4" fontId="31" fillId="0" borderId="22">
      <alignment horizontal="right" vertical="top" shrinkToFit="1"/>
    </xf>
    <xf numFmtId="4" fontId="31" fillId="0" borderId="22">
      <alignment horizontal="right" vertical="top" shrinkToFit="1"/>
    </xf>
    <xf numFmtId="4" fontId="31" fillId="0" borderId="22">
      <alignment horizontal="right" vertical="top" shrinkToFit="1"/>
    </xf>
    <xf numFmtId="4" fontId="31" fillId="0" borderId="22">
      <alignment horizontal="right" vertical="top" shrinkToFit="1"/>
    </xf>
    <xf numFmtId="4" fontId="71" fillId="0" borderId="22">
      <alignment horizontal="right" vertical="top" shrinkToFit="1"/>
    </xf>
    <xf numFmtId="0" fontId="71" fillId="0" borderId="23">
      <alignment vertical="top" shrinkToFit="1"/>
    </xf>
    <xf numFmtId="4" fontId="71" fillId="0" borderId="23">
      <alignment horizontal="right" vertical="top" shrinkToFit="1"/>
    </xf>
    <xf numFmtId="4" fontId="31" fillId="0" borderId="23">
      <alignment horizontal="right" vertical="top" shrinkToFit="1"/>
    </xf>
    <xf numFmtId="4" fontId="31" fillId="0" borderId="23">
      <alignment horizontal="right" vertical="top" shrinkToFit="1"/>
    </xf>
    <xf numFmtId="4" fontId="31" fillId="0" borderId="23">
      <alignment horizontal="right" vertical="top" shrinkToFit="1"/>
    </xf>
    <xf numFmtId="4" fontId="31" fillId="0" borderId="23">
      <alignment horizontal="right" vertical="top" shrinkToFit="1"/>
    </xf>
    <xf numFmtId="4" fontId="71" fillId="0" borderId="23">
      <alignment horizontal="right" vertical="top" shrinkToFit="1"/>
    </xf>
    <xf numFmtId="0" fontId="31" fillId="0" borderId="23">
      <alignment vertical="top" shrinkToFit="1"/>
    </xf>
    <xf numFmtId="0" fontId="31" fillId="0" borderId="23">
      <alignment vertical="top" shrinkToFit="1"/>
    </xf>
    <xf numFmtId="0" fontId="31" fillId="0" borderId="23">
      <alignment vertical="top" shrinkToFit="1"/>
    </xf>
    <xf numFmtId="0" fontId="31" fillId="0" borderId="23">
      <alignment vertical="top" shrinkToFit="1"/>
    </xf>
    <xf numFmtId="0" fontId="71" fillId="0" borderId="23">
      <alignment vertical="top" shrinkToFit="1"/>
    </xf>
    <xf numFmtId="49" fontId="69" fillId="0" borderId="21">
      <alignment horizontal="center" vertical="top" shrinkToFit="1"/>
    </xf>
    <xf numFmtId="49" fontId="34" fillId="0" borderId="21">
      <alignment horizontal="center" vertical="top" shrinkToFit="1"/>
    </xf>
    <xf numFmtId="49" fontId="34" fillId="0" borderId="21">
      <alignment horizontal="center" vertical="top" shrinkToFit="1"/>
    </xf>
    <xf numFmtId="49" fontId="34" fillId="0" borderId="21">
      <alignment horizontal="center" vertical="top" shrinkToFit="1"/>
    </xf>
    <xf numFmtId="49" fontId="34" fillId="0" borderId="21">
      <alignment horizontal="center" vertical="top" shrinkToFit="1"/>
    </xf>
    <xf numFmtId="49" fontId="69" fillId="0" borderId="21">
      <alignment horizontal="center" vertical="top" shrinkToFit="1"/>
    </xf>
    <xf numFmtId="49" fontId="71" fillId="0" borderId="22">
      <alignment horizontal="center" vertical="top" shrinkToFit="1"/>
    </xf>
    <xf numFmtId="49" fontId="31" fillId="0" borderId="22">
      <alignment horizontal="center" vertical="top" shrinkToFit="1"/>
    </xf>
    <xf numFmtId="49" fontId="31" fillId="0" borderId="22">
      <alignment horizontal="center" vertical="top" shrinkToFit="1"/>
    </xf>
    <xf numFmtId="49" fontId="31" fillId="0" borderId="22">
      <alignment horizontal="center" vertical="top" shrinkToFit="1"/>
    </xf>
    <xf numFmtId="49" fontId="31" fillId="0" borderId="22">
      <alignment horizontal="center" vertical="top" shrinkToFit="1"/>
    </xf>
    <xf numFmtId="49" fontId="71" fillId="0" borderId="22">
      <alignment horizontal="center" vertical="top" shrinkToFit="1"/>
    </xf>
    <xf numFmtId="0" fontId="71" fillId="0" borderId="22">
      <alignment horizontal="left" vertical="top" wrapText="1"/>
    </xf>
    <xf numFmtId="0" fontId="31" fillId="0" borderId="22">
      <alignment horizontal="left" vertical="top" wrapText="1"/>
    </xf>
    <xf numFmtId="0" fontId="31" fillId="0" borderId="22">
      <alignment horizontal="left" vertical="top" wrapText="1"/>
    </xf>
    <xf numFmtId="0" fontId="31" fillId="0" borderId="22">
      <alignment horizontal="left" vertical="top" wrapText="1"/>
    </xf>
    <xf numFmtId="0" fontId="31" fillId="0" borderId="22">
      <alignment horizontal="left" vertical="top" wrapText="1"/>
    </xf>
    <xf numFmtId="0" fontId="71" fillId="0" borderId="22">
      <alignment horizontal="left" vertical="top" wrapText="1"/>
    </xf>
    <xf numFmtId="4" fontId="71" fillId="0" borderId="22">
      <alignment horizontal="right" vertical="top" shrinkToFit="1"/>
    </xf>
    <xf numFmtId="4" fontId="31" fillId="0" borderId="22">
      <alignment horizontal="right" vertical="top" shrinkToFit="1"/>
    </xf>
    <xf numFmtId="4" fontId="31" fillId="0" borderId="22">
      <alignment horizontal="right" vertical="top" shrinkToFit="1"/>
    </xf>
    <xf numFmtId="4" fontId="31" fillId="0" borderId="22">
      <alignment horizontal="right" vertical="top" shrinkToFit="1"/>
    </xf>
    <xf numFmtId="4" fontId="31" fillId="0" borderId="22">
      <alignment horizontal="right" vertical="top" shrinkToFit="1"/>
    </xf>
    <xf numFmtId="4" fontId="71" fillId="0" borderId="22">
      <alignment horizontal="right" vertical="top" shrinkToFit="1"/>
    </xf>
    <xf numFmtId="4" fontId="71" fillId="0" borderId="23">
      <alignment horizontal="right" vertical="top" shrinkToFit="1"/>
    </xf>
    <xf numFmtId="4" fontId="31" fillId="0" borderId="23">
      <alignment horizontal="right" vertical="top" shrinkToFit="1"/>
    </xf>
    <xf numFmtId="4" fontId="31" fillId="0" borderId="23">
      <alignment horizontal="right" vertical="top" shrinkToFit="1"/>
    </xf>
    <xf numFmtId="4" fontId="31" fillId="0" borderId="23">
      <alignment horizontal="right" vertical="top" shrinkToFit="1"/>
    </xf>
    <xf numFmtId="4" fontId="31" fillId="0" borderId="23">
      <alignment horizontal="right" vertical="top" shrinkToFit="1"/>
    </xf>
    <xf numFmtId="4" fontId="71" fillId="0" borderId="23">
      <alignment horizontal="right" vertical="top" shrinkToFit="1"/>
    </xf>
    <xf numFmtId="0" fontId="72" fillId="0" borderId="0" applyNumberFormat="0" applyFill="0" applyBorder="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72" fillId="0" borderId="0" applyNumberFormat="0" applyFill="0" applyBorder="0" applyProtection="0"/>
    <xf numFmtId="0" fontId="73" fillId="103" borderId="0" applyNumberFormat="0" applyBorder="0" applyProtection="0"/>
    <xf numFmtId="0" fontId="45" fillId="104" borderId="0" applyNumberFormat="0" applyBorder="0" applyAlignment="0" applyProtection="0"/>
    <xf numFmtId="0" fontId="45" fillId="104" borderId="0" applyNumberFormat="0" applyBorder="0" applyAlignment="0" applyProtection="0"/>
    <xf numFmtId="0" fontId="45" fillId="104" borderId="0" applyNumberFormat="0" applyBorder="0" applyAlignment="0" applyProtection="0"/>
    <xf numFmtId="0" fontId="45" fillId="104" borderId="0" applyNumberFormat="0" applyBorder="0" applyAlignment="0" applyProtection="0"/>
    <xf numFmtId="0" fontId="73" fillId="103" borderId="0" applyNumberFormat="0" applyBorder="0" applyProtection="0"/>
    <xf numFmtId="0" fontId="74" fillId="0" borderId="27" applyNumberFormat="0" applyFill="0" applyProtection="0"/>
    <xf numFmtId="0" fontId="42" fillId="0" borderId="27" applyNumberFormat="0" applyFill="0" applyAlignment="0" applyProtection="0"/>
    <xf numFmtId="0" fontId="42" fillId="0" borderId="27" applyNumberFormat="0" applyFill="0" applyAlignment="0" applyProtection="0"/>
    <xf numFmtId="0" fontId="42" fillId="0" borderId="27" applyNumberFormat="0" applyFill="0" applyAlignment="0" applyProtection="0"/>
    <xf numFmtId="0" fontId="42" fillId="0" borderId="27" applyNumberFormat="0" applyFill="0" applyAlignment="0" applyProtection="0"/>
    <xf numFmtId="0" fontId="74" fillId="0" borderId="27" applyNumberFormat="0" applyFill="0" applyProtection="0"/>
    <xf numFmtId="0" fontId="75" fillId="0" borderId="28" applyNumberFormat="0" applyFill="0" applyProtection="0"/>
    <xf numFmtId="0" fontId="43" fillId="0" borderId="28" applyNumberFormat="0" applyFill="0" applyAlignment="0" applyProtection="0"/>
    <xf numFmtId="0" fontId="43" fillId="0" borderId="28" applyNumberFormat="0" applyFill="0" applyAlignment="0" applyProtection="0"/>
    <xf numFmtId="0" fontId="43" fillId="0" borderId="28" applyNumberFormat="0" applyFill="0" applyAlignment="0" applyProtection="0"/>
    <xf numFmtId="0" fontId="43" fillId="0" borderId="28" applyNumberFormat="0" applyFill="0" applyAlignment="0" applyProtection="0"/>
    <xf numFmtId="0" fontId="75" fillId="0" borderId="28" applyNumberFormat="0" applyFill="0" applyProtection="0"/>
    <xf numFmtId="0" fontId="76" fillId="0" borderId="29" applyNumberFormat="0" applyFill="0" applyProtection="0"/>
    <xf numFmtId="0" fontId="44" fillId="0" borderId="29" applyNumberFormat="0" applyFill="0" applyAlignment="0" applyProtection="0"/>
    <xf numFmtId="0" fontId="44" fillId="0" borderId="29" applyNumberFormat="0" applyFill="0" applyAlignment="0" applyProtection="0"/>
    <xf numFmtId="0" fontId="44" fillId="0" borderId="29" applyNumberFormat="0" applyFill="0" applyAlignment="0" applyProtection="0"/>
    <xf numFmtId="0" fontId="44" fillId="0" borderId="29" applyNumberFormat="0" applyFill="0" applyAlignment="0" applyProtection="0"/>
    <xf numFmtId="0" fontId="76" fillId="0" borderId="29" applyNumberFormat="0" applyFill="0" applyProtection="0"/>
    <xf numFmtId="0" fontId="76" fillId="0" borderId="0" applyNumberFormat="0" applyFill="0" applyBorder="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76" fillId="0" borderId="0" applyNumberFormat="0" applyFill="0" applyBorder="0" applyProtection="0"/>
    <xf numFmtId="0" fontId="77" fillId="41" borderId="30" applyNumberFormat="0" applyProtection="0"/>
    <xf numFmtId="0" fontId="48" fillId="105" borderId="30" applyNumberFormat="0" applyAlignment="0" applyProtection="0"/>
    <xf numFmtId="0" fontId="48" fillId="105" borderId="30" applyNumberFormat="0" applyAlignment="0" applyProtection="0"/>
    <xf numFmtId="0" fontId="48" fillId="105" borderId="30" applyNumberFormat="0" applyAlignment="0" applyProtection="0"/>
    <xf numFmtId="0" fontId="48" fillId="105" borderId="30" applyNumberFormat="0" applyAlignment="0" applyProtection="0"/>
    <xf numFmtId="0" fontId="77" fillId="41" borderId="30" applyNumberFormat="0" applyProtection="0"/>
    <xf numFmtId="0" fontId="78" fillId="0" borderId="32" applyNumberFormat="0" applyFill="0" applyProtection="0"/>
    <xf numFmtId="0" fontId="51" fillId="0" borderId="32" applyNumberFormat="0" applyFill="0" applyAlignment="0" applyProtection="0"/>
    <xf numFmtId="0" fontId="51" fillId="0" borderId="32" applyNumberFormat="0" applyFill="0" applyAlignment="0" applyProtection="0"/>
    <xf numFmtId="0" fontId="51" fillId="0" borderId="32" applyNumberFormat="0" applyFill="0" applyAlignment="0" applyProtection="0"/>
    <xf numFmtId="0" fontId="51" fillId="0" borderId="32" applyNumberFormat="0" applyFill="0" applyAlignment="0" applyProtection="0"/>
    <xf numFmtId="0" fontId="78" fillId="0" borderId="32" applyNumberFormat="0" applyFill="0" applyProtection="0"/>
    <xf numFmtId="0" fontId="79" fillId="106" borderId="0" applyNumberFormat="0" applyBorder="0" applyProtection="0"/>
    <xf numFmtId="0" fontId="47" fillId="107" borderId="0" applyNumberFormat="0" applyBorder="0" applyAlignment="0" applyProtection="0"/>
    <xf numFmtId="0" fontId="47" fillId="107" borderId="0" applyNumberFormat="0" applyBorder="0" applyAlignment="0" applyProtection="0"/>
    <xf numFmtId="0" fontId="47" fillId="107" borderId="0" applyNumberFormat="0" applyBorder="0" applyAlignment="0" applyProtection="0"/>
    <xf numFmtId="0" fontId="47" fillId="107" borderId="0" applyNumberFormat="0" applyBorder="0" applyAlignment="0" applyProtection="0"/>
    <xf numFmtId="0" fontId="79" fillId="106" borderId="0" applyNumberFormat="0" applyBorder="0" applyProtection="0"/>
    <xf numFmtId="0" fontId="71" fillId="0" borderId="0"/>
    <xf numFmtId="0" fontId="80" fillId="0" borderId="0"/>
    <xf numFmtId="0" fontId="80" fillId="0" borderId="0"/>
    <xf numFmtId="0" fontId="80" fillId="0" borderId="0"/>
    <xf numFmtId="0" fontId="80" fillId="0" borderId="0"/>
    <xf numFmtId="0" fontId="71" fillId="0" borderId="0"/>
    <xf numFmtId="0" fontId="59" fillId="108" borderId="34" applyNumberFormat="0" applyFont="0" applyProtection="0"/>
    <xf numFmtId="0" fontId="59" fillId="108" borderId="34" applyNumberFormat="0" applyFont="0" applyProtection="0"/>
    <xf numFmtId="0" fontId="8" fillId="109" borderId="34" applyNumberFormat="0" applyFont="0" applyAlignment="0" applyProtection="0"/>
    <xf numFmtId="0" fontId="8" fillId="109" borderId="34" applyNumberFormat="0" applyFont="0" applyAlignment="0" applyProtection="0"/>
    <xf numFmtId="0" fontId="8" fillId="109" borderId="34" applyNumberFormat="0" applyFont="0" applyAlignment="0" applyProtection="0"/>
    <xf numFmtId="0" fontId="8" fillId="109" borderId="34" applyNumberFormat="0" applyFont="0" applyAlignment="0" applyProtection="0"/>
    <xf numFmtId="0" fontId="59" fillId="108" borderId="34" applyNumberFormat="0" applyFont="0" applyProtection="0"/>
    <xf numFmtId="0" fontId="59" fillId="108" borderId="34" applyNumberFormat="0" applyFont="0" applyProtection="0"/>
    <xf numFmtId="0" fontId="8" fillId="109" borderId="34" applyNumberFormat="0" applyFont="0" applyAlignment="0" applyProtection="0"/>
    <xf numFmtId="0" fontId="8" fillId="109" borderId="34" applyNumberFormat="0" applyFont="0" applyAlignment="0" applyProtection="0"/>
    <xf numFmtId="0" fontId="8" fillId="109" borderId="34" applyNumberFormat="0" applyFont="0" applyAlignment="0" applyProtection="0"/>
    <xf numFmtId="0" fontId="8" fillId="109" borderId="34" applyNumberFormat="0" applyFont="0" applyAlignment="0" applyProtection="0"/>
    <xf numFmtId="0" fontId="59" fillId="108" borderId="34" applyNumberFormat="0" applyFont="0" applyProtection="0"/>
    <xf numFmtId="0" fontId="59" fillId="108" borderId="34" applyNumberFormat="0" applyFont="0" applyProtection="0"/>
    <xf numFmtId="0" fontId="8" fillId="109" borderId="34" applyNumberFormat="0" applyFont="0" applyAlignment="0" applyProtection="0"/>
    <xf numFmtId="0" fontId="8" fillId="109" borderId="34" applyNumberFormat="0" applyFont="0" applyAlignment="0" applyProtection="0"/>
    <xf numFmtId="0" fontId="8" fillId="109" borderId="34" applyNumberFormat="0" applyFont="0" applyAlignment="0" applyProtection="0"/>
    <xf numFmtId="0" fontId="8" fillId="109" borderId="34" applyNumberFormat="0" applyFont="0" applyAlignment="0" applyProtection="0"/>
    <xf numFmtId="0" fontId="59" fillId="108" borderId="34" applyNumberFormat="0" applyFont="0" applyProtection="0"/>
    <xf numFmtId="0" fontId="59" fillId="108" borderId="34" applyNumberFormat="0" applyFont="0" applyProtection="0"/>
    <xf numFmtId="0" fontId="8" fillId="109" borderId="34" applyNumberFormat="0" applyFont="0" applyAlignment="0" applyProtection="0"/>
    <xf numFmtId="0" fontId="8" fillId="109" borderId="34" applyNumberFormat="0" applyFont="0" applyAlignment="0" applyProtection="0"/>
    <xf numFmtId="0" fontId="8" fillId="109" borderId="34" applyNumberFormat="0" applyFont="0" applyAlignment="0" applyProtection="0"/>
    <xf numFmtId="0" fontId="8" fillId="109" borderId="34" applyNumberFormat="0" applyFont="0" applyAlignment="0" applyProtection="0"/>
    <xf numFmtId="0" fontId="59" fillId="108" borderId="34" applyNumberFormat="0" applyFont="0" applyProtection="0"/>
    <xf numFmtId="0" fontId="59" fillId="108" borderId="34" applyNumberFormat="0" applyFont="0" applyProtection="0"/>
    <xf numFmtId="0" fontId="8" fillId="109" borderId="34" applyNumberFormat="0" applyFont="0" applyAlignment="0" applyProtection="0"/>
    <xf numFmtId="0" fontId="8" fillId="109" borderId="34" applyNumberFormat="0" applyFont="0" applyAlignment="0" applyProtection="0"/>
    <xf numFmtId="0" fontId="8" fillId="109" borderId="34" applyNumberFormat="0" applyFont="0" applyAlignment="0" applyProtection="0"/>
    <xf numFmtId="0" fontId="8" fillId="109" borderId="34" applyNumberFormat="0" applyFont="0" applyAlignment="0" applyProtection="0"/>
    <xf numFmtId="0" fontId="59" fillId="108" borderId="34" applyNumberFormat="0" applyFont="0" applyProtection="0"/>
    <xf numFmtId="0" fontId="8" fillId="109" borderId="34" applyNumberFormat="0" applyFont="0" applyAlignment="0" applyProtection="0"/>
    <xf numFmtId="0" fontId="8" fillId="109" borderId="34" applyNumberFormat="0" applyFont="0" applyAlignment="0" applyProtection="0"/>
    <xf numFmtId="0" fontId="8" fillId="109" borderId="34" applyNumberFormat="0" applyFont="0" applyAlignment="0" applyProtection="0"/>
    <xf numFmtId="0" fontId="8" fillId="109" borderId="34" applyNumberFormat="0" applyFont="0" applyAlignment="0" applyProtection="0"/>
    <xf numFmtId="0" fontId="59" fillId="108" borderId="34" applyNumberFormat="0" applyFont="0" applyProtection="0"/>
    <xf numFmtId="0" fontId="81" fillId="95" borderId="31" applyNumberFormat="0" applyProtection="0"/>
    <xf numFmtId="0" fontId="49" fillId="96" borderId="31" applyNumberFormat="0" applyAlignment="0" applyProtection="0"/>
    <xf numFmtId="0" fontId="49" fillId="96" borderId="31" applyNumberFormat="0" applyAlignment="0" applyProtection="0"/>
    <xf numFmtId="0" fontId="49" fillId="96" borderId="31" applyNumberFormat="0" applyAlignment="0" applyProtection="0"/>
    <xf numFmtId="0" fontId="49" fillId="96" borderId="31" applyNumberFormat="0" applyAlignment="0" applyProtection="0"/>
    <xf numFmtId="0" fontId="81" fillId="95" borderId="31" applyNumberFormat="0" applyProtection="0"/>
    <xf numFmtId="0" fontId="71" fillId="0" borderId="0">
      <alignment horizontal="right" vertical="top" wrapText="1"/>
    </xf>
    <xf numFmtId="0" fontId="31" fillId="0" borderId="0">
      <alignment horizontal="right" vertical="top" wrapText="1"/>
    </xf>
    <xf numFmtId="0" fontId="31" fillId="0" borderId="0">
      <alignment horizontal="right" vertical="top" wrapText="1"/>
    </xf>
    <xf numFmtId="0" fontId="31" fillId="0" borderId="0">
      <alignment horizontal="right" vertical="top" wrapText="1"/>
    </xf>
    <xf numFmtId="0" fontId="31" fillId="0" borderId="0">
      <alignment horizontal="right" vertical="top" wrapText="1"/>
    </xf>
    <xf numFmtId="0" fontId="71" fillId="0" borderId="0">
      <alignment horizontal="right" vertical="top" wrapText="1"/>
    </xf>
    <xf numFmtId="0" fontId="31" fillId="0" borderId="0">
      <alignment horizontal="right" vertical="top" wrapText="1"/>
    </xf>
    <xf numFmtId="0" fontId="31" fillId="0" borderId="0">
      <alignment horizontal="right" vertical="top" wrapText="1"/>
    </xf>
    <xf numFmtId="0" fontId="31" fillId="0" borderId="0">
      <alignment horizontal="right" vertical="top" wrapText="1"/>
    </xf>
    <xf numFmtId="0" fontId="31" fillId="0" borderId="0">
      <alignment horizontal="right" vertical="top" wrapText="1"/>
    </xf>
    <xf numFmtId="0" fontId="71" fillId="0" borderId="0">
      <alignment horizontal="right" vertical="top" wrapText="1"/>
    </xf>
    <xf numFmtId="4" fontId="68" fillId="99" borderId="24">
      <alignment horizontal="right" shrinkToFit="1"/>
    </xf>
    <xf numFmtId="4" fontId="32" fillId="13" borderId="24">
      <alignment horizontal="right" shrinkToFit="1"/>
    </xf>
    <xf numFmtId="4" fontId="32" fillId="13" borderId="24">
      <alignment horizontal="right" shrinkToFit="1"/>
    </xf>
    <xf numFmtId="4" fontId="32" fillId="13" borderId="24">
      <alignment horizontal="right" shrinkToFit="1"/>
    </xf>
    <xf numFmtId="4" fontId="32" fillId="13" borderId="24">
      <alignment horizontal="right" shrinkToFit="1"/>
    </xf>
    <xf numFmtId="4" fontId="68" fillId="99" borderId="24">
      <alignment horizontal="right" shrinkToFit="1"/>
    </xf>
    <xf numFmtId="169" fontId="68" fillId="99" borderId="25">
      <alignment horizontal="right" shrinkToFit="1"/>
    </xf>
    <xf numFmtId="169" fontId="32" fillId="13" borderId="25">
      <alignment horizontal="right" shrinkToFit="1"/>
    </xf>
    <xf numFmtId="169" fontId="32" fillId="13" borderId="25">
      <alignment horizontal="right" shrinkToFit="1"/>
    </xf>
    <xf numFmtId="169" fontId="32" fillId="13" borderId="25">
      <alignment horizontal="right" shrinkToFit="1"/>
    </xf>
    <xf numFmtId="169" fontId="32" fillId="13" borderId="25">
      <alignment horizontal="right" shrinkToFit="1"/>
    </xf>
    <xf numFmtId="169" fontId="68" fillId="99" borderId="25">
      <alignment horizontal="right" shrinkToFit="1"/>
    </xf>
    <xf numFmtId="0" fontId="71" fillId="0" borderId="26"/>
    <xf numFmtId="0" fontId="31" fillId="0" borderId="26"/>
    <xf numFmtId="0" fontId="31" fillId="0" borderId="26"/>
    <xf numFmtId="0" fontId="31" fillId="0" borderId="26"/>
    <xf numFmtId="0" fontId="31" fillId="0" borderId="26"/>
    <xf numFmtId="0" fontId="71" fillId="0" borderId="26"/>
    <xf numFmtId="0" fontId="71" fillId="0" borderId="23">
      <alignment horizontal="right" vertical="top" wrapText="1"/>
    </xf>
    <xf numFmtId="49" fontId="68" fillId="0" borderId="13">
      <alignment horizontal="center" vertical="center" wrapText="1"/>
    </xf>
    <xf numFmtId="49" fontId="32" fillId="0" borderId="13">
      <alignment horizontal="center" vertical="center" wrapText="1"/>
    </xf>
    <xf numFmtId="49" fontId="32" fillId="0" borderId="13">
      <alignment horizontal="center" vertical="center" wrapText="1"/>
    </xf>
    <xf numFmtId="49" fontId="32" fillId="0" borderId="13">
      <alignment horizontal="center" vertical="center" wrapText="1"/>
    </xf>
    <xf numFmtId="49" fontId="32" fillId="0" borderId="13">
      <alignment horizontal="center" vertical="center" wrapText="1"/>
    </xf>
    <xf numFmtId="49" fontId="68" fillId="0" borderId="13">
      <alignment horizontal="center" vertical="center" wrapText="1"/>
    </xf>
    <xf numFmtId="4" fontId="68" fillId="101" borderId="22">
      <alignment horizontal="right" vertical="top" shrinkToFit="1"/>
    </xf>
    <xf numFmtId="4" fontId="32" fillId="12" borderId="22">
      <alignment horizontal="right" vertical="top" shrinkToFit="1"/>
    </xf>
    <xf numFmtId="4" fontId="32" fillId="12" borderId="22">
      <alignment horizontal="right" vertical="top" shrinkToFit="1"/>
    </xf>
    <xf numFmtId="4" fontId="32" fillId="12" borderId="22">
      <alignment horizontal="right" vertical="top" shrinkToFit="1"/>
    </xf>
    <xf numFmtId="4" fontId="32" fillId="12" borderId="22">
      <alignment horizontal="right" vertical="top" shrinkToFit="1"/>
    </xf>
    <xf numFmtId="4" fontId="68" fillId="101" borderId="22">
      <alignment horizontal="right" vertical="top" shrinkToFit="1"/>
    </xf>
    <xf numFmtId="0" fontId="31" fillId="0" borderId="23">
      <alignment horizontal="right" vertical="top" wrapText="1"/>
    </xf>
    <xf numFmtId="0" fontId="31" fillId="0" borderId="23">
      <alignment horizontal="right" vertical="top" wrapText="1"/>
    </xf>
    <xf numFmtId="0" fontId="31" fillId="0" borderId="23">
      <alignment horizontal="right" vertical="top" wrapText="1"/>
    </xf>
    <xf numFmtId="0" fontId="31" fillId="0" borderId="23">
      <alignment horizontal="right" vertical="top" wrapText="1"/>
    </xf>
    <xf numFmtId="0" fontId="71" fillId="0" borderId="23">
      <alignment horizontal="right" vertical="top" wrapText="1"/>
    </xf>
    <xf numFmtId="169" fontId="68" fillId="101" borderId="23">
      <alignment horizontal="right" vertical="top" shrinkToFit="1"/>
    </xf>
    <xf numFmtId="49" fontId="68" fillId="0" borderId="14">
      <alignment horizontal="center" vertical="center" wrapText="1"/>
    </xf>
    <xf numFmtId="49" fontId="32" fillId="0" borderId="14">
      <alignment horizontal="center" vertical="center" wrapText="1"/>
    </xf>
    <xf numFmtId="49" fontId="32" fillId="0" borderId="14">
      <alignment horizontal="center" vertical="center" wrapText="1"/>
    </xf>
    <xf numFmtId="49" fontId="32" fillId="0" borderId="14">
      <alignment horizontal="center" vertical="center" wrapText="1"/>
    </xf>
    <xf numFmtId="49" fontId="32" fillId="0" borderId="14">
      <alignment horizontal="center" vertical="center" wrapText="1"/>
    </xf>
    <xf numFmtId="49" fontId="68" fillId="0" borderId="14">
      <alignment horizontal="center" vertical="center" wrapText="1"/>
    </xf>
    <xf numFmtId="169" fontId="32" fillId="12" borderId="23">
      <alignment horizontal="right" vertical="top" shrinkToFit="1"/>
    </xf>
    <xf numFmtId="169" fontId="32" fillId="12" borderId="23">
      <alignment horizontal="right" vertical="top" shrinkToFit="1"/>
    </xf>
    <xf numFmtId="169" fontId="32" fillId="12" borderId="23">
      <alignment horizontal="right" vertical="top" shrinkToFit="1"/>
    </xf>
    <xf numFmtId="169" fontId="32" fillId="12" borderId="23">
      <alignment horizontal="right" vertical="top" shrinkToFit="1"/>
    </xf>
    <xf numFmtId="169" fontId="68" fillId="101" borderId="23">
      <alignment horizontal="right" vertical="top" shrinkToFit="1"/>
    </xf>
    <xf numFmtId="4" fontId="68" fillId="100" borderId="16">
      <alignment horizontal="right" vertical="top" wrapText="1" shrinkToFit="1"/>
    </xf>
    <xf numFmtId="4" fontId="32" fillId="10" borderId="16">
      <alignment horizontal="right" vertical="top" wrapText="1" shrinkToFit="1"/>
    </xf>
    <xf numFmtId="4" fontId="32" fillId="10" borderId="16">
      <alignment horizontal="right" vertical="top" wrapText="1" shrinkToFit="1"/>
    </xf>
    <xf numFmtId="4" fontId="32" fillId="10" borderId="16">
      <alignment horizontal="right" vertical="top" wrapText="1" shrinkToFit="1"/>
    </xf>
    <xf numFmtId="4" fontId="32" fillId="10" borderId="16">
      <alignment horizontal="right" vertical="top" wrapText="1" shrinkToFit="1"/>
    </xf>
    <xf numFmtId="4" fontId="68" fillId="100" borderId="16">
      <alignment horizontal="right" vertical="top" wrapText="1" shrinkToFit="1"/>
    </xf>
    <xf numFmtId="4" fontId="71" fillId="0" borderId="22">
      <alignment horizontal="right" vertical="top" shrinkToFit="1"/>
    </xf>
    <xf numFmtId="4" fontId="31" fillId="0" borderId="22">
      <alignment horizontal="right" vertical="top" shrinkToFit="1"/>
    </xf>
    <xf numFmtId="4" fontId="31" fillId="0" borderId="22">
      <alignment horizontal="right" vertical="top" shrinkToFit="1"/>
    </xf>
    <xf numFmtId="4" fontId="31" fillId="0" borderId="22">
      <alignment horizontal="right" vertical="top" shrinkToFit="1"/>
    </xf>
    <xf numFmtId="4" fontId="31" fillId="0" borderId="22">
      <alignment horizontal="right" vertical="top" shrinkToFit="1"/>
    </xf>
    <xf numFmtId="4" fontId="71" fillId="0" borderId="22">
      <alignment horizontal="right" vertical="top" shrinkToFit="1"/>
    </xf>
    <xf numFmtId="0" fontId="31" fillId="0" borderId="23">
      <alignment horizontal="right" vertical="top" shrinkToFit="1"/>
    </xf>
    <xf numFmtId="0" fontId="31" fillId="0" borderId="23">
      <alignment horizontal="right" vertical="top" shrinkToFit="1"/>
    </xf>
    <xf numFmtId="0" fontId="31" fillId="0" borderId="23">
      <alignment horizontal="right" vertical="top" shrinkToFit="1"/>
    </xf>
    <xf numFmtId="0" fontId="31" fillId="0" borderId="23">
      <alignment horizontal="right" vertical="top" shrinkToFit="1"/>
    </xf>
    <xf numFmtId="0" fontId="71" fillId="0" borderId="23">
      <alignment horizontal="right" vertical="top" shrinkToFit="1"/>
    </xf>
    <xf numFmtId="169" fontId="68" fillId="100" borderId="17">
      <alignment horizontal="right" vertical="top" shrinkToFit="1"/>
    </xf>
    <xf numFmtId="169" fontId="32" fillId="10" borderId="17">
      <alignment horizontal="right" vertical="top" shrinkToFit="1"/>
    </xf>
    <xf numFmtId="169" fontId="32" fillId="10" borderId="17">
      <alignment horizontal="right" vertical="top" shrinkToFit="1"/>
    </xf>
    <xf numFmtId="169" fontId="32" fillId="10" borderId="17">
      <alignment horizontal="right" vertical="top" shrinkToFit="1"/>
    </xf>
    <xf numFmtId="169" fontId="32" fillId="10" borderId="17">
      <alignment horizontal="right" vertical="top" shrinkToFit="1"/>
    </xf>
    <xf numFmtId="169" fontId="68" fillId="100" borderId="17">
      <alignment horizontal="right" vertical="top" shrinkToFit="1"/>
    </xf>
    <xf numFmtId="169" fontId="71" fillId="0" borderId="23">
      <alignment horizontal="right" vertical="top" shrinkToFit="1"/>
    </xf>
    <xf numFmtId="169" fontId="31" fillId="0" borderId="23">
      <alignment horizontal="right" vertical="top" shrinkToFit="1"/>
    </xf>
    <xf numFmtId="169" fontId="31" fillId="0" borderId="23">
      <alignment horizontal="right" vertical="top" shrinkToFit="1"/>
    </xf>
    <xf numFmtId="169" fontId="31" fillId="0" borderId="23">
      <alignment horizontal="right" vertical="top" shrinkToFit="1"/>
    </xf>
    <xf numFmtId="169" fontId="31" fillId="0" borderId="23">
      <alignment horizontal="right" vertical="top" shrinkToFit="1"/>
    </xf>
    <xf numFmtId="169" fontId="71" fillId="0" borderId="23">
      <alignment horizontal="right" vertical="top" shrinkToFit="1"/>
    </xf>
    <xf numFmtId="0" fontId="32" fillId="12" borderId="23">
      <alignment horizontal="right" vertical="top" shrinkToFit="1"/>
    </xf>
    <xf numFmtId="0" fontId="32" fillId="12" borderId="23">
      <alignment horizontal="right" vertical="top" shrinkToFit="1"/>
    </xf>
    <xf numFmtId="0" fontId="32" fillId="12" borderId="23">
      <alignment horizontal="right" vertical="top" shrinkToFit="1"/>
    </xf>
    <xf numFmtId="0" fontId="32" fillId="12" borderId="23">
      <alignment horizontal="right" vertical="top" shrinkToFit="1"/>
    </xf>
    <xf numFmtId="0" fontId="68" fillId="101" borderId="23">
      <alignment horizontal="right" vertical="top" shrinkToFit="1"/>
    </xf>
    <xf numFmtId="4" fontId="68" fillId="102" borderId="19">
      <alignment horizontal="right" vertical="top" shrinkToFit="1"/>
    </xf>
    <xf numFmtId="4" fontId="32" fillId="11" borderId="19">
      <alignment horizontal="right" vertical="top" shrinkToFit="1"/>
    </xf>
    <xf numFmtId="4" fontId="32" fillId="11" borderId="19">
      <alignment horizontal="right" vertical="top" shrinkToFit="1"/>
    </xf>
    <xf numFmtId="4" fontId="32" fillId="11" borderId="19">
      <alignment horizontal="right" vertical="top" shrinkToFit="1"/>
    </xf>
    <xf numFmtId="4" fontId="32" fillId="11" borderId="19">
      <alignment horizontal="right" vertical="top" shrinkToFit="1"/>
    </xf>
    <xf numFmtId="4" fontId="68" fillId="102" borderId="19">
      <alignment horizontal="right" vertical="top" shrinkToFit="1"/>
    </xf>
    <xf numFmtId="0" fontId="32" fillId="11" borderId="20">
      <alignment horizontal="right" vertical="top" shrinkToFit="1"/>
    </xf>
    <xf numFmtId="0" fontId="32" fillId="11" borderId="20">
      <alignment horizontal="right" vertical="top" shrinkToFit="1"/>
    </xf>
    <xf numFmtId="0" fontId="32" fillId="11" borderId="20">
      <alignment horizontal="right" vertical="top" shrinkToFit="1"/>
    </xf>
    <xf numFmtId="0" fontId="32" fillId="11" borderId="20">
      <alignment horizontal="right" vertical="top" shrinkToFit="1"/>
    </xf>
    <xf numFmtId="0" fontId="68" fillId="102" borderId="20">
      <alignment horizontal="right" vertical="top" shrinkToFit="1"/>
    </xf>
    <xf numFmtId="169" fontId="68" fillId="102" borderId="20">
      <alignment horizontal="right" vertical="top" shrinkToFit="1"/>
    </xf>
    <xf numFmtId="169" fontId="32" fillId="11" borderId="20">
      <alignment horizontal="right" vertical="top" shrinkToFit="1"/>
    </xf>
    <xf numFmtId="169" fontId="32" fillId="11" borderId="20">
      <alignment horizontal="right" vertical="top" shrinkToFit="1"/>
    </xf>
    <xf numFmtId="169" fontId="32" fillId="11" borderId="20">
      <alignment horizontal="right" vertical="top" shrinkToFit="1"/>
    </xf>
    <xf numFmtId="169" fontId="32" fillId="11" borderId="20">
      <alignment horizontal="right" vertical="top" shrinkToFit="1"/>
    </xf>
    <xf numFmtId="169" fontId="68" fillId="102" borderId="20">
      <alignment horizontal="right" vertical="top" shrinkToFit="1"/>
    </xf>
    <xf numFmtId="0" fontId="33" fillId="10" borderId="17">
      <alignment horizontal="right" vertical="top" shrinkToFit="1"/>
    </xf>
    <xf numFmtId="0" fontId="33" fillId="10" borderId="17">
      <alignment horizontal="right" vertical="top" shrinkToFit="1"/>
    </xf>
    <xf numFmtId="0" fontId="33" fillId="10" borderId="17">
      <alignment horizontal="right" vertical="top" shrinkToFit="1"/>
    </xf>
    <xf numFmtId="0" fontId="33" fillId="10" borderId="17">
      <alignment horizontal="right" vertical="top" shrinkToFit="1"/>
    </xf>
    <xf numFmtId="0" fontId="67" fillId="100" borderId="17">
      <alignment horizontal="right" vertical="top" shrinkToFit="1"/>
    </xf>
    <xf numFmtId="4" fontId="68" fillId="101" borderId="22">
      <alignment horizontal="right" vertical="top" shrinkToFit="1"/>
    </xf>
    <xf numFmtId="4" fontId="32" fillId="12" borderId="22">
      <alignment horizontal="right" vertical="top" shrinkToFit="1"/>
    </xf>
    <xf numFmtId="4" fontId="32" fillId="12" borderId="22">
      <alignment horizontal="right" vertical="top" shrinkToFit="1"/>
    </xf>
    <xf numFmtId="4" fontId="32" fillId="12" borderId="22">
      <alignment horizontal="right" vertical="top" shrinkToFit="1"/>
    </xf>
    <xf numFmtId="4" fontId="32" fillId="12" borderId="22">
      <alignment horizontal="right" vertical="top" shrinkToFit="1"/>
    </xf>
    <xf numFmtId="4" fontId="68" fillId="101" borderId="22">
      <alignment horizontal="right" vertical="top" shrinkToFit="1"/>
    </xf>
    <xf numFmtId="169" fontId="68" fillId="101" borderId="23">
      <alignment horizontal="right" vertical="top" shrinkToFit="1"/>
    </xf>
    <xf numFmtId="169" fontId="32" fillId="12" borderId="23">
      <alignment horizontal="right" vertical="top" shrinkToFit="1"/>
    </xf>
    <xf numFmtId="169" fontId="32" fillId="12" borderId="23">
      <alignment horizontal="right" vertical="top" shrinkToFit="1"/>
    </xf>
    <xf numFmtId="169" fontId="32" fillId="12" borderId="23">
      <alignment horizontal="right" vertical="top" shrinkToFit="1"/>
    </xf>
    <xf numFmtId="169" fontId="32" fillId="12" borderId="23">
      <alignment horizontal="right" vertical="top" shrinkToFit="1"/>
    </xf>
    <xf numFmtId="169" fontId="68" fillId="101" borderId="23">
      <alignment horizontal="right" vertical="top" shrinkToFit="1"/>
    </xf>
    <xf numFmtId="4" fontId="71" fillId="0" borderId="22">
      <alignment horizontal="right" vertical="top" shrinkToFit="1"/>
    </xf>
    <xf numFmtId="4" fontId="31" fillId="0" borderId="22">
      <alignment horizontal="right" vertical="top" shrinkToFit="1"/>
    </xf>
    <xf numFmtId="4" fontId="31" fillId="0" borderId="22">
      <alignment horizontal="right" vertical="top" shrinkToFit="1"/>
    </xf>
    <xf numFmtId="4" fontId="31" fillId="0" borderId="22">
      <alignment horizontal="right" vertical="top" shrinkToFit="1"/>
    </xf>
    <xf numFmtId="4" fontId="31" fillId="0" borderId="22">
      <alignment horizontal="right" vertical="top" shrinkToFit="1"/>
    </xf>
    <xf numFmtId="4" fontId="71" fillId="0" borderId="22">
      <alignment horizontal="right" vertical="top" shrinkToFit="1"/>
    </xf>
    <xf numFmtId="169" fontId="71" fillId="0" borderId="23">
      <alignment horizontal="right" vertical="top" shrinkToFit="1"/>
    </xf>
    <xf numFmtId="169" fontId="31" fillId="0" borderId="23">
      <alignment horizontal="right" vertical="top" shrinkToFit="1"/>
    </xf>
    <xf numFmtId="169" fontId="31" fillId="0" borderId="23">
      <alignment horizontal="right" vertical="top" shrinkToFit="1"/>
    </xf>
    <xf numFmtId="169" fontId="31" fillId="0" borderId="23">
      <alignment horizontal="right" vertical="top" shrinkToFit="1"/>
    </xf>
    <xf numFmtId="169" fontId="31" fillId="0" borderId="23">
      <alignment horizontal="right" vertical="top" shrinkToFit="1"/>
    </xf>
    <xf numFmtId="169" fontId="71" fillId="0" borderId="23">
      <alignment horizontal="right" vertical="top" shrinkToFit="1"/>
    </xf>
    <xf numFmtId="0" fontId="71" fillId="0" borderId="0"/>
    <xf numFmtId="0" fontId="71" fillId="0" borderId="0"/>
    <xf numFmtId="0" fontId="31" fillId="0" borderId="0"/>
    <xf numFmtId="0" fontId="31" fillId="0" borderId="0"/>
    <xf numFmtId="0" fontId="31" fillId="0" borderId="0"/>
    <xf numFmtId="0" fontId="31" fillId="0" borderId="0"/>
    <xf numFmtId="0" fontId="71" fillId="0" borderId="0"/>
    <xf numFmtId="0" fontId="31" fillId="0" borderId="0"/>
    <xf numFmtId="0" fontId="31" fillId="0" borderId="0"/>
    <xf numFmtId="0" fontId="31" fillId="0" borderId="0"/>
    <xf numFmtId="0" fontId="31" fillId="0" borderId="0"/>
    <xf numFmtId="0" fontId="71" fillId="0" borderId="0"/>
    <xf numFmtId="0" fontId="71" fillId="0" borderId="0"/>
    <xf numFmtId="0" fontId="71" fillId="0" borderId="0"/>
    <xf numFmtId="0" fontId="31" fillId="0" borderId="0"/>
    <xf numFmtId="0" fontId="31" fillId="0" borderId="0"/>
    <xf numFmtId="0" fontId="31" fillId="0" borderId="0"/>
    <xf numFmtId="0" fontId="31" fillId="0" borderId="0"/>
    <xf numFmtId="0" fontId="71" fillId="0" borderId="0"/>
    <xf numFmtId="0" fontId="31" fillId="0" borderId="0"/>
    <xf numFmtId="0" fontId="31" fillId="0" borderId="0"/>
    <xf numFmtId="0" fontId="31" fillId="0" borderId="0"/>
    <xf numFmtId="0" fontId="31" fillId="0" borderId="0"/>
    <xf numFmtId="0" fontId="71" fillId="0" borderId="0"/>
    <xf numFmtId="0" fontId="82" fillId="0" borderId="0" applyNumberFormat="0" applyFill="0" applyBorder="0" applyProtection="0"/>
    <xf numFmtId="0" fontId="83" fillId="0" borderId="0" applyNumberFormat="0" applyFill="0" applyBorder="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3" fillId="0" borderId="0" applyNumberFormat="0" applyFill="0" applyBorder="0" applyProtection="0"/>
    <xf numFmtId="0" fontId="83" fillId="0" borderId="0" applyNumberFormat="0" applyFill="0" applyBorder="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3" fillId="0" borderId="0" applyNumberFormat="0" applyFill="0" applyBorder="0" applyProtection="0"/>
    <xf numFmtId="0" fontId="83" fillId="0" borderId="0" applyNumberFormat="0" applyFill="0" applyBorder="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3" fillId="0" borderId="0" applyNumberFormat="0" applyFill="0" applyBorder="0" applyProtection="0"/>
    <xf numFmtId="0" fontId="83" fillId="0" borderId="0" applyNumberFormat="0" applyFill="0" applyBorder="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3" fillId="0" borderId="0" applyNumberFormat="0" applyFill="0" applyBorder="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2" fillId="0" borderId="0" applyNumberFormat="0" applyFill="0" applyBorder="0" applyProtection="0"/>
    <xf numFmtId="0" fontId="86" fillId="0" borderId="35" applyNumberFormat="0" applyFill="0" applyProtection="0"/>
    <xf numFmtId="0" fontId="29" fillId="0" borderId="35" applyNumberFormat="0" applyFill="0" applyAlignment="0" applyProtection="0"/>
    <xf numFmtId="0" fontId="29" fillId="0" borderId="35" applyNumberFormat="0" applyFill="0" applyAlignment="0" applyProtection="0"/>
    <xf numFmtId="0" fontId="29" fillId="0" borderId="35" applyNumberFormat="0" applyFill="0" applyAlignment="0" applyProtection="0"/>
    <xf numFmtId="0" fontId="29" fillId="0" borderId="35" applyNumberFormat="0" applyFill="0" applyAlignment="0" applyProtection="0"/>
    <xf numFmtId="0" fontId="86" fillId="0" borderId="35" applyNumberFormat="0" applyFill="0" applyProtection="0"/>
    <xf numFmtId="0" fontId="56" fillId="0" borderId="0"/>
    <xf numFmtId="0" fontId="56" fillId="0" borderId="0"/>
    <xf numFmtId="0" fontId="30" fillId="0" borderId="0"/>
    <xf numFmtId="0" fontId="30" fillId="0" borderId="0"/>
    <xf numFmtId="0" fontId="30" fillId="0" borderId="0"/>
    <xf numFmtId="0" fontId="30" fillId="0" borderId="0"/>
    <xf numFmtId="0" fontId="56" fillId="0" borderId="0"/>
    <xf numFmtId="0" fontId="63" fillId="0" borderId="0"/>
    <xf numFmtId="0" fontId="64" fillId="0" borderId="0"/>
    <xf numFmtId="0" fontId="64" fillId="0" borderId="0"/>
    <xf numFmtId="0" fontId="64" fillId="0" borderId="0"/>
    <xf numFmtId="0" fontId="64" fillId="0" borderId="0"/>
    <xf numFmtId="0" fontId="63" fillId="0" borderId="0"/>
    <xf numFmtId="0" fontId="30" fillId="0" borderId="0"/>
    <xf numFmtId="0" fontId="30" fillId="0" borderId="0"/>
    <xf numFmtId="0" fontId="30" fillId="0" borderId="0"/>
    <xf numFmtId="0" fontId="30" fillId="0" borderId="0"/>
    <xf numFmtId="0" fontId="56" fillId="0" borderId="0"/>
    <xf numFmtId="0" fontId="87" fillId="0" borderId="0" applyNumberFormat="0" applyFill="0" applyBorder="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87" fillId="0" borderId="0" applyNumberFormat="0" applyFill="0" applyBorder="0" applyProtection="0"/>
    <xf numFmtId="4" fontId="69" fillId="0" borderId="1">
      <alignment horizontal="right" vertical="top" shrinkToFit="1"/>
    </xf>
    <xf numFmtId="4" fontId="88" fillId="0" borderId="36">
      <alignment horizontal="right" vertical="top" shrinkToFit="1"/>
    </xf>
    <xf numFmtId="4" fontId="88" fillId="0" borderId="36">
      <alignment horizontal="right" vertical="top" shrinkToFit="1"/>
    </xf>
    <xf numFmtId="4" fontId="88" fillId="0" borderId="36">
      <alignment horizontal="right" vertical="top" shrinkToFit="1"/>
    </xf>
    <xf numFmtId="4" fontId="88" fillId="0" borderId="36">
      <alignment horizontal="right" vertical="top" shrinkToFit="1"/>
    </xf>
    <xf numFmtId="4" fontId="69" fillId="0" borderId="1">
      <alignment horizontal="right" vertical="top" shrinkToFit="1"/>
    </xf>
    <xf numFmtId="4" fontId="89" fillId="39" borderId="1">
      <alignment horizontal="right" vertical="top" shrinkToFit="1"/>
    </xf>
    <xf numFmtId="4" fontId="90" fillId="110" borderId="36">
      <alignment horizontal="right" vertical="top" shrinkToFit="1"/>
    </xf>
    <xf numFmtId="4" fontId="90" fillId="110" borderId="36">
      <alignment horizontal="right" vertical="top" shrinkToFit="1"/>
    </xf>
    <xf numFmtId="4" fontId="90" fillId="110" borderId="36">
      <alignment horizontal="right" vertical="top" shrinkToFit="1"/>
    </xf>
    <xf numFmtId="4" fontId="90" fillId="110" borderId="36">
      <alignment horizontal="right" vertical="top" shrinkToFit="1"/>
    </xf>
    <xf numFmtId="4" fontId="89" fillId="39" borderId="1">
      <alignment horizontal="right" vertical="top" shrinkToFit="1"/>
    </xf>
    <xf numFmtId="0" fontId="60" fillId="111" borderId="0" applyNumberFormat="0" applyBorder="0" applyProtection="0"/>
    <xf numFmtId="0" fontId="91" fillId="112" borderId="0" applyNumberFormat="0" applyBorder="0" applyProtection="0"/>
    <xf numFmtId="0" fontId="92" fillId="112" borderId="0" applyNumberFormat="0" applyBorder="0" applyAlignment="0" applyProtection="0"/>
    <xf numFmtId="0" fontId="92" fillId="112" borderId="0" applyNumberFormat="0" applyBorder="0" applyAlignment="0" applyProtection="0"/>
    <xf numFmtId="0" fontId="92" fillId="112" borderId="0" applyNumberFormat="0" applyBorder="0" applyAlignment="0" applyProtection="0"/>
    <xf numFmtId="0" fontId="92" fillId="112" borderId="0" applyNumberFormat="0" applyBorder="0" applyAlignment="0" applyProtection="0"/>
    <xf numFmtId="0" fontId="91" fillId="112" borderId="0" applyNumberFormat="0" applyBorder="0" applyProtection="0"/>
    <xf numFmtId="0" fontId="61" fillId="113" borderId="0" applyNumberFormat="0" applyBorder="0" applyAlignment="0" applyProtection="0"/>
    <xf numFmtId="0" fontId="61" fillId="113" borderId="0" applyNumberFormat="0" applyBorder="0" applyAlignment="0" applyProtection="0"/>
    <xf numFmtId="0" fontId="61" fillId="113" borderId="0" applyNumberFormat="0" applyBorder="0" applyAlignment="0" applyProtection="0"/>
    <xf numFmtId="0" fontId="61" fillId="113" borderId="0" applyNumberFormat="0" applyBorder="0" applyAlignment="0" applyProtection="0"/>
    <xf numFmtId="0" fontId="60" fillId="111" borderId="0" applyNumberFormat="0" applyBorder="0" applyProtection="0"/>
    <xf numFmtId="0" fontId="60" fillId="111" borderId="0" applyNumberFormat="0" applyBorder="0" applyProtection="0"/>
    <xf numFmtId="0" fontId="61" fillId="113" borderId="0" applyNumberFormat="0" applyBorder="0" applyAlignment="0" applyProtection="0"/>
    <xf numFmtId="0" fontId="61" fillId="113" borderId="0" applyNumberFormat="0" applyBorder="0" applyAlignment="0" applyProtection="0"/>
    <xf numFmtId="0" fontId="61" fillId="113" borderId="0" applyNumberFormat="0" applyBorder="0" applyAlignment="0" applyProtection="0"/>
    <xf numFmtId="0" fontId="61" fillId="113" borderId="0" applyNumberFormat="0" applyBorder="0" applyAlignment="0" applyProtection="0"/>
    <xf numFmtId="0" fontId="60" fillId="111" borderId="0" applyNumberFormat="0" applyBorder="0" applyProtection="0"/>
    <xf numFmtId="0" fontId="60" fillId="111" borderId="0" applyNumberFormat="0" applyBorder="0" applyProtection="0"/>
    <xf numFmtId="0" fontId="61" fillId="113" borderId="0" applyNumberFormat="0" applyBorder="0" applyAlignment="0" applyProtection="0"/>
    <xf numFmtId="0" fontId="61" fillId="113" borderId="0" applyNumberFormat="0" applyBorder="0" applyAlignment="0" applyProtection="0"/>
    <xf numFmtId="0" fontId="61" fillId="113" borderId="0" applyNumberFormat="0" applyBorder="0" applyAlignment="0" applyProtection="0"/>
    <xf numFmtId="0" fontId="61" fillId="113" borderId="0" applyNumberFormat="0" applyBorder="0" applyAlignment="0" applyProtection="0"/>
    <xf numFmtId="0" fontId="60" fillId="111" borderId="0" applyNumberFormat="0" applyBorder="0" applyProtection="0"/>
    <xf numFmtId="0" fontId="60" fillId="111" borderId="0" applyNumberFormat="0" applyBorder="0" applyProtection="0"/>
    <xf numFmtId="0" fontId="61" fillId="113" borderId="0" applyNumberFormat="0" applyBorder="0" applyAlignment="0" applyProtection="0"/>
    <xf numFmtId="0" fontId="61" fillId="113" borderId="0" applyNumberFormat="0" applyBorder="0" applyAlignment="0" applyProtection="0"/>
    <xf numFmtId="0" fontId="61" fillId="113" borderId="0" applyNumberFormat="0" applyBorder="0" applyAlignment="0" applyProtection="0"/>
    <xf numFmtId="0" fontId="61" fillId="113" borderId="0" applyNumberFormat="0" applyBorder="0" applyAlignment="0" applyProtection="0"/>
    <xf numFmtId="0" fontId="60" fillId="111" borderId="0" applyNumberFormat="0" applyBorder="0" applyProtection="0"/>
    <xf numFmtId="0" fontId="60" fillId="111" borderId="0" applyNumberFormat="0" applyBorder="0" applyProtection="0"/>
    <xf numFmtId="0" fontId="61" fillId="113" borderId="0" applyNumberFormat="0" applyBorder="0" applyAlignment="0" applyProtection="0"/>
    <xf numFmtId="0" fontId="61" fillId="113" borderId="0" applyNumberFormat="0" applyBorder="0" applyAlignment="0" applyProtection="0"/>
    <xf numFmtId="0" fontId="61" fillId="113" borderId="0" applyNumberFormat="0" applyBorder="0" applyAlignment="0" applyProtection="0"/>
    <xf numFmtId="0" fontId="61" fillId="113" borderId="0" applyNumberFormat="0" applyBorder="0" applyAlignment="0" applyProtection="0"/>
    <xf numFmtId="0" fontId="60" fillId="111" borderId="0" applyNumberFormat="0" applyBorder="0" applyProtection="0"/>
    <xf numFmtId="0" fontId="60" fillId="114" borderId="0" applyNumberFormat="0" applyBorder="0" applyProtection="0"/>
    <xf numFmtId="0" fontId="91" fillId="115" borderId="0" applyNumberFormat="0" applyBorder="0" applyProtection="0"/>
    <xf numFmtId="0" fontId="92" fillId="116" borderId="0" applyNumberFormat="0" applyBorder="0" applyAlignment="0" applyProtection="0"/>
    <xf numFmtId="0" fontId="92" fillId="116" borderId="0" applyNumberFormat="0" applyBorder="0" applyAlignment="0" applyProtection="0"/>
    <xf numFmtId="0" fontId="92" fillId="116" borderId="0" applyNumberFormat="0" applyBorder="0" applyAlignment="0" applyProtection="0"/>
    <xf numFmtId="0" fontId="92" fillId="116" borderId="0" applyNumberFormat="0" applyBorder="0" applyAlignment="0" applyProtection="0"/>
    <xf numFmtId="0" fontId="91" fillId="115" borderId="0" applyNumberFormat="0" applyBorder="0" applyProtection="0"/>
    <xf numFmtId="0" fontId="61" fillId="117" borderId="0" applyNumberFormat="0" applyBorder="0" applyAlignment="0" applyProtection="0"/>
    <xf numFmtId="0" fontId="61" fillId="117" borderId="0" applyNumberFormat="0" applyBorder="0" applyAlignment="0" applyProtection="0"/>
    <xf numFmtId="0" fontId="61" fillId="117" borderId="0" applyNumberFormat="0" applyBorder="0" applyAlignment="0" applyProtection="0"/>
    <xf numFmtId="0" fontId="61" fillId="117" borderId="0" applyNumberFormat="0" applyBorder="0" applyAlignment="0" applyProtection="0"/>
    <xf numFmtId="0" fontId="60" fillId="114" borderId="0" applyNumberFormat="0" applyBorder="0" applyProtection="0"/>
    <xf numFmtId="0" fontId="60" fillId="114" borderId="0" applyNumberFormat="0" applyBorder="0" applyProtection="0"/>
    <xf numFmtId="0" fontId="61" fillId="117" borderId="0" applyNumberFormat="0" applyBorder="0" applyAlignment="0" applyProtection="0"/>
    <xf numFmtId="0" fontId="61" fillId="117" borderId="0" applyNumberFormat="0" applyBorder="0" applyAlignment="0" applyProtection="0"/>
    <xf numFmtId="0" fontId="61" fillId="117" borderId="0" applyNumberFormat="0" applyBorder="0" applyAlignment="0" applyProtection="0"/>
    <xf numFmtId="0" fontId="61" fillId="117" borderId="0" applyNumberFormat="0" applyBorder="0" applyAlignment="0" applyProtection="0"/>
    <xf numFmtId="0" fontId="60" fillId="114" borderId="0" applyNumberFormat="0" applyBorder="0" applyProtection="0"/>
    <xf numFmtId="0" fontId="60" fillId="114" borderId="0" applyNumberFormat="0" applyBorder="0" applyProtection="0"/>
    <xf numFmtId="0" fontId="61" fillId="117" borderId="0" applyNumberFormat="0" applyBorder="0" applyAlignment="0" applyProtection="0"/>
    <xf numFmtId="0" fontId="61" fillId="117" borderId="0" applyNumberFormat="0" applyBorder="0" applyAlignment="0" applyProtection="0"/>
    <xf numFmtId="0" fontId="61" fillId="117" borderId="0" applyNumberFormat="0" applyBorder="0" applyAlignment="0" applyProtection="0"/>
    <xf numFmtId="0" fontId="61" fillId="117" borderId="0" applyNumberFormat="0" applyBorder="0" applyAlignment="0" applyProtection="0"/>
    <xf numFmtId="0" fontId="60" fillId="114" borderId="0" applyNumberFormat="0" applyBorder="0" applyProtection="0"/>
    <xf numFmtId="0" fontId="60" fillId="114" borderId="0" applyNumberFormat="0" applyBorder="0" applyProtection="0"/>
    <xf numFmtId="0" fontId="61" fillId="117" borderId="0" applyNumberFormat="0" applyBorder="0" applyAlignment="0" applyProtection="0"/>
    <xf numFmtId="0" fontId="61" fillId="117" borderId="0" applyNumberFormat="0" applyBorder="0" applyAlignment="0" applyProtection="0"/>
    <xf numFmtId="0" fontId="61" fillId="117" borderId="0" applyNumberFormat="0" applyBorder="0" applyAlignment="0" applyProtection="0"/>
    <xf numFmtId="0" fontId="61" fillId="117" borderId="0" applyNumberFormat="0" applyBorder="0" applyAlignment="0" applyProtection="0"/>
    <xf numFmtId="0" fontId="60" fillId="114" borderId="0" applyNumberFormat="0" applyBorder="0" applyProtection="0"/>
    <xf numFmtId="0" fontId="60" fillId="114" borderId="0" applyNumberFormat="0" applyBorder="0" applyProtection="0"/>
    <xf numFmtId="0" fontId="61" fillId="117" borderId="0" applyNumberFormat="0" applyBorder="0" applyAlignment="0" applyProtection="0"/>
    <xf numFmtId="0" fontId="61" fillId="117" borderId="0" applyNumberFormat="0" applyBorder="0" applyAlignment="0" applyProtection="0"/>
    <xf numFmtId="0" fontId="61" fillId="117" borderId="0" applyNumberFormat="0" applyBorder="0" applyAlignment="0" applyProtection="0"/>
    <xf numFmtId="0" fontId="61" fillId="117" borderId="0" applyNumberFormat="0" applyBorder="0" applyAlignment="0" applyProtection="0"/>
    <xf numFmtId="0" fontId="60" fillId="114" borderId="0" applyNumberFormat="0" applyBorder="0" applyProtection="0"/>
    <xf numFmtId="0" fontId="60" fillId="118" borderId="0" applyNumberFormat="0" applyBorder="0" applyProtection="0"/>
    <xf numFmtId="0" fontId="91" fillId="119" borderId="0" applyNumberFormat="0" applyBorder="0" applyProtection="0"/>
    <xf numFmtId="0" fontId="92" fillId="119" borderId="0" applyNumberFormat="0" applyBorder="0" applyAlignment="0" applyProtection="0"/>
    <xf numFmtId="0" fontId="92" fillId="119" borderId="0" applyNumberFormat="0" applyBorder="0" applyAlignment="0" applyProtection="0"/>
    <xf numFmtId="0" fontId="92" fillId="119" borderId="0" applyNumberFormat="0" applyBorder="0" applyAlignment="0" applyProtection="0"/>
    <xf numFmtId="0" fontId="92" fillId="119" borderId="0" applyNumberFormat="0" applyBorder="0" applyAlignment="0" applyProtection="0"/>
    <xf numFmtId="0" fontId="91" fillId="119" borderId="0" applyNumberFormat="0" applyBorder="0" applyProtection="0"/>
    <xf numFmtId="0" fontId="61" fillId="120" borderId="0" applyNumberFormat="0" applyBorder="0" applyAlignment="0" applyProtection="0"/>
    <xf numFmtId="0" fontId="61" fillId="120" borderId="0" applyNumberFormat="0" applyBorder="0" applyAlignment="0" applyProtection="0"/>
    <xf numFmtId="0" fontId="61" fillId="120" borderId="0" applyNumberFormat="0" applyBorder="0" applyAlignment="0" applyProtection="0"/>
    <xf numFmtId="0" fontId="61" fillId="120" borderId="0" applyNumberFormat="0" applyBorder="0" applyAlignment="0" applyProtection="0"/>
    <xf numFmtId="0" fontId="60" fillId="118" borderId="0" applyNumberFormat="0" applyBorder="0" applyProtection="0"/>
    <xf numFmtId="0" fontId="60" fillId="118" borderId="0" applyNumberFormat="0" applyBorder="0" applyProtection="0"/>
    <xf numFmtId="0" fontId="61" fillId="120" borderId="0" applyNumberFormat="0" applyBorder="0" applyAlignment="0" applyProtection="0"/>
    <xf numFmtId="0" fontId="61" fillId="120" borderId="0" applyNumberFormat="0" applyBorder="0" applyAlignment="0" applyProtection="0"/>
    <xf numFmtId="0" fontId="61" fillId="120" borderId="0" applyNumberFormat="0" applyBorder="0" applyAlignment="0" applyProtection="0"/>
    <xf numFmtId="0" fontId="61" fillId="120" borderId="0" applyNumberFormat="0" applyBorder="0" applyAlignment="0" applyProtection="0"/>
    <xf numFmtId="0" fontId="60" fillId="118" borderId="0" applyNumberFormat="0" applyBorder="0" applyProtection="0"/>
    <xf numFmtId="0" fontId="60" fillId="118" borderId="0" applyNumberFormat="0" applyBorder="0" applyProtection="0"/>
    <xf numFmtId="0" fontId="61" fillId="120" borderId="0" applyNumberFormat="0" applyBorder="0" applyAlignment="0" applyProtection="0"/>
    <xf numFmtId="0" fontId="61" fillId="120" borderId="0" applyNumberFormat="0" applyBorder="0" applyAlignment="0" applyProtection="0"/>
    <xf numFmtId="0" fontId="61" fillId="120" borderId="0" applyNumberFormat="0" applyBorder="0" applyAlignment="0" applyProtection="0"/>
    <xf numFmtId="0" fontId="61" fillId="120" borderId="0" applyNumberFormat="0" applyBorder="0" applyAlignment="0" applyProtection="0"/>
    <xf numFmtId="0" fontId="60" fillId="118" borderId="0" applyNumberFormat="0" applyBorder="0" applyProtection="0"/>
    <xf numFmtId="0" fontId="60" fillId="118" borderId="0" applyNumberFormat="0" applyBorder="0" applyProtection="0"/>
    <xf numFmtId="0" fontId="61" fillId="120" borderId="0" applyNumberFormat="0" applyBorder="0" applyAlignment="0" applyProtection="0"/>
    <xf numFmtId="0" fontId="61" fillId="120" borderId="0" applyNumberFormat="0" applyBorder="0" applyAlignment="0" applyProtection="0"/>
    <xf numFmtId="0" fontId="61" fillId="120" borderId="0" applyNumberFormat="0" applyBorder="0" applyAlignment="0" applyProtection="0"/>
    <xf numFmtId="0" fontId="61" fillId="120" borderId="0" applyNumberFormat="0" applyBorder="0" applyAlignment="0" applyProtection="0"/>
    <xf numFmtId="0" fontId="60" fillId="118" borderId="0" applyNumberFormat="0" applyBorder="0" applyProtection="0"/>
    <xf numFmtId="0" fontId="60" fillId="118" borderId="0" applyNumberFormat="0" applyBorder="0" applyProtection="0"/>
    <xf numFmtId="0" fontId="61" fillId="120" borderId="0" applyNumberFormat="0" applyBorder="0" applyAlignment="0" applyProtection="0"/>
    <xf numFmtId="0" fontId="61" fillId="120" borderId="0" applyNumberFormat="0" applyBorder="0" applyAlignment="0" applyProtection="0"/>
    <xf numFmtId="0" fontId="61" fillId="120" borderId="0" applyNumberFormat="0" applyBorder="0" applyAlignment="0" applyProtection="0"/>
    <xf numFmtId="0" fontId="61" fillId="120" borderId="0" applyNumberFormat="0" applyBorder="0" applyAlignment="0" applyProtection="0"/>
    <xf numFmtId="0" fontId="60" fillId="118" borderId="0" applyNumberFormat="0" applyBorder="0" applyProtection="0"/>
    <xf numFmtId="0" fontId="60" fillId="75" borderId="0" applyNumberFormat="0" applyBorder="0" applyProtection="0"/>
    <xf numFmtId="0" fontId="60" fillId="75" borderId="0" applyNumberFormat="0" applyBorder="0" applyProtection="0"/>
    <xf numFmtId="0" fontId="91" fillId="75" borderId="0" applyNumberFormat="0" applyBorder="0" applyProtection="0"/>
    <xf numFmtId="0" fontId="92" fillId="121" borderId="0" applyNumberFormat="0" applyBorder="0" applyAlignment="0" applyProtection="0"/>
    <xf numFmtId="0" fontId="92" fillId="121" borderId="0" applyNumberFormat="0" applyBorder="0" applyAlignment="0" applyProtection="0"/>
    <xf numFmtId="0" fontId="92" fillId="121" borderId="0" applyNumberFormat="0" applyBorder="0" applyAlignment="0" applyProtection="0"/>
    <xf numFmtId="0" fontId="92" fillId="121" borderId="0" applyNumberFormat="0" applyBorder="0" applyAlignment="0" applyProtection="0"/>
    <xf numFmtId="0" fontId="91" fillId="75" borderId="0" applyNumberFormat="0" applyBorder="0" applyProtection="0"/>
    <xf numFmtId="0" fontId="61" fillId="76" borderId="0" applyNumberFormat="0" applyBorder="0" applyAlignment="0" applyProtection="0"/>
    <xf numFmtId="0" fontId="61" fillId="76" borderId="0" applyNumberFormat="0" applyBorder="0" applyAlignment="0" applyProtection="0"/>
    <xf numFmtId="0" fontId="61" fillId="76" borderId="0" applyNumberFormat="0" applyBorder="0" applyAlignment="0" applyProtection="0"/>
    <xf numFmtId="0" fontId="61" fillId="76" borderId="0" applyNumberFormat="0" applyBorder="0" applyAlignment="0" applyProtection="0"/>
    <xf numFmtId="0" fontId="60" fillId="75" borderId="0" applyNumberFormat="0" applyBorder="0" applyProtection="0"/>
    <xf numFmtId="0" fontId="60" fillId="75" borderId="0" applyNumberFormat="0" applyBorder="0" applyProtection="0"/>
    <xf numFmtId="0" fontId="60" fillId="75" borderId="0" applyNumberFormat="0" applyBorder="0" applyProtection="0"/>
    <xf numFmtId="0" fontId="60" fillId="75" borderId="0" applyNumberFormat="0" applyBorder="0" applyProtection="0"/>
    <xf numFmtId="0" fontId="60" fillId="75" borderId="0" applyNumberFormat="0" applyBorder="0" applyProtection="0"/>
    <xf numFmtId="0" fontId="60" fillId="75" borderId="0" applyNumberFormat="0" applyBorder="0" applyProtection="0"/>
    <xf numFmtId="0" fontId="61" fillId="76" borderId="0" applyNumberFormat="0" applyBorder="0" applyAlignment="0" applyProtection="0"/>
    <xf numFmtId="0" fontId="61" fillId="76" borderId="0" applyNumberFormat="0" applyBorder="0" applyAlignment="0" applyProtection="0"/>
    <xf numFmtId="0" fontId="61" fillId="76" borderId="0" applyNumberFormat="0" applyBorder="0" applyAlignment="0" applyProtection="0"/>
    <xf numFmtId="0" fontId="61" fillId="76" borderId="0" applyNumberFormat="0" applyBorder="0" applyAlignment="0" applyProtection="0"/>
    <xf numFmtId="0" fontId="60" fillId="75" borderId="0" applyNumberFormat="0" applyBorder="0" applyProtection="0"/>
    <xf numFmtId="0" fontId="60" fillId="75" borderId="0" applyNumberFormat="0" applyBorder="0" applyProtection="0"/>
    <xf numFmtId="0" fontId="60" fillId="75" borderId="0" applyNumberFormat="0" applyBorder="0" applyProtection="0"/>
    <xf numFmtId="0" fontId="60" fillId="75" borderId="0" applyNumberFormat="0" applyBorder="0" applyProtection="0"/>
    <xf numFmtId="0" fontId="60" fillId="75" borderId="0" applyNumberFormat="0" applyBorder="0" applyProtection="0"/>
    <xf numFmtId="0" fontId="60" fillId="75" borderId="0" applyNumberFormat="0" applyBorder="0" applyProtection="0"/>
    <xf numFmtId="0" fontId="60" fillId="75" borderId="0" applyNumberFormat="0" applyBorder="0" applyProtection="0"/>
    <xf numFmtId="0" fontId="61" fillId="76" borderId="0" applyNumberFormat="0" applyBorder="0" applyAlignment="0" applyProtection="0"/>
    <xf numFmtId="0" fontId="61" fillId="76" borderId="0" applyNumberFormat="0" applyBorder="0" applyAlignment="0" applyProtection="0"/>
    <xf numFmtId="0" fontId="61" fillId="76" borderId="0" applyNumberFormat="0" applyBorder="0" applyAlignment="0" applyProtection="0"/>
    <xf numFmtId="0" fontId="61" fillId="76" borderId="0" applyNumberFormat="0" applyBorder="0" applyAlignment="0" applyProtection="0"/>
    <xf numFmtId="0" fontId="60" fillId="75" borderId="0" applyNumberFormat="0" applyBorder="0" applyProtection="0"/>
    <xf numFmtId="0" fontId="60" fillId="75" borderId="0" applyNumberFormat="0" applyBorder="0" applyProtection="0"/>
    <xf numFmtId="0" fontId="60" fillId="75" borderId="0" applyNumberFormat="0" applyBorder="0" applyProtection="0"/>
    <xf numFmtId="0" fontId="60" fillId="75" borderId="0" applyNumberFormat="0" applyBorder="0" applyProtection="0"/>
    <xf numFmtId="0" fontId="60" fillId="75" borderId="0" applyNumberFormat="0" applyBorder="0" applyProtection="0"/>
    <xf numFmtId="0" fontId="60" fillId="75" borderId="0" applyNumberFormat="0" applyBorder="0" applyProtection="0"/>
    <xf numFmtId="0" fontId="60" fillId="75" borderId="0" applyNumberFormat="0" applyBorder="0" applyProtection="0"/>
    <xf numFmtId="0" fontId="61" fillId="76" borderId="0" applyNumberFormat="0" applyBorder="0" applyAlignment="0" applyProtection="0"/>
    <xf numFmtId="0" fontId="61" fillId="76" borderId="0" applyNumberFormat="0" applyBorder="0" applyAlignment="0" applyProtection="0"/>
    <xf numFmtId="0" fontId="61" fillId="76" borderId="0" applyNumberFormat="0" applyBorder="0" applyAlignment="0" applyProtection="0"/>
    <xf numFmtId="0" fontId="61" fillId="76" borderId="0" applyNumberFormat="0" applyBorder="0" applyAlignment="0" applyProtection="0"/>
    <xf numFmtId="0" fontId="60" fillId="75" borderId="0" applyNumberFormat="0" applyBorder="0" applyProtection="0"/>
    <xf numFmtId="0" fontId="60" fillId="75" borderId="0" applyNumberFormat="0" applyBorder="0" applyProtection="0"/>
    <xf numFmtId="0" fontId="60" fillId="75" borderId="0" applyNumberFormat="0" applyBorder="0" applyProtection="0"/>
    <xf numFmtId="0" fontId="60" fillId="75" borderId="0" applyNumberFormat="0" applyBorder="0" applyProtection="0"/>
    <xf numFmtId="0" fontId="60" fillId="75" borderId="0" applyNumberFormat="0" applyBorder="0" applyProtection="0"/>
    <xf numFmtId="0" fontId="60" fillId="75" borderId="0" applyNumberFormat="0" applyBorder="0" applyProtection="0"/>
    <xf numFmtId="0" fontId="60" fillId="75" borderId="0" applyNumberFormat="0" applyBorder="0" applyProtection="0"/>
    <xf numFmtId="0" fontId="61" fillId="76" borderId="0" applyNumberFormat="0" applyBorder="0" applyAlignment="0" applyProtection="0"/>
    <xf numFmtId="0" fontId="61" fillId="76" borderId="0" applyNumberFormat="0" applyBorder="0" applyAlignment="0" applyProtection="0"/>
    <xf numFmtId="0" fontId="61" fillId="76" borderId="0" applyNumberFormat="0" applyBorder="0" applyAlignment="0" applyProtection="0"/>
    <xf numFmtId="0" fontId="61" fillId="76" borderId="0" applyNumberFormat="0" applyBorder="0" applyAlignment="0" applyProtection="0"/>
    <xf numFmtId="0" fontId="60" fillId="75" borderId="0" applyNumberFormat="0" applyBorder="0" applyProtection="0"/>
    <xf numFmtId="0" fontId="60" fillId="75" borderId="0" applyNumberFormat="0" applyBorder="0" applyProtection="0"/>
    <xf numFmtId="0" fontId="60" fillId="75" borderId="0" applyNumberFormat="0" applyBorder="0" applyProtection="0"/>
    <xf numFmtId="0" fontId="60" fillId="75" borderId="0" applyNumberFormat="0" applyBorder="0" applyProtection="0"/>
    <xf numFmtId="0" fontId="60" fillId="75" borderId="0" applyNumberFormat="0" applyBorder="0" applyProtection="0"/>
    <xf numFmtId="0" fontId="60" fillId="75" borderId="0" applyNumberFormat="0" applyBorder="0" applyProtection="0"/>
    <xf numFmtId="0" fontId="60" fillId="77" borderId="0" applyNumberFormat="0" applyBorder="0" applyProtection="0"/>
    <xf numFmtId="0" fontId="91" fillId="122" borderId="0" applyNumberFormat="0" applyBorder="0" applyProtection="0"/>
    <xf numFmtId="0" fontId="92" fillId="122" borderId="0" applyNumberFormat="0" applyBorder="0" applyAlignment="0" applyProtection="0"/>
    <xf numFmtId="0" fontId="92" fillId="122" borderId="0" applyNumberFormat="0" applyBorder="0" applyAlignment="0" applyProtection="0"/>
    <xf numFmtId="0" fontId="92" fillId="122" borderId="0" applyNumberFormat="0" applyBorder="0" applyAlignment="0" applyProtection="0"/>
    <xf numFmtId="0" fontId="92" fillId="122" borderId="0" applyNumberFormat="0" applyBorder="0" applyAlignment="0" applyProtection="0"/>
    <xf numFmtId="0" fontId="91" fillId="122" borderId="0" applyNumberFormat="0" applyBorder="0" applyProtection="0"/>
    <xf numFmtId="0" fontId="61" fillId="78" borderId="0" applyNumberFormat="0" applyBorder="0" applyAlignment="0" applyProtection="0"/>
    <xf numFmtId="0" fontId="61" fillId="78" borderId="0" applyNumberFormat="0" applyBorder="0" applyAlignment="0" applyProtection="0"/>
    <xf numFmtId="0" fontId="61" fillId="78" borderId="0" applyNumberFormat="0" applyBorder="0" applyAlignment="0" applyProtection="0"/>
    <xf numFmtId="0" fontId="61" fillId="78" borderId="0" applyNumberFormat="0" applyBorder="0" applyAlignment="0" applyProtection="0"/>
    <xf numFmtId="0" fontId="60" fillId="77" borderId="0" applyNumberFormat="0" applyBorder="0" applyProtection="0"/>
    <xf numFmtId="0" fontId="60" fillId="77" borderId="0" applyNumberFormat="0" applyBorder="0" applyProtection="0"/>
    <xf numFmtId="0" fontId="61" fillId="78" borderId="0" applyNumberFormat="0" applyBorder="0" applyAlignment="0" applyProtection="0"/>
    <xf numFmtId="0" fontId="61" fillId="78" borderId="0" applyNumberFormat="0" applyBorder="0" applyAlignment="0" applyProtection="0"/>
    <xf numFmtId="0" fontId="61" fillId="78" borderId="0" applyNumberFormat="0" applyBorder="0" applyAlignment="0" applyProtection="0"/>
    <xf numFmtId="0" fontId="61" fillId="78" borderId="0" applyNumberFormat="0" applyBorder="0" applyAlignment="0" applyProtection="0"/>
    <xf numFmtId="0" fontId="60" fillId="77" borderId="0" applyNumberFormat="0" applyBorder="0" applyProtection="0"/>
    <xf numFmtId="0" fontId="60" fillId="77" borderId="0" applyNumberFormat="0" applyBorder="0" applyProtection="0"/>
    <xf numFmtId="0" fontId="61" fillId="78" borderId="0" applyNumberFormat="0" applyBorder="0" applyAlignment="0" applyProtection="0"/>
    <xf numFmtId="0" fontId="61" fillId="78" borderId="0" applyNumberFormat="0" applyBorder="0" applyAlignment="0" applyProtection="0"/>
    <xf numFmtId="0" fontId="61" fillId="78" borderId="0" applyNumberFormat="0" applyBorder="0" applyAlignment="0" applyProtection="0"/>
    <xf numFmtId="0" fontId="61" fillId="78" borderId="0" applyNumberFormat="0" applyBorder="0" applyAlignment="0" applyProtection="0"/>
    <xf numFmtId="0" fontId="60" fillId="77" borderId="0" applyNumberFormat="0" applyBorder="0" applyProtection="0"/>
    <xf numFmtId="0" fontId="60" fillId="77" borderId="0" applyNumberFormat="0" applyBorder="0" applyProtection="0"/>
    <xf numFmtId="0" fontId="61" fillId="78" borderId="0" applyNumberFormat="0" applyBorder="0" applyAlignment="0" applyProtection="0"/>
    <xf numFmtId="0" fontId="61" fillId="78" borderId="0" applyNumberFormat="0" applyBorder="0" applyAlignment="0" applyProtection="0"/>
    <xf numFmtId="0" fontId="61" fillId="78" borderId="0" applyNumberFormat="0" applyBorder="0" applyAlignment="0" applyProtection="0"/>
    <xf numFmtId="0" fontId="61" fillId="78" borderId="0" applyNumberFormat="0" applyBorder="0" applyAlignment="0" applyProtection="0"/>
    <xf numFmtId="0" fontId="60" fillId="77" borderId="0" applyNumberFormat="0" applyBorder="0" applyProtection="0"/>
    <xf numFmtId="0" fontId="60" fillId="77" borderId="0" applyNumberFormat="0" applyBorder="0" applyProtection="0"/>
    <xf numFmtId="0" fontId="61" fillId="78" borderId="0" applyNumberFormat="0" applyBorder="0" applyAlignment="0" applyProtection="0"/>
    <xf numFmtId="0" fontId="61" fillId="78" borderId="0" applyNumberFormat="0" applyBorder="0" applyAlignment="0" applyProtection="0"/>
    <xf numFmtId="0" fontId="61" fillId="78" borderId="0" applyNumberFormat="0" applyBorder="0" applyAlignment="0" applyProtection="0"/>
    <xf numFmtId="0" fontId="61" fillId="78" borderId="0" applyNumberFormat="0" applyBorder="0" applyAlignment="0" applyProtection="0"/>
    <xf numFmtId="0" fontId="60" fillId="77" borderId="0" applyNumberFormat="0" applyBorder="0" applyProtection="0"/>
    <xf numFmtId="0" fontId="60" fillId="123" borderId="0" applyNumberFormat="0" applyBorder="0" applyProtection="0"/>
    <xf numFmtId="0" fontId="91" fillId="124" borderId="0" applyNumberFormat="0" applyBorder="0" applyProtection="0"/>
    <xf numFmtId="0" fontId="92" fillId="124" borderId="0" applyNumberFormat="0" applyBorder="0" applyAlignment="0" applyProtection="0"/>
    <xf numFmtId="0" fontId="92" fillId="124" borderId="0" applyNumberFormat="0" applyBorder="0" applyAlignment="0" applyProtection="0"/>
    <xf numFmtId="0" fontId="92" fillId="124" borderId="0" applyNumberFormat="0" applyBorder="0" applyAlignment="0" applyProtection="0"/>
    <xf numFmtId="0" fontId="92" fillId="124" borderId="0" applyNumberFormat="0" applyBorder="0" applyAlignment="0" applyProtection="0"/>
    <xf numFmtId="0" fontId="91" fillId="124" borderId="0" applyNumberFormat="0" applyBorder="0" applyProtection="0"/>
    <xf numFmtId="0" fontId="61" fillId="125" borderId="0" applyNumberFormat="0" applyBorder="0" applyAlignment="0" applyProtection="0"/>
    <xf numFmtId="0" fontId="61" fillId="125" borderId="0" applyNumberFormat="0" applyBorder="0" applyAlignment="0" applyProtection="0"/>
    <xf numFmtId="0" fontId="61" fillId="125" borderId="0" applyNumberFormat="0" applyBorder="0" applyAlignment="0" applyProtection="0"/>
    <xf numFmtId="0" fontId="61" fillId="125" borderId="0" applyNumberFormat="0" applyBorder="0" applyAlignment="0" applyProtection="0"/>
    <xf numFmtId="0" fontId="60" fillId="123" borderId="0" applyNumberFormat="0" applyBorder="0" applyProtection="0"/>
    <xf numFmtId="0" fontId="60" fillId="123" borderId="0" applyNumberFormat="0" applyBorder="0" applyProtection="0"/>
    <xf numFmtId="0" fontId="61" fillId="125" borderId="0" applyNumberFormat="0" applyBorder="0" applyAlignment="0" applyProtection="0"/>
    <xf numFmtId="0" fontId="61" fillId="125" borderId="0" applyNumberFormat="0" applyBorder="0" applyAlignment="0" applyProtection="0"/>
    <xf numFmtId="0" fontId="61" fillId="125" borderId="0" applyNumberFormat="0" applyBorder="0" applyAlignment="0" applyProtection="0"/>
    <xf numFmtId="0" fontId="61" fillId="125" borderId="0" applyNumberFormat="0" applyBorder="0" applyAlignment="0" applyProtection="0"/>
    <xf numFmtId="0" fontId="60" fillId="123" borderId="0" applyNumberFormat="0" applyBorder="0" applyProtection="0"/>
    <xf numFmtId="0" fontId="60" fillId="123" borderId="0" applyNumberFormat="0" applyBorder="0" applyProtection="0"/>
    <xf numFmtId="0" fontId="61" fillId="125" borderId="0" applyNumberFormat="0" applyBorder="0" applyAlignment="0" applyProtection="0"/>
    <xf numFmtId="0" fontId="61" fillId="125" borderId="0" applyNumberFormat="0" applyBorder="0" applyAlignment="0" applyProtection="0"/>
    <xf numFmtId="0" fontId="61" fillId="125" borderId="0" applyNumberFormat="0" applyBorder="0" applyAlignment="0" applyProtection="0"/>
    <xf numFmtId="0" fontId="61" fillId="125" borderId="0" applyNumberFormat="0" applyBorder="0" applyAlignment="0" applyProtection="0"/>
    <xf numFmtId="0" fontId="60" fillId="123" borderId="0" applyNumberFormat="0" applyBorder="0" applyProtection="0"/>
    <xf numFmtId="0" fontId="60" fillId="123" borderId="0" applyNumberFormat="0" applyBorder="0" applyProtection="0"/>
    <xf numFmtId="0" fontId="61" fillId="125" borderId="0" applyNumberFormat="0" applyBorder="0" applyAlignment="0" applyProtection="0"/>
    <xf numFmtId="0" fontId="61" fillId="125" borderId="0" applyNumberFormat="0" applyBorder="0" applyAlignment="0" applyProtection="0"/>
    <xf numFmtId="0" fontId="61" fillId="125" borderId="0" applyNumberFormat="0" applyBorder="0" applyAlignment="0" applyProtection="0"/>
    <xf numFmtId="0" fontId="61" fillId="125" borderId="0" applyNumberFormat="0" applyBorder="0" applyAlignment="0" applyProtection="0"/>
    <xf numFmtId="0" fontId="60" fillId="123" borderId="0" applyNumberFormat="0" applyBorder="0" applyProtection="0"/>
    <xf numFmtId="0" fontId="60" fillId="123" borderId="0" applyNumberFormat="0" applyBorder="0" applyProtection="0"/>
    <xf numFmtId="0" fontId="61" fillId="125" borderId="0" applyNumberFormat="0" applyBorder="0" applyAlignment="0" applyProtection="0"/>
    <xf numFmtId="0" fontId="61" fillId="125" borderId="0" applyNumberFormat="0" applyBorder="0" applyAlignment="0" applyProtection="0"/>
    <xf numFmtId="0" fontId="61" fillId="125" borderId="0" applyNumberFormat="0" applyBorder="0" applyAlignment="0" applyProtection="0"/>
    <xf numFmtId="0" fontId="61" fillId="125" borderId="0" applyNumberFormat="0" applyBorder="0" applyAlignment="0" applyProtection="0"/>
    <xf numFmtId="0" fontId="60" fillId="123" borderId="0" applyNumberFormat="0" applyBorder="0" applyProtection="0"/>
    <xf numFmtId="0" fontId="93" fillId="41" borderId="37" applyNumberFormat="0" applyProtection="0"/>
    <xf numFmtId="0" fontId="94" fillId="126" borderId="37" applyNumberFormat="0" applyProtection="0"/>
    <xf numFmtId="0" fontId="95" fillId="126" borderId="37" applyNumberFormat="0" applyAlignment="0" applyProtection="0"/>
    <xf numFmtId="0" fontId="95" fillId="126" borderId="37" applyNumberFormat="0" applyAlignment="0" applyProtection="0"/>
    <xf numFmtId="0" fontId="95" fillId="126" borderId="37" applyNumberFormat="0" applyAlignment="0" applyProtection="0"/>
    <xf numFmtId="0" fontId="95" fillId="126" borderId="37" applyNumberFormat="0" applyAlignment="0" applyProtection="0"/>
    <xf numFmtId="0" fontId="95" fillId="126" borderId="37" applyNumberFormat="0" applyAlignment="0" applyProtection="0"/>
    <xf numFmtId="0" fontId="95" fillId="126" borderId="37" applyNumberFormat="0" applyAlignment="0" applyProtection="0"/>
    <xf numFmtId="0" fontId="95" fillId="126" borderId="37" applyNumberFormat="0" applyAlignment="0" applyProtection="0"/>
    <xf numFmtId="0" fontId="94" fillId="126" borderId="37" applyNumberFormat="0" applyProtection="0"/>
    <xf numFmtId="0" fontId="94" fillId="126" borderId="37" applyNumberFormat="0" applyProtection="0"/>
    <xf numFmtId="0" fontId="94" fillId="126" borderId="37" applyNumberFormat="0" applyProtection="0"/>
    <xf numFmtId="0" fontId="96" fillId="42" borderId="37" applyNumberFormat="0" applyAlignment="0" applyProtection="0"/>
    <xf numFmtId="0" fontId="96" fillId="42" borderId="37" applyNumberFormat="0" applyAlignment="0" applyProtection="0"/>
    <xf numFmtId="0" fontId="96" fillId="42" borderId="37" applyNumberFormat="0" applyAlignment="0" applyProtection="0"/>
    <xf numFmtId="0" fontId="96" fillId="42" borderId="37" applyNumberFormat="0" applyAlignment="0" applyProtection="0"/>
    <xf numFmtId="0" fontId="96" fillId="42" borderId="37" applyNumberFormat="0" applyAlignment="0" applyProtection="0"/>
    <xf numFmtId="0" fontId="96" fillId="42" borderId="37" applyNumberFormat="0" applyAlignment="0" applyProtection="0"/>
    <xf numFmtId="0" fontId="96" fillId="42" borderId="37" applyNumberFormat="0" applyAlignment="0" applyProtection="0"/>
    <xf numFmtId="0" fontId="93" fillId="41" borderId="37" applyNumberFormat="0" applyProtection="0"/>
    <xf numFmtId="0" fontId="93" fillId="41" borderId="37" applyNumberFormat="0" applyProtection="0"/>
    <xf numFmtId="0" fontId="93" fillId="41" borderId="37" applyNumberFormat="0" applyProtection="0"/>
    <xf numFmtId="0" fontId="93" fillId="41" borderId="37" applyNumberFormat="0" applyProtection="0"/>
    <xf numFmtId="0" fontId="96" fillId="42" borderId="37" applyNumberFormat="0" applyAlignment="0" applyProtection="0"/>
    <xf numFmtId="0" fontId="96" fillId="42" borderId="37" applyNumberFormat="0" applyAlignment="0" applyProtection="0"/>
    <xf numFmtId="0" fontId="96" fillId="42" borderId="37" applyNumberFormat="0" applyAlignment="0" applyProtection="0"/>
    <xf numFmtId="0" fontId="96" fillId="42" borderId="37" applyNumberFormat="0" applyAlignment="0" applyProtection="0"/>
    <xf numFmtId="0" fontId="96" fillId="42" borderId="37" applyNumberFormat="0" applyAlignment="0" applyProtection="0"/>
    <xf numFmtId="0" fontId="96" fillId="42" borderId="37" applyNumberFormat="0" applyAlignment="0" applyProtection="0"/>
    <xf numFmtId="0" fontId="96" fillId="42" borderId="37" applyNumberFormat="0" applyAlignment="0" applyProtection="0"/>
    <xf numFmtId="0" fontId="93" fillId="41" borderId="37" applyNumberFormat="0" applyProtection="0"/>
    <xf numFmtId="0" fontId="93" fillId="41" borderId="37" applyNumberFormat="0" applyProtection="0"/>
    <xf numFmtId="0" fontId="93" fillId="41" borderId="37" applyNumberFormat="0" applyProtection="0"/>
    <xf numFmtId="0" fontId="93" fillId="41" borderId="37" applyNumberFormat="0" applyProtection="0"/>
    <xf numFmtId="0" fontId="96" fillId="42" borderId="37" applyNumberFormat="0" applyAlignment="0" applyProtection="0"/>
    <xf numFmtId="0" fontId="96" fillId="42" borderId="37" applyNumberFormat="0" applyAlignment="0" applyProtection="0"/>
    <xf numFmtId="0" fontId="96" fillId="42" borderId="37" applyNumberFormat="0" applyAlignment="0" applyProtection="0"/>
    <xf numFmtId="0" fontId="96" fillId="42" borderId="37" applyNumberFormat="0" applyAlignment="0" applyProtection="0"/>
    <xf numFmtId="0" fontId="96" fillId="42" borderId="37" applyNumberFormat="0" applyAlignment="0" applyProtection="0"/>
    <xf numFmtId="0" fontId="96" fillId="42" borderId="37" applyNumberFormat="0" applyAlignment="0" applyProtection="0"/>
    <xf numFmtId="0" fontId="96" fillId="42" borderId="37" applyNumberFormat="0" applyAlignment="0" applyProtection="0"/>
    <xf numFmtId="0" fontId="93" fillId="41" borderId="37" applyNumberFormat="0" applyProtection="0"/>
    <xf numFmtId="0" fontId="93" fillId="41" borderId="37" applyNumberFormat="0" applyProtection="0"/>
    <xf numFmtId="0" fontId="93" fillId="41" borderId="37" applyNumberFormat="0" applyProtection="0"/>
    <xf numFmtId="0" fontId="93" fillId="41" borderId="37" applyNumberFormat="0" applyProtection="0"/>
    <xf numFmtId="0" fontId="96" fillId="42" borderId="37" applyNumberFormat="0" applyAlignment="0" applyProtection="0"/>
    <xf numFmtId="0" fontId="96" fillId="42" borderId="37" applyNumberFormat="0" applyAlignment="0" applyProtection="0"/>
    <xf numFmtId="0" fontId="96" fillId="42" borderId="37" applyNumberFormat="0" applyAlignment="0" applyProtection="0"/>
    <xf numFmtId="0" fontId="96" fillId="42" borderId="37" applyNumberFormat="0" applyAlignment="0" applyProtection="0"/>
    <xf numFmtId="0" fontId="96" fillId="42" borderId="37" applyNumberFormat="0" applyAlignment="0" applyProtection="0"/>
    <xf numFmtId="0" fontId="96" fillId="42" borderId="37" applyNumberFormat="0" applyAlignment="0" applyProtection="0"/>
    <xf numFmtId="0" fontId="96" fillId="42" borderId="37" applyNumberFormat="0" applyAlignment="0" applyProtection="0"/>
    <xf numFmtId="0" fontId="93" fillId="41" borderId="37" applyNumberFormat="0" applyProtection="0"/>
    <xf numFmtId="0" fontId="93" fillId="41" borderId="37" applyNumberFormat="0" applyProtection="0"/>
    <xf numFmtId="0" fontId="93" fillId="41" borderId="37" applyNumberFormat="0" applyProtection="0"/>
    <xf numFmtId="0" fontId="93" fillId="41" borderId="37" applyNumberFormat="0" applyProtection="0"/>
    <xf numFmtId="0" fontId="96" fillId="42" borderId="37" applyNumberFormat="0" applyAlignment="0" applyProtection="0"/>
    <xf numFmtId="0" fontId="96" fillId="42" borderId="37" applyNumberFormat="0" applyAlignment="0" applyProtection="0"/>
    <xf numFmtId="0" fontId="96" fillId="42" borderId="37" applyNumberFormat="0" applyAlignment="0" applyProtection="0"/>
    <xf numFmtId="0" fontId="96" fillId="42" borderId="37" applyNumberFormat="0" applyAlignment="0" applyProtection="0"/>
    <xf numFmtId="0" fontId="96" fillId="42" borderId="37" applyNumberFormat="0" applyAlignment="0" applyProtection="0"/>
    <xf numFmtId="0" fontId="96" fillId="42" borderId="37" applyNumberFormat="0" applyAlignment="0" applyProtection="0"/>
    <xf numFmtId="0" fontId="96" fillId="42" borderId="37" applyNumberFormat="0" applyAlignment="0" applyProtection="0"/>
    <xf numFmtId="0" fontId="93" fillId="41" borderId="37" applyNumberFormat="0" applyProtection="0"/>
    <xf numFmtId="0" fontId="93" fillId="41" borderId="37" applyNumberFormat="0" applyProtection="0"/>
    <xf numFmtId="0" fontId="93" fillId="41" borderId="37" applyNumberFormat="0" applyProtection="0"/>
    <xf numFmtId="0" fontId="97" fillId="127" borderId="38" applyNumberFormat="0" applyProtection="0"/>
    <xf numFmtId="0" fontId="98" fillId="128" borderId="38" applyNumberFormat="0" applyProtection="0"/>
    <xf numFmtId="0" fontId="99" fillId="128" borderId="38" applyNumberFormat="0" applyAlignment="0" applyProtection="0"/>
    <xf numFmtId="0" fontId="99" fillId="128" borderId="38" applyNumberFormat="0" applyAlignment="0" applyProtection="0"/>
    <xf numFmtId="0" fontId="99" fillId="128" borderId="38" applyNumberFormat="0" applyAlignment="0" applyProtection="0"/>
    <xf numFmtId="0" fontId="99" fillId="128" borderId="38" applyNumberFormat="0" applyAlignment="0" applyProtection="0"/>
    <xf numFmtId="0" fontId="99" fillId="128" borderId="38" applyNumberFormat="0" applyAlignment="0" applyProtection="0"/>
    <xf numFmtId="0" fontId="99" fillId="128" borderId="38" applyNumberFormat="0" applyAlignment="0" applyProtection="0"/>
    <xf numFmtId="0" fontId="99" fillId="128" borderId="38" applyNumberFormat="0" applyAlignment="0" applyProtection="0"/>
    <xf numFmtId="0" fontId="98" fillId="128" borderId="38" applyNumberFormat="0" applyProtection="0"/>
    <xf numFmtId="0" fontId="98" fillId="128" borderId="38" applyNumberFormat="0" applyProtection="0"/>
    <xf numFmtId="0" fontId="98" fillId="128" borderId="38" applyNumberFormat="0" applyProtection="0"/>
    <xf numFmtId="0" fontId="100" fillId="129" borderId="38" applyNumberFormat="0" applyAlignment="0" applyProtection="0"/>
    <xf numFmtId="0" fontId="100" fillId="129" borderId="38" applyNumberFormat="0" applyAlignment="0" applyProtection="0"/>
    <xf numFmtId="0" fontId="100" fillId="129" borderId="38" applyNumberFormat="0" applyAlignment="0" applyProtection="0"/>
    <xf numFmtId="0" fontId="100" fillId="129" borderId="38" applyNumberFormat="0" applyAlignment="0" applyProtection="0"/>
    <xf numFmtId="0" fontId="100" fillId="129" borderId="38" applyNumberFormat="0" applyAlignment="0" applyProtection="0"/>
    <xf numFmtId="0" fontId="100" fillId="129" borderId="38" applyNumberFormat="0" applyAlignment="0" applyProtection="0"/>
    <xf numFmtId="0" fontId="100" fillId="129" borderId="38" applyNumberFormat="0" applyAlignment="0" applyProtection="0"/>
    <xf numFmtId="0" fontId="97" fillId="127" borderId="38" applyNumberFormat="0" applyProtection="0"/>
    <xf numFmtId="0" fontId="97" fillId="127" borderId="38" applyNumberFormat="0" applyProtection="0"/>
    <xf numFmtId="0" fontId="97" fillId="127" borderId="38" applyNumberFormat="0" applyProtection="0"/>
    <xf numFmtId="0" fontId="97" fillId="127" borderId="38" applyNumberFormat="0" applyProtection="0"/>
    <xf numFmtId="0" fontId="100" fillId="129" borderId="38" applyNumberFormat="0" applyAlignment="0" applyProtection="0"/>
    <xf numFmtId="0" fontId="100" fillId="129" borderId="38" applyNumberFormat="0" applyAlignment="0" applyProtection="0"/>
    <xf numFmtId="0" fontId="100" fillId="129" borderId="38" applyNumberFormat="0" applyAlignment="0" applyProtection="0"/>
    <xf numFmtId="0" fontId="100" fillId="129" borderId="38" applyNumberFormat="0" applyAlignment="0" applyProtection="0"/>
    <xf numFmtId="0" fontId="100" fillId="129" borderId="38" applyNumberFormat="0" applyAlignment="0" applyProtection="0"/>
    <xf numFmtId="0" fontId="100" fillId="129" borderId="38" applyNumberFormat="0" applyAlignment="0" applyProtection="0"/>
    <xf numFmtId="0" fontId="100" fillId="129" borderId="38" applyNumberFormat="0" applyAlignment="0" applyProtection="0"/>
    <xf numFmtId="0" fontId="97" fillId="127" borderId="38" applyNumberFormat="0" applyProtection="0"/>
    <xf numFmtId="0" fontId="97" fillId="127" borderId="38" applyNumberFormat="0" applyProtection="0"/>
    <xf numFmtId="0" fontId="97" fillId="127" borderId="38" applyNumberFormat="0" applyProtection="0"/>
    <xf numFmtId="0" fontId="97" fillId="127" borderId="38" applyNumberFormat="0" applyProtection="0"/>
    <xf numFmtId="0" fontId="100" fillId="129" borderId="38" applyNumberFormat="0" applyAlignment="0" applyProtection="0"/>
    <xf numFmtId="0" fontId="100" fillId="129" borderId="38" applyNumberFormat="0" applyAlignment="0" applyProtection="0"/>
    <xf numFmtId="0" fontId="100" fillId="129" borderId="38" applyNumberFormat="0" applyAlignment="0" applyProtection="0"/>
    <xf numFmtId="0" fontId="100" fillId="129" borderId="38" applyNumberFormat="0" applyAlignment="0" applyProtection="0"/>
    <xf numFmtId="0" fontId="100" fillId="129" borderId="38" applyNumberFormat="0" applyAlignment="0" applyProtection="0"/>
    <xf numFmtId="0" fontId="100" fillId="129" borderId="38" applyNumberFormat="0" applyAlignment="0" applyProtection="0"/>
    <xf numFmtId="0" fontId="100" fillId="129" borderId="38" applyNumberFormat="0" applyAlignment="0" applyProtection="0"/>
    <xf numFmtId="0" fontId="97" fillId="127" borderId="38" applyNumberFormat="0" applyProtection="0"/>
    <xf numFmtId="0" fontId="97" fillId="127" borderId="38" applyNumberFormat="0" applyProtection="0"/>
    <xf numFmtId="0" fontId="97" fillId="127" borderId="38" applyNumberFormat="0" applyProtection="0"/>
    <xf numFmtId="0" fontId="97" fillId="127" borderId="38" applyNumberFormat="0" applyProtection="0"/>
    <xf numFmtId="0" fontId="100" fillId="129" borderId="38" applyNumberFormat="0" applyAlignment="0" applyProtection="0"/>
    <xf numFmtId="0" fontId="100" fillId="129" borderId="38" applyNumberFormat="0" applyAlignment="0" applyProtection="0"/>
    <xf numFmtId="0" fontId="100" fillId="129" borderId="38" applyNumberFormat="0" applyAlignment="0" applyProtection="0"/>
    <xf numFmtId="0" fontId="100" fillId="129" borderId="38" applyNumberFormat="0" applyAlignment="0" applyProtection="0"/>
    <xf numFmtId="0" fontId="100" fillId="129" borderId="38" applyNumberFormat="0" applyAlignment="0" applyProtection="0"/>
    <xf numFmtId="0" fontId="100" fillId="129" borderId="38" applyNumberFormat="0" applyAlignment="0" applyProtection="0"/>
    <xf numFmtId="0" fontId="100" fillId="129" borderId="38" applyNumberFormat="0" applyAlignment="0" applyProtection="0"/>
    <xf numFmtId="0" fontId="97" fillId="127" borderId="38" applyNumberFormat="0" applyProtection="0"/>
    <xf numFmtId="0" fontId="97" fillId="127" borderId="38" applyNumberFormat="0" applyProtection="0"/>
    <xf numFmtId="0" fontId="97" fillId="127" borderId="38" applyNumberFormat="0" applyProtection="0"/>
    <xf numFmtId="0" fontId="97" fillId="127" borderId="38" applyNumberFormat="0" applyProtection="0"/>
    <xf numFmtId="0" fontId="100" fillId="129" borderId="38" applyNumberFormat="0" applyAlignment="0" applyProtection="0"/>
    <xf numFmtId="0" fontId="100" fillId="129" borderId="38" applyNumberFormat="0" applyAlignment="0" applyProtection="0"/>
    <xf numFmtId="0" fontId="100" fillId="129" borderId="38" applyNumberFormat="0" applyAlignment="0" applyProtection="0"/>
    <xf numFmtId="0" fontId="100" fillId="129" borderId="38" applyNumberFormat="0" applyAlignment="0" applyProtection="0"/>
    <xf numFmtId="0" fontId="100" fillId="129" borderId="38" applyNumberFormat="0" applyAlignment="0" applyProtection="0"/>
    <xf numFmtId="0" fontId="100" fillId="129" borderId="38" applyNumberFormat="0" applyAlignment="0" applyProtection="0"/>
    <xf numFmtId="0" fontId="100" fillId="129" borderId="38" applyNumberFormat="0" applyAlignment="0" applyProtection="0"/>
    <xf numFmtId="0" fontId="97" fillId="127" borderId="38" applyNumberFormat="0" applyProtection="0"/>
    <xf numFmtId="0" fontId="97" fillId="127" borderId="38" applyNumberFormat="0" applyProtection="0"/>
    <xf numFmtId="0" fontId="97" fillId="127" borderId="38" applyNumberFormat="0" applyProtection="0"/>
    <xf numFmtId="0" fontId="101" fillId="127" borderId="37" applyNumberFormat="0" applyProtection="0"/>
    <xf numFmtId="0" fontId="102" fillId="128" borderId="37" applyNumberFormat="0" applyProtection="0"/>
    <xf numFmtId="0" fontId="103" fillId="128" borderId="37" applyNumberFormat="0" applyAlignment="0" applyProtection="0"/>
    <xf numFmtId="0" fontId="103" fillId="128" borderId="37" applyNumberFormat="0" applyAlignment="0" applyProtection="0"/>
    <xf numFmtId="0" fontId="103" fillId="128" borderId="37" applyNumberFormat="0" applyAlignment="0" applyProtection="0"/>
    <xf numFmtId="0" fontId="103" fillId="128" borderId="37" applyNumberFormat="0" applyAlignment="0" applyProtection="0"/>
    <xf numFmtId="0" fontId="103" fillId="128" borderId="37" applyNumberFormat="0" applyAlignment="0" applyProtection="0"/>
    <xf numFmtId="0" fontId="103" fillId="128" borderId="37" applyNumberFormat="0" applyAlignment="0" applyProtection="0"/>
    <xf numFmtId="0" fontId="103" fillId="128" borderId="37" applyNumberFormat="0" applyAlignment="0" applyProtection="0"/>
    <xf numFmtId="0" fontId="102" fillId="128" borderId="37" applyNumberFormat="0" applyProtection="0"/>
    <xf numFmtId="0" fontId="102" fillId="128" borderId="37" applyNumberFormat="0" applyProtection="0"/>
    <xf numFmtId="0" fontId="102" fillId="128" borderId="37" applyNumberFormat="0" applyProtection="0"/>
    <xf numFmtId="0" fontId="104" fillId="129" borderId="37" applyNumberFormat="0" applyAlignment="0" applyProtection="0"/>
    <xf numFmtId="0" fontId="104" fillId="129" borderId="37" applyNumberFormat="0" applyAlignment="0" applyProtection="0"/>
    <xf numFmtId="0" fontId="104" fillId="129" borderId="37" applyNumberFormat="0" applyAlignment="0" applyProtection="0"/>
    <xf numFmtId="0" fontId="104" fillId="129" borderId="37" applyNumberFormat="0" applyAlignment="0" applyProtection="0"/>
    <xf numFmtId="0" fontId="104" fillId="129" borderId="37" applyNumberFormat="0" applyAlignment="0" applyProtection="0"/>
    <xf numFmtId="0" fontId="104" fillId="129" borderId="37" applyNumberFormat="0" applyAlignment="0" applyProtection="0"/>
    <xf numFmtId="0" fontId="104" fillId="129" borderId="37" applyNumberFormat="0" applyAlignment="0" applyProtection="0"/>
    <xf numFmtId="0" fontId="101" fillId="127" borderId="37" applyNumberFormat="0" applyProtection="0"/>
    <xf numFmtId="0" fontId="101" fillId="127" borderId="37" applyNumberFormat="0" applyProtection="0"/>
    <xf numFmtId="0" fontId="101" fillId="127" borderId="37" applyNumberFormat="0" applyProtection="0"/>
    <xf numFmtId="0" fontId="101" fillId="127" borderId="37" applyNumberFormat="0" applyProtection="0"/>
    <xf numFmtId="0" fontId="104" fillId="129" borderId="37" applyNumberFormat="0" applyAlignment="0" applyProtection="0"/>
    <xf numFmtId="0" fontId="104" fillId="129" borderId="37" applyNumberFormat="0" applyAlignment="0" applyProtection="0"/>
    <xf numFmtId="0" fontId="104" fillId="129" borderId="37" applyNumberFormat="0" applyAlignment="0" applyProtection="0"/>
    <xf numFmtId="0" fontId="104" fillId="129" borderId="37" applyNumberFormat="0" applyAlignment="0" applyProtection="0"/>
    <xf numFmtId="0" fontId="104" fillId="129" borderId="37" applyNumberFormat="0" applyAlignment="0" applyProtection="0"/>
    <xf numFmtId="0" fontId="104" fillId="129" borderId="37" applyNumberFormat="0" applyAlignment="0" applyProtection="0"/>
    <xf numFmtId="0" fontId="104" fillId="129" borderId="37" applyNumberFormat="0" applyAlignment="0" applyProtection="0"/>
    <xf numFmtId="0" fontId="101" fillId="127" borderId="37" applyNumberFormat="0" applyProtection="0"/>
    <xf numFmtId="0" fontId="101" fillId="127" borderId="37" applyNumberFormat="0" applyProtection="0"/>
    <xf numFmtId="0" fontId="101" fillId="127" borderId="37" applyNumberFormat="0" applyProtection="0"/>
    <xf numFmtId="0" fontId="101" fillId="127" borderId="37" applyNumberFormat="0" applyProtection="0"/>
    <xf numFmtId="0" fontId="104" fillId="129" borderId="37" applyNumberFormat="0" applyAlignment="0" applyProtection="0"/>
    <xf numFmtId="0" fontId="104" fillId="129" borderId="37" applyNumberFormat="0" applyAlignment="0" applyProtection="0"/>
    <xf numFmtId="0" fontId="104" fillId="129" borderId="37" applyNumberFormat="0" applyAlignment="0" applyProtection="0"/>
    <xf numFmtId="0" fontId="104" fillId="129" borderId="37" applyNumberFormat="0" applyAlignment="0" applyProtection="0"/>
    <xf numFmtId="0" fontId="104" fillId="129" borderId="37" applyNumberFormat="0" applyAlignment="0" applyProtection="0"/>
    <xf numFmtId="0" fontId="104" fillId="129" borderId="37" applyNumberFormat="0" applyAlignment="0" applyProtection="0"/>
    <xf numFmtId="0" fontId="104" fillId="129" borderId="37" applyNumberFormat="0" applyAlignment="0" applyProtection="0"/>
    <xf numFmtId="0" fontId="101" fillId="127" borderId="37" applyNumberFormat="0" applyProtection="0"/>
    <xf numFmtId="0" fontId="101" fillId="127" borderId="37" applyNumberFormat="0" applyProtection="0"/>
    <xf numFmtId="0" fontId="101" fillId="127" borderId="37" applyNumberFormat="0" applyProtection="0"/>
    <xf numFmtId="0" fontId="101" fillId="127" borderId="37" applyNumberFormat="0" applyProtection="0"/>
    <xf numFmtId="0" fontId="104" fillId="129" borderId="37" applyNumberFormat="0" applyAlignment="0" applyProtection="0"/>
    <xf numFmtId="0" fontId="104" fillId="129" borderId="37" applyNumberFormat="0" applyAlignment="0" applyProtection="0"/>
    <xf numFmtId="0" fontId="104" fillId="129" borderId="37" applyNumberFormat="0" applyAlignment="0" applyProtection="0"/>
    <xf numFmtId="0" fontId="104" fillId="129" borderId="37" applyNumberFormat="0" applyAlignment="0" applyProtection="0"/>
    <xf numFmtId="0" fontId="104" fillId="129" borderId="37" applyNumberFormat="0" applyAlignment="0" applyProtection="0"/>
    <xf numFmtId="0" fontId="104" fillId="129" borderId="37" applyNumberFormat="0" applyAlignment="0" applyProtection="0"/>
    <xf numFmtId="0" fontId="104" fillId="129" borderId="37" applyNumberFormat="0" applyAlignment="0" applyProtection="0"/>
    <xf numFmtId="0" fontId="101" fillId="127" borderId="37" applyNumberFormat="0" applyProtection="0"/>
    <xf numFmtId="0" fontId="101" fillId="127" borderId="37" applyNumberFormat="0" applyProtection="0"/>
    <xf numFmtId="0" fontId="101" fillId="127" borderId="37" applyNumberFormat="0" applyProtection="0"/>
    <xf numFmtId="0" fontId="101" fillId="127" borderId="37" applyNumberFormat="0" applyProtection="0"/>
    <xf numFmtId="0" fontId="104" fillId="129" borderId="37" applyNumberFormat="0" applyAlignment="0" applyProtection="0"/>
    <xf numFmtId="0" fontId="104" fillId="129" borderId="37" applyNumberFormat="0" applyAlignment="0" applyProtection="0"/>
    <xf numFmtId="0" fontId="104" fillId="129" borderId="37" applyNumberFormat="0" applyAlignment="0" applyProtection="0"/>
    <xf numFmtId="0" fontId="104" fillId="129" borderId="37" applyNumberFormat="0" applyAlignment="0" applyProtection="0"/>
    <xf numFmtId="0" fontId="104" fillId="129" borderId="37" applyNumberFormat="0" applyAlignment="0" applyProtection="0"/>
    <xf numFmtId="0" fontId="104" fillId="129" borderId="37" applyNumberFormat="0" applyAlignment="0" applyProtection="0"/>
    <xf numFmtId="0" fontId="104" fillId="129" borderId="37" applyNumberFormat="0" applyAlignment="0" applyProtection="0"/>
    <xf numFmtId="0" fontId="101" fillId="127" borderId="37" applyNumberFormat="0" applyProtection="0"/>
    <xf numFmtId="0" fontId="101" fillId="127" borderId="37" applyNumberFormat="0" applyProtection="0"/>
    <xf numFmtId="0" fontId="101" fillId="127" borderId="37" applyNumberFormat="0" applyProtection="0"/>
    <xf numFmtId="0" fontId="105" fillId="0" borderId="0" applyNumberFormat="0" applyFill="0" applyBorder="0" applyProtection="0"/>
    <xf numFmtId="0" fontId="105" fillId="0" borderId="0" applyNumberFormat="0" applyFill="0" applyBorder="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5" fillId="0" borderId="0" applyNumberFormat="0" applyFill="0" applyBorder="0" applyProtection="0"/>
    <xf numFmtId="0" fontId="107" fillId="0" borderId="0" applyNumberFormat="0" applyFill="0" applyBorder="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7" fillId="0" borderId="0" applyNumberFormat="0" applyFill="0" applyBorder="0" applyProtection="0"/>
    <xf numFmtId="0" fontId="107" fillId="0" borderId="0" applyNumberFormat="0" applyFill="0" applyBorder="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7" fillId="0" borderId="0" applyNumberFormat="0" applyFill="0" applyBorder="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5" fillId="0" borderId="0" applyNumberFormat="0" applyFill="0" applyBorder="0" applyProtection="0"/>
    <xf numFmtId="0" fontId="107" fillId="0" borderId="0">
      <alignment vertical="top"/>
      <protection locked="0"/>
    </xf>
    <xf numFmtId="0" fontId="109" fillId="0" borderId="0">
      <alignment vertical="top"/>
      <protection locked="0"/>
    </xf>
    <xf numFmtId="0" fontId="109" fillId="0" borderId="0">
      <alignment vertical="top"/>
      <protection locked="0"/>
    </xf>
    <xf numFmtId="0" fontId="109" fillId="0" borderId="0">
      <alignment vertical="top"/>
      <protection locked="0"/>
    </xf>
    <xf numFmtId="0" fontId="109" fillId="0" borderId="0">
      <alignment vertical="top"/>
      <protection locked="0"/>
    </xf>
    <xf numFmtId="0" fontId="107" fillId="0" borderId="0">
      <alignment vertical="top"/>
      <protection locked="0"/>
    </xf>
    <xf numFmtId="0" fontId="107" fillId="0" borderId="0">
      <alignment vertical="top"/>
      <protection locked="0"/>
    </xf>
    <xf numFmtId="0" fontId="109" fillId="0" borderId="0">
      <alignment vertical="top"/>
      <protection locked="0"/>
    </xf>
    <xf numFmtId="0" fontId="109" fillId="0" borderId="0">
      <alignment vertical="top"/>
      <protection locked="0"/>
    </xf>
    <xf numFmtId="0" fontId="109" fillId="0" borderId="0">
      <alignment vertical="top"/>
      <protection locked="0"/>
    </xf>
    <xf numFmtId="0" fontId="109" fillId="0" borderId="0">
      <alignment vertical="top"/>
      <protection locked="0"/>
    </xf>
    <xf numFmtId="0" fontId="107" fillId="0" borderId="0">
      <alignment vertical="top"/>
      <protection locked="0"/>
    </xf>
    <xf numFmtId="0" fontId="107" fillId="0" borderId="0">
      <alignment vertical="top"/>
      <protection locked="0"/>
    </xf>
    <xf numFmtId="0" fontId="109" fillId="0" borderId="0">
      <alignment vertical="top"/>
      <protection locked="0"/>
    </xf>
    <xf numFmtId="0" fontId="109" fillId="0" borderId="0">
      <alignment vertical="top"/>
      <protection locked="0"/>
    </xf>
    <xf numFmtId="0" fontId="109" fillId="0" borderId="0">
      <alignment vertical="top"/>
      <protection locked="0"/>
    </xf>
    <xf numFmtId="0" fontId="109" fillId="0" borderId="0">
      <alignment vertical="top"/>
      <protection locked="0"/>
    </xf>
    <xf numFmtId="0" fontId="107" fillId="0" borderId="0">
      <alignment vertical="top"/>
      <protection locked="0"/>
    </xf>
    <xf numFmtId="0" fontId="107" fillId="0" borderId="0">
      <alignment vertical="top"/>
      <protection locked="0"/>
    </xf>
    <xf numFmtId="0" fontId="109" fillId="0" borderId="0">
      <alignment vertical="top"/>
      <protection locked="0"/>
    </xf>
    <xf numFmtId="0" fontId="109" fillId="0" borderId="0">
      <alignment vertical="top"/>
      <protection locked="0"/>
    </xf>
    <xf numFmtId="0" fontId="109" fillId="0" borderId="0">
      <alignment vertical="top"/>
      <protection locked="0"/>
    </xf>
    <xf numFmtId="0" fontId="109" fillId="0" borderId="0">
      <alignment vertical="top"/>
      <protection locked="0"/>
    </xf>
    <xf numFmtId="0" fontId="107" fillId="0" borderId="0">
      <alignment vertical="top"/>
      <protection locked="0"/>
    </xf>
    <xf numFmtId="0" fontId="105" fillId="0" borderId="0" applyNumberFormat="0" applyFill="0" applyBorder="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5" fillId="0" borderId="0" applyNumberFormat="0" applyFill="0" applyBorder="0" applyProtection="0"/>
    <xf numFmtId="0" fontId="105" fillId="0" borderId="0" applyNumberFormat="0" applyFill="0" applyBorder="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5" fillId="0" borderId="0" applyNumberFormat="0" applyFill="0" applyBorder="0" applyProtection="0"/>
    <xf numFmtId="0" fontId="105" fillId="0" borderId="0" applyNumberFormat="0" applyFill="0" applyBorder="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5" fillId="0" borderId="0" applyNumberFormat="0" applyFill="0" applyBorder="0" applyProtection="0"/>
    <xf numFmtId="0" fontId="105" fillId="0" borderId="0" applyNumberFormat="0" applyFill="0" applyBorder="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5" fillId="0" borderId="0" applyNumberFormat="0" applyFill="0" applyBorder="0" applyProtection="0"/>
    <xf numFmtId="0" fontId="105" fillId="0" borderId="0" applyNumberFormat="0" applyFill="0" applyBorder="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5" fillId="0" borderId="0" applyNumberFormat="0" applyFill="0" applyBorder="0" applyProtection="0"/>
    <xf numFmtId="44" fontId="55" fillId="0" borderId="0" applyFont="0" applyFill="0" applyBorder="0" applyProtection="0"/>
    <xf numFmtId="44" fontId="55" fillId="0" borderId="0" applyFont="0" applyFill="0" applyBorder="0" applyProtection="0"/>
    <xf numFmtId="0" fontId="110" fillId="0" borderId="39" applyNumberFormat="0" applyFill="0" applyProtection="0"/>
    <xf numFmtId="0" fontId="111" fillId="0" borderId="39" applyNumberFormat="0" applyFill="0" applyProtection="0"/>
    <xf numFmtId="0" fontId="112" fillId="0" borderId="39" applyNumberFormat="0" applyFill="0" applyAlignment="0" applyProtection="0"/>
    <xf numFmtId="0" fontId="112" fillId="0" borderId="39" applyNumberFormat="0" applyFill="0" applyAlignment="0" applyProtection="0"/>
    <xf numFmtId="0" fontId="112" fillId="0" borderId="39" applyNumberFormat="0" applyFill="0" applyAlignment="0" applyProtection="0"/>
    <xf numFmtId="0" fontId="112" fillId="0" borderId="39" applyNumberFormat="0" applyFill="0" applyAlignment="0" applyProtection="0"/>
    <xf numFmtId="0" fontId="111" fillId="0" borderId="39" applyNumberFormat="0" applyFill="0" applyProtection="0"/>
    <xf numFmtId="0" fontId="113" fillId="0" borderId="39" applyNumberFormat="0" applyFill="0" applyAlignment="0" applyProtection="0"/>
    <xf numFmtId="0" fontId="113" fillId="0" borderId="39" applyNumberFormat="0" applyFill="0" applyAlignment="0" applyProtection="0"/>
    <xf numFmtId="0" fontId="113" fillId="0" borderId="39" applyNumberFormat="0" applyFill="0" applyAlignment="0" applyProtection="0"/>
    <xf numFmtId="0" fontId="113" fillId="0" borderId="39" applyNumberFormat="0" applyFill="0" applyAlignment="0" applyProtection="0"/>
    <xf numFmtId="0" fontId="110" fillId="0" borderId="39" applyNumberFormat="0" applyFill="0" applyProtection="0"/>
    <xf numFmtId="0" fontId="110" fillId="0" borderId="39" applyNumberFormat="0" applyFill="0" applyProtection="0"/>
    <xf numFmtId="0" fontId="113" fillId="0" borderId="39" applyNumberFormat="0" applyFill="0" applyAlignment="0" applyProtection="0"/>
    <xf numFmtId="0" fontId="113" fillId="0" borderId="39" applyNumberFormat="0" applyFill="0" applyAlignment="0" applyProtection="0"/>
    <xf numFmtId="0" fontId="113" fillId="0" borderId="39" applyNumberFormat="0" applyFill="0" applyAlignment="0" applyProtection="0"/>
    <xf numFmtId="0" fontId="113" fillId="0" borderId="39" applyNumberFormat="0" applyFill="0" applyAlignment="0" applyProtection="0"/>
    <xf numFmtId="0" fontId="110" fillId="0" borderId="39" applyNumberFormat="0" applyFill="0" applyProtection="0"/>
    <xf numFmtId="0" fontId="110" fillId="0" borderId="39" applyNumberFormat="0" applyFill="0" applyProtection="0"/>
    <xf numFmtId="0" fontId="113" fillId="0" borderId="39" applyNumberFormat="0" applyFill="0" applyAlignment="0" applyProtection="0"/>
    <xf numFmtId="0" fontId="113" fillId="0" borderId="39" applyNumberFormat="0" applyFill="0" applyAlignment="0" applyProtection="0"/>
    <xf numFmtId="0" fontId="113" fillId="0" borderId="39" applyNumberFormat="0" applyFill="0" applyAlignment="0" applyProtection="0"/>
    <xf numFmtId="0" fontId="113" fillId="0" borderId="39" applyNumberFormat="0" applyFill="0" applyAlignment="0" applyProtection="0"/>
    <xf numFmtId="0" fontId="110" fillId="0" borderId="39" applyNumberFormat="0" applyFill="0" applyProtection="0"/>
    <xf numFmtId="0" fontId="110" fillId="0" borderId="39" applyNumberFormat="0" applyFill="0" applyProtection="0"/>
    <xf numFmtId="0" fontId="113" fillId="0" borderId="39" applyNumberFormat="0" applyFill="0" applyAlignment="0" applyProtection="0"/>
    <xf numFmtId="0" fontId="113" fillId="0" borderId="39" applyNumberFormat="0" applyFill="0" applyAlignment="0" applyProtection="0"/>
    <xf numFmtId="0" fontId="113" fillId="0" borderId="39" applyNumberFormat="0" applyFill="0" applyAlignment="0" applyProtection="0"/>
    <xf numFmtId="0" fontId="113" fillId="0" borderId="39" applyNumberFormat="0" applyFill="0" applyAlignment="0" applyProtection="0"/>
    <xf numFmtId="0" fontId="110" fillId="0" borderId="39" applyNumberFormat="0" applyFill="0" applyProtection="0"/>
    <xf numFmtId="0" fontId="110" fillId="0" borderId="39" applyNumberFormat="0" applyFill="0" applyProtection="0"/>
    <xf numFmtId="0" fontId="113" fillId="0" borderId="39" applyNumberFormat="0" applyFill="0" applyAlignment="0" applyProtection="0"/>
    <xf numFmtId="0" fontId="113" fillId="0" borderId="39" applyNumberFormat="0" applyFill="0" applyAlignment="0" applyProtection="0"/>
    <xf numFmtId="0" fontId="113" fillId="0" borderId="39" applyNumberFormat="0" applyFill="0" applyAlignment="0" applyProtection="0"/>
    <xf numFmtId="0" fontId="113" fillId="0" borderId="39" applyNumberFormat="0" applyFill="0" applyAlignment="0" applyProtection="0"/>
    <xf numFmtId="0" fontId="110" fillId="0" borderId="39" applyNumberFormat="0" applyFill="0" applyProtection="0"/>
    <xf numFmtId="0" fontId="114" fillId="0" borderId="40" applyNumberFormat="0" applyFill="0" applyProtection="0"/>
    <xf numFmtId="0" fontId="115" fillId="0" borderId="40" applyNumberFormat="0" applyFill="0" applyProtection="0"/>
    <xf numFmtId="0" fontId="116" fillId="0" borderId="40" applyNumberFormat="0" applyFill="0" applyAlignment="0" applyProtection="0"/>
    <xf numFmtId="0" fontId="116" fillId="0" borderId="40" applyNumberFormat="0" applyFill="0" applyAlignment="0" applyProtection="0"/>
    <xf numFmtId="0" fontId="116" fillId="0" borderId="40" applyNumberFormat="0" applyFill="0" applyAlignment="0" applyProtection="0"/>
    <xf numFmtId="0" fontId="116" fillId="0" borderId="40" applyNumberFormat="0" applyFill="0" applyAlignment="0" applyProtection="0"/>
    <xf numFmtId="0" fontId="115" fillId="0" borderId="40" applyNumberFormat="0" applyFill="0" applyProtection="0"/>
    <xf numFmtId="0" fontId="117" fillId="0" borderId="40" applyNumberFormat="0" applyFill="0" applyAlignment="0" applyProtection="0"/>
    <xf numFmtId="0" fontId="117" fillId="0" borderId="40" applyNumberFormat="0" applyFill="0" applyAlignment="0" applyProtection="0"/>
    <xf numFmtId="0" fontId="117" fillId="0" borderId="40" applyNumberFormat="0" applyFill="0" applyAlignment="0" applyProtection="0"/>
    <xf numFmtId="0" fontId="117" fillId="0" borderId="40" applyNumberFormat="0" applyFill="0" applyAlignment="0" applyProtection="0"/>
    <xf numFmtId="0" fontId="114" fillId="0" borderId="40" applyNumberFormat="0" applyFill="0" applyProtection="0"/>
    <xf numFmtId="0" fontId="114" fillId="0" borderId="40" applyNumberFormat="0" applyFill="0" applyProtection="0"/>
    <xf numFmtId="0" fontId="117" fillId="0" borderId="40" applyNumberFormat="0" applyFill="0" applyAlignment="0" applyProtection="0"/>
    <xf numFmtId="0" fontId="117" fillId="0" borderId="40" applyNumberFormat="0" applyFill="0" applyAlignment="0" applyProtection="0"/>
    <xf numFmtId="0" fontId="117" fillId="0" borderId="40" applyNumberFormat="0" applyFill="0" applyAlignment="0" applyProtection="0"/>
    <xf numFmtId="0" fontId="117" fillId="0" borderId="40" applyNumberFormat="0" applyFill="0" applyAlignment="0" applyProtection="0"/>
    <xf numFmtId="0" fontId="114" fillId="0" borderId="40" applyNumberFormat="0" applyFill="0" applyProtection="0"/>
    <xf numFmtId="0" fontId="114" fillId="0" borderId="40" applyNumberFormat="0" applyFill="0" applyProtection="0"/>
    <xf numFmtId="0" fontId="117" fillId="0" borderId="40" applyNumberFormat="0" applyFill="0" applyAlignment="0" applyProtection="0"/>
    <xf numFmtId="0" fontId="117" fillId="0" borderId="40" applyNumberFormat="0" applyFill="0" applyAlignment="0" applyProtection="0"/>
    <xf numFmtId="0" fontId="117" fillId="0" borderId="40" applyNumberFormat="0" applyFill="0" applyAlignment="0" applyProtection="0"/>
    <xf numFmtId="0" fontId="117" fillId="0" borderId="40" applyNumberFormat="0" applyFill="0" applyAlignment="0" applyProtection="0"/>
    <xf numFmtId="0" fontId="114" fillId="0" borderId="40" applyNumberFormat="0" applyFill="0" applyProtection="0"/>
    <xf numFmtId="0" fontId="114" fillId="0" borderId="40" applyNumberFormat="0" applyFill="0" applyProtection="0"/>
    <xf numFmtId="0" fontId="117" fillId="0" borderId="40" applyNumberFormat="0" applyFill="0" applyAlignment="0" applyProtection="0"/>
    <xf numFmtId="0" fontId="117" fillId="0" borderId="40" applyNumberFormat="0" applyFill="0" applyAlignment="0" applyProtection="0"/>
    <xf numFmtId="0" fontId="117" fillId="0" borderId="40" applyNumberFormat="0" applyFill="0" applyAlignment="0" applyProtection="0"/>
    <xf numFmtId="0" fontId="117" fillId="0" borderId="40" applyNumberFormat="0" applyFill="0" applyAlignment="0" applyProtection="0"/>
    <xf numFmtId="0" fontId="114" fillId="0" borderId="40" applyNumberFormat="0" applyFill="0" applyProtection="0"/>
    <xf numFmtId="0" fontId="114" fillId="0" borderId="40" applyNumberFormat="0" applyFill="0" applyProtection="0"/>
    <xf numFmtId="0" fontId="117" fillId="0" borderId="40" applyNumberFormat="0" applyFill="0" applyAlignment="0" applyProtection="0"/>
    <xf numFmtId="0" fontId="117" fillId="0" borderId="40" applyNumberFormat="0" applyFill="0" applyAlignment="0" applyProtection="0"/>
    <xf numFmtId="0" fontId="117" fillId="0" borderId="40" applyNumberFormat="0" applyFill="0" applyAlignment="0" applyProtection="0"/>
    <xf numFmtId="0" fontId="117" fillId="0" borderId="40" applyNumberFormat="0" applyFill="0" applyAlignment="0" applyProtection="0"/>
    <xf numFmtId="0" fontId="114" fillId="0" borderId="40" applyNumberFormat="0" applyFill="0" applyProtection="0"/>
    <xf numFmtId="0" fontId="118" fillId="0" borderId="41" applyNumberFormat="0" applyFill="0" applyProtection="0"/>
    <xf numFmtId="0" fontId="119" fillId="0" borderId="41" applyNumberFormat="0" applyFill="0" applyProtection="0"/>
    <xf numFmtId="0" fontId="120" fillId="0" borderId="41" applyNumberFormat="0" applyFill="0" applyAlignment="0" applyProtection="0"/>
    <xf numFmtId="0" fontId="120" fillId="0" borderId="41" applyNumberFormat="0" applyFill="0" applyAlignment="0" applyProtection="0"/>
    <xf numFmtId="0" fontId="120" fillId="0" borderId="41" applyNumberFormat="0" applyFill="0" applyAlignment="0" applyProtection="0"/>
    <xf numFmtId="0" fontId="120" fillId="0" borderId="41" applyNumberFormat="0" applyFill="0" applyAlignment="0" applyProtection="0"/>
    <xf numFmtId="0" fontId="119" fillId="0" borderId="41" applyNumberFormat="0" applyFill="0" applyProtection="0"/>
    <xf numFmtId="0" fontId="121" fillId="0" borderId="41" applyNumberFormat="0" applyFill="0" applyAlignment="0" applyProtection="0"/>
    <xf numFmtId="0" fontId="121" fillId="0" borderId="41" applyNumberFormat="0" applyFill="0" applyAlignment="0" applyProtection="0"/>
    <xf numFmtId="0" fontId="121" fillId="0" borderId="41" applyNumberFormat="0" applyFill="0" applyAlignment="0" applyProtection="0"/>
    <xf numFmtId="0" fontId="121" fillId="0" borderId="41" applyNumberFormat="0" applyFill="0" applyAlignment="0" applyProtection="0"/>
    <xf numFmtId="0" fontId="118" fillId="0" borderId="41" applyNumberFormat="0" applyFill="0" applyProtection="0"/>
    <xf numFmtId="0" fontId="118" fillId="0" borderId="41" applyNumberFormat="0" applyFill="0" applyProtection="0"/>
    <xf numFmtId="0" fontId="121" fillId="0" borderId="41" applyNumberFormat="0" applyFill="0" applyAlignment="0" applyProtection="0"/>
    <xf numFmtId="0" fontId="121" fillId="0" borderId="41" applyNumberFormat="0" applyFill="0" applyAlignment="0" applyProtection="0"/>
    <xf numFmtId="0" fontId="121" fillId="0" borderId="41" applyNumberFormat="0" applyFill="0" applyAlignment="0" applyProtection="0"/>
    <xf numFmtId="0" fontId="121" fillId="0" borderId="41" applyNumberFormat="0" applyFill="0" applyAlignment="0" applyProtection="0"/>
    <xf numFmtId="0" fontId="118" fillId="0" borderId="41" applyNumberFormat="0" applyFill="0" applyProtection="0"/>
    <xf numFmtId="0" fontId="118" fillId="0" borderId="41" applyNumberFormat="0" applyFill="0" applyProtection="0"/>
    <xf numFmtId="0" fontId="121" fillId="0" borderId="41" applyNumberFormat="0" applyFill="0" applyAlignment="0" applyProtection="0"/>
    <xf numFmtId="0" fontId="121" fillId="0" borderId="41" applyNumberFormat="0" applyFill="0" applyAlignment="0" applyProtection="0"/>
    <xf numFmtId="0" fontId="121" fillId="0" borderId="41" applyNumberFormat="0" applyFill="0" applyAlignment="0" applyProtection="0"/>
    <xf numFmtId="0" fontId="121" fillId="0" borderId="41" applyNumberFormat="0" applyFill="0" applyAlignment="0" applyProtection="0"/>
    <xf numFmtId="0" fontId="118" fillId="0" borderId="41" applyNumberFormat="0" applyFill="0" applyProtection="0"/>
    <xf numFmtId="0" fontId="118" fillId="0" borderId="41" applyNumberFormat="0" applyFill="0" applyProtection="0"/>
    <xf numFmtId="0" fontId="121" fillId="0" borderId="41" applyNumberFormat="0" applyFill="0" applyAlignment="0" applyProtection="0"/>
    <xf numFmtId="0" fontId="121" fillId="0" borderId="41" applyNumberFormat="0" applyFill="0" applyAlignment="0" applyProtection="0"/>
    <xf numFmtId="0" fontId="121" fillId="0" borderId="41" applyNumberFormat="0" applyFill="0" applyAlignment="0" applyProtection="0"/>
    <xf numFmtId="0" fontId="121" fillId="0" borderId="41" applyNumberFormat="0" applyFill="0" applyAlignment="0" applyProtection="0"/>
    <xf numFmtId="0" fontId="118" fillId="0" borderId="41" applyNumberFormat="0" applyFill="0" applyProtection="0"/>
    <xf numFmtId="0" fontId="118" fillId="0" borderId="41" applyNumberFormat="0" applyFill="0" applyProtection="0"/>
    <xf numFmtId="0" fontId="121" fillId="0" borderId="41" applyNumberFormat="0" applyFill="0" applyAlignment="0" applyProtection="0"/>
    <xf numFmtId="0" fontId="121" fillId="0" borderId="41" applyNumberFormat="0" applyFill="0" applyAlignment="0" applyProtection="0"/>
    <xf numFmtId="0" fontId="121" fillId="0" borderId="41" applyNumberFormat="0" applyFill="0" applyAlignment="0" applyProtection="0"/>
    <xf numFmtId="0" fontId="121" fillId="0" borderId="41" applyNumberFormat="0" applyFill="0" applyAlignment="0" applyProtection="0"/>
    <xf numFmtId="0" fontId="118" fillId="0" borderId="41" applyNumberFormat="0" applyFill="0" applyProtection="0"/>
    <xf numFmtId="0" fontId="118" fillId="0" borderId="0" applyNumberFormat="0" applyFill="0" applyBorder="0" applyProtection="0"/>
    <xf numFmtId="0" fontId="119" fillId="0" borderId="0" applyNumberFormat="0" applyFill="0" applyBorder="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19" fillId="0" borderId="0" applyNumberFormat="0" applyFill="0" applyBorder="0" applyProtection="0"/>
    <xf numFmtId="0" fontId="121"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18" fillId="0" borderId="0" applyNumberFormat="0" applyFill="0" applyBorder="0" applyProtection="0"/>
    <xf numFmtId="0" fontId="118" fillId="0" borderId="0" applyNumberFormat="0" applyFill="0" applyBorder="0" applyProtection="0"/>
    <xf numFmtId="0" fontId="121"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18" fillId="0" borderId="0" applyNumberFormat="0" applyFill="0" applyBorder="0" applyProtection="0"/>
    <xf numFmtId="0" fontId="118" fillId="0" borderId="0" applyNumberFormat="0" applyFill="0" applyBorder="0" applyProtection="0"/>
    <xf numFmtId="0" fontId="121"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18" fillId="0" borderId="0" applyNumberFormat="0" applyFill="0" applyBorder="0" applyProtection="0"/>
    <xf numFmtId="0" fontId="118" fillId="0" borderId="0" applyNumberFormat="0" applyFill="0" applyBorder="0" applyProtection="0"/>
    <xf numFmtId="0" fontId="121"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18" fillId="0" borderId="0" applyNumberFormat="0" applyFill="0" applyBorder="0" applyProtection="0"/>
    <xf numFmtId="0" fontId="118" fillId="0" borderId="0" applyNumberFormat="0" applyFill="0" applyBorder="0" applyProtection="0"/>
    <xf numFmtId="0" fontId="121"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18" fillId="0" borderId="0" applyNumberFormat="0" applyFill="0" applyBorder="0" applyProtection="0"/>
    <xf numFmtId="0" fontId="122" fillId="0" borderId="42" applyNumberFormat="0" applyFill="0" applyProtection="0"/>
    <xf numFmtId="0" fontId="123" fillId="0" borderId="42" applyNumberFormat="0" applyFill="0" applyProtection="0"/>
    <xf numFmtId="0" fontId="124" fillId="0" borderId="42" applyNumberFormat="0" applyFill="0" applyAlignment="0" applyProtection="0"/>
    <xf numFmtId="0" fontId="124" fillId="0" borderId="42" applyNumberFormat="0" applyFill="0" applyAlignment="0" applyProtection="0"/>
    <xf numFmtId="0" fontId="124" fillId="0" borderId="42" applyNumberFormat="0" applyFill="0" applyAlignment="0" applyProtection="0"/>
    <xf numFmtId="0" fontId="124" fillId="0" borderId="42" applyNumberFormat="0" applyFill="0" applyAlignment="0" applyProtection="0"/>
    <xf numFmtId="0" fontId="124" fillId="0" borderId="42" applyNumberFormat="0" applyFill="0" applyAlignment="0" applyProtection="0"/>
    <xf numFmtId="0" fontId="124" fillId="0" borderId="42" applyNumberFormat="0" applyFill="0" applyAlignment="0" applyProtection="0"/>
    <xf numFmtId="0" fontId="124" fillId="0" borderId="42" applyNumberFormat="0" applyFill="0" applyAlignment="0" applyProtection="0"/>
    <xf numFmtId="0" fontId="123" fillId="0" borderId="42" applyNumberFormat="0" applyFill="0" applyProtection="0"/>
    <xf numFmtId="0" fontId="123" fillId="0" borderId="42" applyNumberFormat="0" applyFill="0" applyProtection="0"/>
    <xf numFmtId="0" fontId="123" fillId="0" borderId="42" applyNumberFormat="0" applyFill="0" applyProtection="0"/>
    <xf numFmtId="0" fontId="125" fillId="0" borderId="42" applyNumberFormat="0" applyFill="0" applyAlignment="0" applyProtection="0"/>
    <xf numFmtId="0" fontId="125" fillId="0" borderId="42" applyNumberFormat="0" applyFill="0" applyAlignment="0" applyProtection="0"/>
    <xf numFmtId="0" fontId="125" fillId="0" borderId="42" applyNumberFormat="0" applyFill="0" applyAlignment="0" applyProtection="0"/>
    <xf numFmtId="0" fontId="125" fillId="0" borderId="42" applyNumberFormat="0" applyFill="0" applyAlignment="0" applyProtection="0"/>
    <xf numFmtId="0" fontId="125" fillId="0" borderId="42" applyNumberFormat="0" applyFill="0" applyAlignment="0" applyProtection="0"/>
    <xf numFmtId="0" fontId="125" fillId="0" borderId="42" applyNumberFormat="0" applyFill="0" applyAlignment="0" applyProtection="0"/>
    <xf numFmtId="0" fontId="125" fillId="0" borderId="42" applyNumberFormat="0" applyFill="0" applyAlignment="0" applyProtection="0"/>
    <xf numFmtId="0" fontId="122" fillId="0" borderId="42" applyNumberFormat="0" applyFill="0" applyProtection="0"/>
    <xf numFmtId="0" fontId="122" fillId="0" borderId="42" applyNumberFormat="0" applyFill="0" applyProtection="0"/>
    <xf numFmtId="0" fontId="122" fillId="0" borderId="42" applyNumberFormat="0" applyFill="0" applyProtection="0"/>
    <xf numFmtId="0" fontId="122" fillId="0" borderId="42" applyNumberFormat="0" applyFill="0" applyProtection="0"/>
    <xf numFmtId="0" fontId="125" fillId="0" borderId="42" applyNumberFormat="0" applyFill="0" applyAlignment="0" applyProtection="0"/>
    <xf numFmtId="0" fontId="125" fillId="0" borderId="42" applyNumberFormat="0" applyFill="0" applyAlignment="0" applyProtection="0"/>
    <xf numFmtId="0" fontId="125" fillId="0" borderId="42" applyNumberFormat="0" applyFill="0" applyAlignment="0" applyProtection="0"/>
    <xf numFmtId="0" fontId="125" fillId="0" borderId="42" applyNumberFormat="0" applyFill="0" applyAlignment="0" applyProtection="0"/>
    <xf numFmtId="0" fontId="125" fillId="0" borderId="42" applyNumberFormat="0" applyFill="0" applyAlignment="0" applyProtection="0"/>
    <xf numFmtId="0" fontId="125" fillId="0" borderId="42" applyNumberFormat="0" applyFill="0" applyAlignment="0" applyProtection="0"/>
    <xf numFmtId="0" fontId="125" fillId="0" borderId="42" applyNumberFormat="0" applyFill="0" applyAlignment="0" applyProtection="0"/>
    <xf numFmtId="0" fontId="122" fillId="0" borderId="42" applyNumberFormat="0" applyFill="0" applyProtection="0"/>
    <xf numFmtId="0" fontId="122" fillId="0" borderId="42" applyNumberFormat="0" applyFill="0" applyProtection="0"/>
    <xf numFmtId="0" fontId="122" fillId="0" borderId="42" applyNumberFormat="0" applyFill="0" applyProtection="0"/>
    <xf numFmtId="0" fontId="122" fillId="0" borderId="42" applyNumberFormat="0" applyFill="0" applyProtection="0"/>
    <xf numFmtId="0" fontId="125" fillId="0" borderId="42" applyNumberFormat="0" applyFill="0" applyAlignment="0" applyProtection="0"/>
    <xf numFmtId="0" fontId="125" fillId="0" borderId="42" applyNumberFormat="0" applyFill="0" applyAlignment="0" applyProtection="0"/>
    <xf numFmtId="0" fontId="125" fillId="0" borderId="42" applyNumberFormat="0" applyFill="0" applyAlignment="0" applyProtection="0"/>
    <xf numFmtId="0" fontId="125" fillId="0" borderId="42" applyNumberFormat="0" applyFill="0" applyAlignment="0" applyProtection="0"/>
    <xf numFmtId="0" fontId="125" fillId="0" borderId="42" applyNumberFormat="0" applyFill="0" applyAlignment="0" applyProtection="0"/>
    <xf numFmtId="0" fontId="125" fillId="0" borderId="42" applyNumberFormat="0" applyFill="0" applyAlignment="0" applyProtection="0"/>
    <xf numFmtId="0" fontId="125" fillId="0" borderId="42" applyNumberFormat="0" applyFill="0" applyAlignment="0" applyProtection="0"/>
    <xf numFmtId="0" fontId="122" fillId="0" borderId="42" applyNumberFormat="0" applyFill="0" applyProtection="0"/>
    <xf numFmtId="0" fontId="122" fillId="0" borderId="42" applyNumberFormat="0" applyFill="0" applyProtection="0"/>
    <xf numFmtId="0" fontId="122" fillId="0" borderId="42" applyNumberFormat="0" applyFill="0" applyProtection="0"/>
    <xf numFmtId="0" fontId="122" fillId="0" borderId="42" applyNumberFormat="0" applyFill="0" applyProtection="0"/>
    <xf numFmtId="0" fontId="125" fillId="0" borderId="42" applyNumberFormat="0" applyFill="0" applyAlignment="0" applyProtection="0"/>
    <xf numFmtId="0" fontId="125" fillId="0" borderId="42" applyNumberFormat="0" applyFill="0" applyAlignment="0" applyProtection="0"/>
    <xf numFmtId="0" fontId="125" fillId="0" borderId="42" applyNumberFormat="0" applyFill="0" applyAlignment="0" applyProtection="0"/>
    <xf numFmtId="0" fontId="125" fillId="0" borderId="42" applyNumberFormat="0" applyFill="0" applyAlignment="0" applyProtection="0"/>
    <xf numFmtId="0" fontId="125" fillId="0" borderId="42" applyNumberFormat="0" applyFill="0" applyAlignment="0" applyProtection="0"/>
    <xf numFmtId="0" fontId="125" fillId="0" borderId="42" applyNumberFormat="0" applyFill="0" applyAlignment="0" applyProtection="0"/>
    <xf numFmtId="0" fontId="125" fillId="0" borderId="42" applyNumberFormat="0" applyFill="0" applyAlignment="0" applyProtection="0"/>
    <xf numFmtId="0" fontId="122" fillId="0" borderId="42" applyNumberFormat="0" applyFill="0" applyProtection="0"/>
    <xf numFmtId="0" fontId="122" fillId="0" borderId="42" applyNumberFormat="0" applyFill="0" applyProtection="0"/>
    <xf numFmtId="0" fontId="122" fillId="0" borderId="42" applyNumberFormat="0" applyFill="0" applyProtection="0"/>
    <xf numFmtId="0" fontId="122" fillId="0" borderId="42" applyNumberFormat="0" applyFill="0" applyProtection="0"/>
    <xf numFmtId="0" fontId="125" fillId="0" borderId="42" applyNumberFormat="0" applyFill="0" applyAlignment="0" applyProtection="0"/>
    <xf numFmtId="0" fontId="125" fillId="0" borderId="42" applyNumberFormat="0" applyFill="0" applyAlignment="0" applyProtection="0"/>
    <xf numFmtId="0" fontId="125" fillId="0" borderId="42" applyNumberFormat="0" applyFill="0" applyAlignment="0" applyProtection="0"/>
    <xf numFmtId="0" fontId="125" fillId="0" borderId="42" applyNumberFormat="0" applyFill="0" applyAlignment="0" applyProtection="0"/>
    <xf numFmtId="0" fontId="125" fillId="0" borderId="42" applyNumberFormat="0" applyFill="0" applyAlignment="0" applyProtection="0"/>
    <xf numFmtId="0" fontId="125" fillId="0" borderId="42" applyNumberFormat="0" applyFill="0" applyAlignment="0" applyProtection="0"/>
    <xf numFmtId="0" fontId="125" fillId="0" borderId="42" applyNumberFormat="0" applyFill="0" applyAlignment="0" applyProtection="0"/>
    <xf numFmtId="0" fontId="122" fillId="0" borderId="42" applyNumberFormat="0" applyFill="0" applyProtection="0"/>
    <xf numFmtId="0" fontId="122" fillId="0" borderId="42" applyNumberFormat="0" applyFill="0" applyProtection="0"/>
    <xf numFmtId="0" fontId="122" fillId="0" borderId="42" applyNumberFormat="0" applyFill="0" applyProtection="0"/>
    <xf numFmtId="0" fontId="126" fillId="130" borderId="43" applyNumberFormat="0" applyProtection="0"/>
    <xf numFmtId="0" fontId="127" fillId="131" borderId="43" applyNumberFormat="0" applyProtection="0"/>
    <xf numFmtId="0" fontId="128" fillId="131" borderId="43" applyNumberFormat="0" applyAlignment="0" applyProtection="0"/>
    <xf numFmtId="0" fontId="128" fillId="131" borderId="43" applyNumberFormat="0" applyAlignment="0" applyProtection="0"/>
    <xf numFmtId="0" fontId="128" fillId="131" borderId="43" applyNumberFormat="0" applyAlignment="0" applyProtection="0"/>
    <xf numFmtId="0" fontId="128" fillId="131" borderId="43" applyNumberFormat="0" applyAlignment="0" applyProtection="0"/>
    <xf numFmtId="0" fontId="127" fillId="131" borderId="43" applyNumberFormat="0" applyProtection="0"/>
    <xf numFmtId="0" fontId="129" fillId="132" borderId="43" applyNumberFormat="0" applyAlignment="0" applyProtection="0"/>
    <xf numFmtId="0" fontId="129" fillId="132" borderId="43" applyNumberFormat="0" applyAlignment="0" applyProtection="0"/>
    <xf numFmtId="0" fontId="129" fillId="132" borderId="43" applyNumberFormat="0" applyAlignment="0" applyProtection="0"/>
    <xf numFmtId="0" fontId="129" fillId="132" borderId="43" applyNumberFormat="0" applyAlignment="0" applyProtection="0"/>
    <xf numFmtId="0" fontId="126" fillId="130" borderId="43" applyNumberFormat="0" applyProtection="0"/>
    <xf numFmtId="0" fontId="126" fillId="130" borderId="43" applyNumberFormat="0" applyProtection="0"/>
    <xf numFmtId="0" fontId="129" fillId="132" borderId="43" applyNumberFormat="0" applyAlignment="0" applyProtection="0"/>
    <xf numFmtId="0" fontId="129" fillId="132" borderId="43" applyNumberFormat="0" applyAlignment="0" applyProtection="0"/>
    <xf numFmtId="0" fontId="129" fillId="132" borderId="43" applyNumberFormat="0" applyAlignment="0" applyProtection="0"/>
    <xf numFmtId="0" fontId="129" fillId="132" borderId="43" applyNumberFormat="0" applyAlignment="0" applyProtection="0"/>
    <xf numFmtId="0" fontId="126" fillId="130" borderId="43" applyNumberFormat="0" applyProtection="0"/>
    <xf numFmtId="0" fontId="126" fillId="130" borderId="43" applyNumberFormat="0" applyProtection="0"/>
    <xf numFmtId="0" fontId="129" fillId="132" borderId="43" applyNumberFormat="0" applyAlignment="0" applyProtection="0"/>
    <xf numFmtId="0" fontId="129" fillId="132" borderId="43" applyNumberFormat="0" applyAlignment="0" applyProtection="0"/>
    <xf numFmtId="0" fontId="129" fillId="132" borderId="43" applyNumberFormat="0" applyAlignment="0" applyProtection="0"/>
    <xf numFmtId="0" fontId="129" fillId="132" borderId="43" applyNumberFormat="0" applyAlignment="0" applyProtection="0"/>
    <xf numFmtId="0" fontId="126" fillId="130" borderId="43" applyNumberFormat="0" applyProtection="0"/>
    <xf numFmtId="0" fontId="126" fillId="130" borderId="43" applyNumberFormat="0" applyProtection="0"/>
    <xf numFmtId="0" fontId="129" fillId="132" borderId="43" applyNumberFormat="0" applyAlignment="0" applyProtection="0"/>
    <xf numFmtId="0" fontId="129" fillId="132" borderId="43" applyNumberFormat="0" applyAlignment="0" applyProtection="0"/>
    <xf numFmtId="0" fontId="129" fillId="132" borderId="43" applyNumberFormat="0" applyAlignment="0" applyProtection="0"/>
    <xf numFmtId="0" fontId="129" fillId="132" borderId="43" applyNumberFormat="0" applyAlignment="0" applyProtection="0"/>
    <xf numFmtId="0" fontId="126" fillId="130" borderId="43" applyNumberFormat="0" applyProtection="0"/>
    <xf numFmtId="0" fontId="126" fillId="130" borderId="43" applyNumberFormat="0" applyProtection="0"/>
    <xf numFmtId="0" fontId="129" fillId="132" borderId="43" applyNumberFormat="0" applyAlignment="0" applyProtection="0"/>
    <xf numFmtId="0" fontId="129" fillId="132" borderId="43" applyNumberFormat="0" applyAlignment="0" applyProtection="0"/>
    <xf numFmtId="0" fontId="129" fillId="132" borderId="43" applyNumberFormat="0" applyAlignment="0" applyProtection="0"/>
    <xf numFmtId="0" fontId="129" fillId="132" borderId="43" applyNumberFormat="0" applyAlignment="0" applyProtection="0"/>
    <xf numFmtId="0" fontId="126" fillId="130" borderId="43" applyNumberFormat="0" applyProtection="0"/>
    <xf numFmtId="0" fontId="130" fillId="0" borderId="0" applyNumberFormat="0" applyFill="0" applyBorder="0" applyProtection="0"/>
    <xf numFmtId="0" fontId="131" fillId="0" borderId="0" applyNumberFormat="0" applyFill="0" applyBorder="0" applyAlignment="0" applyProtection="0"/>
    <xf numFmtId="0" fontId="131" fillId="0" borderId="0" applyNumberFormat="0" applyFill="0" applyBorder="0" applyAlignment="0" applyProtection="0"/>
    <xf numFmtId="0" fontId="131" fillId="0" borderId="0" applyNumberFormat="0" applyFill="0" applyBorder="0" applyAlignment="0" applyProtection="0"/>
    <xf numFmtId="0" fontId="131" fillId="0" borderId="0" applyNumberFormat="0" applyFill="0" applyBorder="0" applyAlignment="0" applyProtection="0"/>
    <xf numFmtId="0" fontId="130" fillId="0" borderId="0" applyNumberFormat="0" applyFill="0" applyBorder="0" applyProtection="0"/>
    <xf numFmtId="0" fontId="130" fillId="0" borderId="0" applyNumberFormat="0" applyFill="0" applyBorder="0" applyProtection="0"/>
    <xf numFmtId="0" fontId="131" fillId="0" borderId="0" applyNumberFormat="0" applyFill="0" applyBorder="0" applyAlignment="0" applyProtection="0"/>
    <xf numFmtId="0" fontId="131" fillId="0" borderId="0" applyNumberFormat="0" applyFill="0" applyBorder="0" applyAlignment="0" applyProtection="0"/>
    <xf numFmtId="0" fontId="131" fillId="0" borderId="0" applyNumberFormat="0" applyFill="0" applyBorder="0" applyAlignment="0" applyProtection="0"/>
    <xf numFmtId="0" fontId="131" fillId="0" borderId="0" applyNumberFormat="0" applyFill="0" applyBorder="0" applyAlignment="0" applyProtection="0"/>
    <xf numFmtId="0" fontId="130" fillId="0" borderId="0" applyNumberFormat="0" applyFill="0" applyBorder="0" applyProtection="0"/>
    <xf numFmtId="0" fontId="130" fillId="0" borderId="0" applyNumberFormat="0" applyFill="0" applyBorder="0" applyProtection="0"/>
    <xf numFmtId="0" fontId="131" fillId="0" borderId="0" applyNumberFormat="0" applyFill="0" applyBorder="0" applyAlignment="0" applyProtection="0"/>
    <xf numFmtId="0" fontId="131" fillId="0" borderId="0" applyNumberFormat="0" applyFill="0" applyBorder="0" applyAlignment="0" applyProtection="0"/>
    <xf numFmtId="0" fontId="131" fillId="0" borderId="0" applyNumberFormat="0" applyFill="0" applyBorder="0" applyAlignment="0" applyProtection="0"/>
    <xf numFmtId="0" fontId="131" fillId="0" borderId="0" applyNumberFormat="0" applyFill="0" applyBorder="0" applyAlignment="0" applyProtection="0"/>
    <xf numFmtId="0" fontId="130" fillId="0" borderId="0" applyNumberFormat="0" applyFill="0" applyBorder="0" applyProtection="0"/>
    <xf numFmtId="0" fontId="130" fillId="0" borderId="0" applyNumberFormat="0" applyFill="0" applyBorder="0" applyProtection="0"/>
    <xf numFmtId="0" fontId="131" fillId="0" borderId="0" applyNumberFormat="0" applyFill="0" applyBorder="0" applyAlignment="0" applyProtection="0"/>
    <xf numFmtId="0" fontId="131" fillId="0" borderId="0" applyNumberFormat="0" applyFill="0" applyBorder="0" applyAlignment="0" applyProtection="0"/>
    <xf numFmtId="0" fontId="131" fillId="0" borderId="0" applyNumberFormat="0" applyFill="0" applyBorder="0" applyAlignment="0" applyProtection="0"/>
    <xf numFmtId="0" fontId="131" fillId="0" borderId="0" applyNumberFormat="0" applyFill="0" applyBorder="0" applyAlignment="0" applyProtection="0"/>
    <xf numFmtId="0" fontId="130" fillId="0" borderId="0" applyNumberFormat="0" applyFill="0" applyBorder="0" applyProtection="0"/>
    <xf numFmtId="0" fontId="130" fillId="0" borderId="0" applyNumberFormat="0" applyFill="0" applyBorder="0" applyProtection="0"/>
    <xf numFmtId="0" fontId="131" fillId="0" borderId="0" applyNumberFormat="0" applyFill="0" applyBorder="0" applyAlignment="0" applyProtection="0"/>
    <xf numFmtId="0" fontId="131" fillId="0" borderId="0" applyNumberFormat="0" applyFill="0" applyBorder="0" applyAlignment="0" applyProtection="0"/>
    <xf numFmtId="0" fontId="131" fillId="0" borderId="0" applyNumberFormat="0" applyFill="0" applyBorder="0" applyAlignment="0" applyProtection="0"/>
    <xf numFmtId="0" fontId="131" fillId="0" borderId="0" applyNumberFormat="0" applyFill="0" applyBorder="0" applyAlignment="0" applyProtection="0"/>
    <xf numFmtId="0" fontId="130" fillId="0" borderId="0" applyNumberFormat="0" applyFill="0" applyBorder="0" applyProtection="0"/>
    <xf numFmtId="0" fontId="132" fillId="133" borderId="0" applyNumberFormat="0" applyBorder="0" applyProtection="0"/>
    <xf numFmtId="0" fontId="133" fillId="134" borderId="0" applyNumberFormat="0" applyBorder="0" applyProtection="0"/>
    <xf numFmtId="0" fontId="134" fillId="134" borderId="0" applyNumberFormat="0" applyBorder="0" applyAlignment="0" applyProtection="0"/>
    <xf numFmtId="0" fontId="134" fillId="134" borderId="0" applyNumberFormat="0" applyBorder="0" applyAlignment="0" applyProtection="0"/>
    <xf numFmtId="0" fontId="134" fillId="134" borderId="0" applyNumberFormat="0" applyBorder="0" applyAlignment="0" applyProtection="0"/>
    <xf numFmtId="0" fontId="134" fillId="134" borderId="0" applyNumberFormat="0" applyBorder="0" applyAlignment="0" applyProtection="0"/>
    <xf numFmtId="0" fontId="133" fillId="134" borderId="0" applyNumberFormat="0" applyBorder="0" applyProtection="0"/>
    <xf numFmtId="0" fontId="135" fillId="135" borderId="0" applyNumberFormat="0" applyBorder="0" applyAlignment="0" applyProtection="0"/>
    <xf numFmtId="0" fontId="135" fillId="135" borderId="0" applyNumberFormat="0" applyBorder="0" applyAlignment="0" applyProtection="0"/>
    <xf numFmtId="0" fontId="135" fillId="135" borderId="0" applyNumberFormat="0" applyBorder="0" applyAlignment="0" applyProtection="0"/>
    <xf numFmtId="0" fontId="135" fillId="135" borderId="0" applyNumberFormat="0" applyBorder="0" applyAlignment="0" applyProtection="0"/>
    <xf numFmtId="0" fontId="132" fillId="133" borderId="0" applyNumberFormat="0" applyBorder="0" applyProtection="0"/>
    <xf numFmtId="0" fontId="132" fillId="133" borderId="0" applyNumberFormat="0" applyBorder="0" applyProtection="0"/>
    <xf numFmtId="0" fontId="135" fillId="135" borderId="0" applyNumberFormat="0" applyBorder="0" applyAlignment="0" applyProtection="0"/>
    <xf numFmtId="0" fontId="135" fillId="135" borderId="0" applyNumberFormat="0" applyBorder="0" applyAlignment="0" applyProtection="0"/>
    <xf numFmtId="0" fontId="135" fillId="135" borderId="0" applyNumberFormat="0" applyBorder="0" applyAlignment="0" applyProtection="0"/>
    <xf numFmtId="0" fontId="135" fillId="135" borderId="0" applyNumberFormat="0" applyBorder="0" applyAlignment="0" applyProtection="0"/>
    <xf numFmtId="0" fontId="132" fillId="133" borderId="0" applyNumberFormat="0" applyBorder="0" applyProtection="0"/>
    <xf numFmtId="0" fontId="132" fillId="133" borderId="0" applyNumberFormat="0" applyBorder="0" applyProtection="0"/>
    <xf numFmtId="0" fontId="135" fillId="135" borderId="0" applyNumberFormat="0" applyBorder="0" applyAlignment="0" applyProtection="0"/>
    <xf numFmtId="0" fontId="135" fillId="135" borderId="0" applyNumberFormat="0" applyBorder="0" applyAlignment="0" applyProtection="0"/>
    <xf numFmtId="0" fontId="135" fillId="135" borderId="0" applyNumberFormat="0" applyBorder="0" applyAlignment="0" applyProtection="0"/>
    <xf numFmtId="0" fontId="135" fillId="135" borderId="0" applyNumberFormat="0" applyBorder="0" applyAlignment="0" applyProtection="0"/>
    <xf numFmtId="0" fontId="132" fillId="133" borderId="0" applyNumberFormat="0" applyBorder="0" applyProtection="0"/>
    <xf numFmtId="0" fontId="132" fillId="133" borderId="0" applyNumberFormat="0" applyBorder="0" applyProtection="0"/>
    <xf numFmtId="0" fontId="135" fillId="135" borderId="0" applyNumberFormat="0" applyBorder="0" applyAlignment="0" applyProtection="0"/>
    <xf numFmtId="0" fontId="135" fillId="135" borderId="0" applyNumberFormat="0" applyBorder="0" applyAlignment="0" applyProtection="0"/>
    <xf numFmtId="0" fontId="135" fillId="135" borderId="0" applyNumberFormat="0" applyBorder="0" applyAlignment="0" applyProtection="0"/>
    <xf numFmtId="0" fontId="135" fillId="135" borderId="0" applyNumberFormat="0" applyBorder="0" applyAlignment="0" applyProtection="0"/>
    <xf numFmtId="0" fontId="132" fillId="133" borderId="0" applyNumberFormat="0" applyBorder="0" applyProtection="0"/>
    <xf numFmtId="0" fontId="132" fillId="133" borderId="0" applyNumberFormat="0" applyBorder="0" applyProtection="0"/>
    <xf numFmtId="0" fontId="135" fillId="135" borderId="0" applyNumberFormat="0" applyBorder="0" applyAlignment="0" applyProtection="0"/>
    <xf numFmtId="0" fontId="135" fillId="135" borderId="0" applyNumberFormat="0" applyBorder="0" applyAlignment="0" applyProtection="0"/>
    <xf numFmtId="0" fontId="135" fillId="135" borderId="0" applyNumberFormat="0" applyBorder="0" applyAlignment="0" applyProtection="0"/>
    <xf numFmtId="0" fontId="135" fillId="135" borderId="0" applyNumberFormat="0" applyBorder="0" applyAlignment="0" applyProtection="0"/>
    <xf numFmtId="0" fontId="132" fillId="133" borderId="0" applyNumberFormat="0" applyBorder="0" applyProtection="0"/>
    <xf numFmtId="0" fontId="136" fillId="0" borderId="0"/>
    <xf numFmtId="0" fontId="55"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5" fillId="0" borderId="0"/>
    <xf numFmtId="0" fontId="26" fillId="0" borderId="0"/>
    <xf numFmtId="0" fontId="26" fillId="0" borderId="0"/>
    <xf numFmtId="0" fontId="26" fillId="0" borderId="0"/>
    <xf numFmtId="0" fontId="26" fillId="0" borderId="0"/>
    <xf numFmtId="0" fontId="136" fillId="0" borderId="0"/>
    <xf numFmtId="0" fontId="57" fillId="0" borderId="0"/>
    <xf numFmtId="0" fontId="57" fillId="0" borderId="0"/>
    <xf numFmtId="0" fontId="55"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5" fillId="0" borderId="0"/>
    <xf numFmtId="0" fontId="12" fillId="0" borderId="0"/>
    <xf numFmtId="0" fontId="12" fillId="0" borderId="0"/>
    <xf numFmtId="0" fontId="12" fillId="0" borderId="0"/>
    <xf numFmtId="0" fontId="12" fillId="0" borderId="0"/>
    <xf numFmtId="0" fontId="57" fillId="0" borderId="0"/>
    <xf numFmtId="0" fontId="70" fillId="0" borderId="0"/>
    <xf numFmtId="0" fontId="14" fillId="0" borderId="0"/>
    <xf numFmtId="0" fontId="14" fillId="0" borderId="0"/>
    <xf numFmtId="0" fontId="14" fillId="0" borderId="0"/>
    <xf numFmtId="0" fontId="14" fillId="0" borderId="0"/>
    <xf numFmtId="0" fontId="70" fillId="0" borderId="0"/>
    <xf numFmtId="0" fontId="55"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5" fillId="0" borderId="0"/>
    <xf numFmtId="0" fontId="12" fillId="0" borderId="0"/>
    <xf numFmtId="0" fontId="12" fillId="0" borderId="0"/>
    <xf numFmtId="0" fontId="12" fillId="0" borderId="0"/>
    <xf numFmtId="0" fontId="12" fillId="0" borderId="0"/>
    <xf numFmtId="0" fontId="57" fillId="0" borderId="0"/>
    <xf numFmtId="0" fontId="70" fillId="0" borderId="0"/>
    <xf numFmtId="0" fontId="70" fillId="0" borderId="0"/>
    <xf numFmtId="0" fontId="70" fillId="0" borderId="0"/>
    <xf numFmtId="0" fontId="70" fillId="0" borderId="0"/>
    <xf numFmtId="0" fontId="14" fillId="0" borderId="0"/>
    <xf numFmtId="0" fontId="14" fillId="0" borderId="0"/>
    <xf numFmtId="0" fontId="14" fillId="0" borderId="0"/>
    <xf numFmtId="0" fontId="14" fillId="0" borderId="0"/>
    <xf numFmtId="0" fontId="70" fillId="0" borderId="0"/>
    <xf numFmtId="0" fontId="14" fillId="0" borderId="0"/>
    <xf numFmtId="0" fontId="14" fillId="0" borderId="0"/>
    <xf numFmtId="0" fontId="14" fillId="0" borderId="0"/>
    <xf numFmtId="0" fontId="14" fillId="0" borderId="0"/>
    <xf numFmtId="0" fontId="70" fillId="0" borderId="0"/>
    <xf numFmtId="0" fontId="70" fillId="0" borderId="0"/>
    <xf numFmtId="0" fontId="14" fillId="0" borderId="0"/>
    <xf numFmtId="0" fontId="14" fillId="0" borderId="0"/>
    <xf numFmtId="0" fontId="14" fillId="0" borderId="0"/>
    <xf numFmtId="0" fontId="14" fillId="0" borderId="0"/>
    <xf numFmtId="0" fontId="70" fillId="0" borderId="0"/>
    <xf numFmtId="0" fontId="55" fillId="0" borderId="0"/>
    <xf numFmtId="0" fontId="70" fillId="0" borderId="0"/>
    <xf numFmtId="0" fontId="14" fillId="0" borderId="0"/>
    <xf numFmtId="0" fontId="14" fillId="0" borderId="0"/>
    <xf numFmtId="0" fontId="14" fillId="0" borderId="0"/>
    <xf numFmtId="0" fontId="14" fillId="0" borderId="0"/>
    <xf numFmtId="0" fontId="7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5" fillId="0" borderId="0"/>
    <xf numFmtId="0" fontId="70" fillId="0" borderId="0"/>
    <xf numFmtId="0" fontId="14" fillId="0" borderId="0"/>
    <xf numFmtId="0" fontId="14" fillId="0" borderId="0"/>
    <xf numFmtId="0" fontId="14" fillId="0" borderId="0"/>
    <xf numFmtId="0" fontId="14" fillId="0" borderId="0"/>
    <xf numFmtId="0" fontId="70" fillId="0" borderId="0"/>
    <xf numFmtId="0" fontId="137" fillId="0" borderId="0"/>
    <xf numFmtId="0" fontId="138" fillId="0" borderId="0"/>
    <xf numFmtId="0" fontId="138" fillId="0" borderId="0"/>
    <xf numFmtId="0" fontId="138" fillId="0" borderId="0"/>
    <xf numFmtId="0" fontId="138" fillId="0" borderId="0"/>
    <xf numFmtId="0" fontId="137" fillId="0" borderId="0"/>
    <xf numFmtId="0" fontId="55"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5" fillId="0" borderId="0"/>
    <xf numFmtId="0" fontId="14" fillId="0" borderId="0"/>
    <xf numFmtId="0" fontId="14" fillId="0" borderId="0"/>
    <xf numFmtId="0" fontId="14" fillId="0" borderId="0"/>
    <xf numFmtId="0" fontId="14" fillId="0" borderId="0"/>
    <xf numFmtId="0" fontId="59" fillId="0" borderId="0"/>
    <xf numFmtId="0" fontId="139" fillId="0" borderId="0"/>
    <xf numFmtId="0" fontId="139" fillId="0" borderId="0"/>
    <xf numFmtId="0" fontId="139" fillId="0" borderId="0"/>
    <xf numFmtId="0" fontId="139" fillId="0" borderId="0"/>
    <xf numFmtId="0" fontId="59" fillId="0" borderId="0"/>
    <xf numFmtId="0" fontId="55" fillId="0" borderId="0"/>
    <xf numFmtId="0" fontId="55"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5" fillId="0" borderId="0"/>
    <xf numFmtId="0" fontId="140" fillId="0" borderId="0"/>
    <xf numFmtId="0" fontId="140" fillId="0" borderId="0"/>
    <xf numFmtId="0" fontId="140" fillId="0" borderId="0"/>
    <xf numFmtId="0" fontId="140" fillId="0" borderId="0"/>
    <xf numFmtId="0" fontId="55"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9" fillId="0" borderId="0"/>
    <xf numFmtId="0" fontId="141" fillId="0" borderId="0"/>
    <xf numFmtId="0" fontId="141" fillId="0" borderId="0"/>
    <xf numFmtId="0" fontId="141" fillId="0" borderId="0"/>
    <xf numFmtId="0" fontId="141" fillId="0" borderId="0"/>
    <xf numFmtId="0" fontId="59" fillId="0" borderId="0"/>
    <xf numFmtId="0" fontId="59" fillId="0" borderId="0"/>
    <xf numFmtId="0" fontId="141" fillId="0" borderId="0"/>
    <xf numFmtId="0" fontId="141" fillId="0" borderId="0"/>
    <xf numFmtId="0" fontId="141" fillId="0" borderId="0"/>
    <xf numFmtId="0" fontId="141" fillId="0" borderId="0"/>
    <xf numFmtId="0" fontId="59" fillId="0" borderId="0"/>
    <xf numFmtId="0" fontId="59" fillId="0" borderId="0"/>
    <xf numFmtId="0" fontId="141" fillId="0" borderId="0"/>
    <xf numFmtId="0" fontId="141" fillId="0" borderId="0"/>
    <xf numFmtId="0" fontId="141" fillId="0" borderId="0"/>
    <xf numFmtId="0" fontId="141" fillId="0" borderId="0"/>
    <xf numFmtId="0" fontId="59" fillId="0" borderId="0"/>
    <xf numFmtId="0" fontId="59" fillId="0" borderId="0"/>
    <xf numFmtId="0" fontId="141" fillId="0" borderId="0"/>
    <xf numFmtId="0" fontId="141" fillId="0" borderId="0"/>
    <xf numFmtId="0" fontId="141" fillId="0" borderId="0"/>
    <xf numFmtId="0" fontId="141" fillId="0" borderId="0"/>
    <xf numFmtId="0" fontId="59" fillId="0" borderId="0"/>
    <xf numFmtId="0" fontId="59" fillId="0" borderId="0"/>
    <xf numFmtId="0" fontId="141" fillId="0" borderId="0"/>
    <xf numFmtId="0" fontId="141" fillId="0" borderId="0"/>
    <xf numFmtId="0" fontId="141" fillId="0" borderId="0"/>
    <xf numFmtId="0" fontId="141" fillId="0" borderId="0"/>
    <xf numFmtId="0" fontId="59" fillId="0" borderId="0"/>
    <xf numFmtId="0" fontId="59" fillId="0" borderId="0"/>
    <xf numFmtId="0" fontId="141" fillId="0" borderId="0"/>
    <xf numFmtId="0" fontId="141" fillId="0" borderId="0"/>
    <xf numFmtId="0" fontId="141" fillId="0" borderId="0"/>
    <xf numFmtId="0" fontId="141" fillId="0" borderId="0"/>
    <xf numFmtId="0" fontId="59" fillId="0" borderId="0"/>
    <xf numFmtId="0" fontId="59" fillId="0" borderId="0"/>
    <xf numFmtId="0" fontId="141" fillId="0" borderId="0"/>
    <xf numFmtId="0" fontId="141" fillId="0" borderId="0"/>
    <xf numFmtId="0" fontId="141" fillId="0" borderId="0"/>
    <xf numFmtId="0" fontId="141" fillId="0" borderId="0"/>
    <xf numFmtId="0" fontId="59" fillId="0" borderId="0"/>
    <xf numFmtId="0" fontId="70" fillId="0" borderId="0"/>
    <xf numFmtId="0" fontId="70" fillId="0" borderId="0"/>
    <xf numFmtId="0" fontId="14" fillId="0" borderId="0"/>
    <xf numFmtId="0" fontId="14" fillId="0" borderId="0"/>
    <xf numFmtId="0" fontId="70" fillId="0" borderId="0"/>
    <xf numFmtId="0" fontId="59" fillId="0" borderId="0">
      <protection locked="0"/>
    </xf>
    <xf numFmtId="0" fontId="141" fillId="0" borderId="0">
      <protection locked="0"/>
    </xf>
    <xf numFmtId="0" fontId="141" fillId="0" borderId="0">
      <protection locked="0"/>
    </xf>
    <xf numFmtId="0" fontId="141" fillId="0" borderId="0">
      <protection locked="0"/>
    </xf>
    <xf numFmtId="0" fontId="141" fillId="0" borderId="0">
      <protection locked="0"/>
    </xf>
    <xf numFmtId="0" fontId="59" fillId="0" borderId="0">
      <protection locked="0"/>
    </xf>
    <xf numFmtId="0" fontId="59" fillId="0" borderId="0">
      <protection locked="0"/>
    </xf>
    <xf numFmtId="0" fontId="141" fillId="0" borderId="0">
      <protection locked="0"/>
    </xf>
    <xf numFmtId="0" fontId="141" fillId="0" borderId="0">
      <protection locked="0"/>
    </xf>
    <xf numFmtId="0" fontId="141" fillId="0" borderId="0">
      <protection locked="0"/>
    </xf>
    <xf numFmtId="0" fontId="141" fillId="0" borderId="0">
      <protection locked="0"/>
    </xf>
    <xf numFmtId="0" fontId="59" fillId="0" borderId="0">
      <protection locked="0"/>
    </xf>
    <xf numFmtId="0" fontId="55"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5" fillId="0" borderId="0"/>
    <xf numFmtId="0" fontId="55"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5" fillId="0" borderId="0"/>
    <xf numFmtId="0" fontId="59" fillId="0" borderId="0"/>
    <xf numFmtId="0" fontId="59" fillId="0" borderId="0"/>
    <xf numFmtId="0" fontId="141" fillId="0" borderId="0"/>
    <xf numFmtId="0" fontId="141" fillId="0" borderId="0"/>
    <xf numFmtId="0" fontId="59" fillId="0" borderId="0"/>
    <xf numFmtId="0" fontId="55"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5" fillId="0" borderId="0"/>
    <xf numFmtId="0" fontId="55"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5" fillId="0" borderId="0"/>
    <xf numFmtId="0" fontId="55"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5" fillId="0" borderId="0"/>
    <xf numFmtId="0" fontId="55"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5" fillId="0" borderId="0"/>
    <xf numFmtId="0" fontId="57" fillId="0" borderId="0"/>
    <xf numFmtId="0" fontId="12" fillId="0" borderId="0"/>
    <xf numFmtId="0" fontId="12" fillId="0" borderId="0"/>
    <xf numFmtId="0" fontId="12" fillId="0" borderId="0"/>
    <xf numFmtId="0" fontId="12" fillId="0" borderId="0"/>
    <xf numFmtId="0" fontId="57" fillId="0" borderId="0"/>
    <xf numFmtId="0" fontId="57" fillId="0" borderId="0"/>
    <xf numFmtId="0" fontId="12" fillId="0" borderId="0"/>
    <xf numFmtId="0" fontId="12" fillId="0" borderId="0"/>
    <xf numFmtId="0" fontId="12" fillId="0" borderId="0"/>
    <xf numFmtId="0" fontId="12" fillId="0" borderId="0"/>
    <xf numFmtId="0" fontId="57" fillId="0" borderId="0"/>
    <xf numFmtId="0" fontId="57" fillId="0" borderId="0"/>
    <xf numFmtId="0" fontId="12" fillId="0" borderId="0"/>
    <xf numFmtId="0" fontId="12" fillId="0" borderId="0"/>
    <xf numFmtId="0" fontId="12" fillId="0" borderId="0"/>
    <xf numFmtId="0" fontId="12" fillId="0" borderId="0"/>
    <xf numFmtId="0" fontId="57" fillId="0" borderId="0"/>
    <xf numFmtId="0" fontId="59" fillId="0" borderId="0"/>
    <xf numFmtId="0" fontId="57" fillId="0" borderId="0"/>
    <xf numFmtId="0" fontId="12" fillId="0" borderId="0"/>
    <xf numFmtId="0" fontId="12" fillId="0" borderId="0"/>
    <xf numFmtId="0" fontId="12" fillId="0" borderId="0"/>
    <xf numFmtId="0" fontId="12" fillId="0" borderId="0"/>
    <xf numFmtId="0" fontId="57" fillId="0" borderId="0"/>
    <xf numFmtId="0" fontId="55" fillId="0" borderId="0"/>
    <xf numFmtId="0" fontId="55" fillId="0" borderId="0"/>
    <xf numFmtId="0" fontId="24" fillId="0" borderId="0"/>
    <xf numFmtId="0" fontId="24" fillId="0" borderId="0"/>
    <xf numFmtId="0" fontId="24" fillId="0" borderId="0"/>
    <xf numFmtId="0" fontId="24" fillId="0" borderId="0"/>
    <xf numFmtId="0" fontId="24" fillId="0" borderId="0"/>
    <xf numFmtId="0" fontId="24" fillId="0" borderId="0"/>
    <xf numFmtId="0" fontId="55" fillId="0" borderId="0"/>
    <xf numFmtId="0" fontId="55"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5" fillId="0" borderId="0"/>
    <xf numFmtId="0" fontId="55"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5" fillId="0" borderId="0"/>
    <xf numFmtId="0" fontId="55"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5" fillId="0" borderId="0"/>
    <xf numFmtId="0" fontId="55"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4" fillId="0" borderId="0"/>
    <xf numFmtId="0" fontId="24" fillId="0" borderId="0"/>
    <xf numFmtId="0" fontId="24" fillId="0" borderId="0"/>
    <xf numFmtId="0" fontId="24" fillId="0" borderId="0"/>
    <xf numFmtId="0" fontId="24" fillId="0" borderId="0"/>
    <xf numFmtId="0" fontId="24" fillId="0" borderId="0"/>
    <xf numFmtId="0" fontId="59" fillId="0" borderId="0"/>
    <xf numFmtId="0" fontId="55" fillId="0" borderId="0"/>
    <xf numFmtId="0" fontId="55" fillId="0" borderId="0"/>
    <xf numFmtId="0" fontId="59" fillId="0" borderId="0"/>
    <xf numFmtId="0" fontId="55" fillId="0" borderId="0"/>
    <xf numFmtId="0" fontId="57" fillId="0" borderId="0"/>
    <xf numFmtId="0" fontId="57" fillId="0" borderId="0"/>
    <xf numFmtId="0" fontId="12" fillId="0" borderId="0"/>
    <xf numFmtId="0" fontId="12" fillId="0" borderId="0"/>
    <xf numFmtId="0" fontId="55" fillId="0" borderId="0"/>
    <xf numFmtId="0" fontId="57" fillId="0" borderId="0"/>
    <xf numFmtId="0" fontId="57" fillId="0" borderId="0"/>
    <xf numFmtId="0" fontId="55" fillId="0" borderId="0"/>
    <xf numFmtId="0" fontId="57" fillId="0" borderId="0"/>
    <xf numFmtId="0" fontId="57" fillId="0" borderId="0"/>
    <xf numFmtId="0" fontId="12" fillId="0" borderId="0"/>
    <xf numFmtId="0" fontId="12" fillId="0" borderId="0"/>
    <xf numFmtId="0" fontId="12" fillId="0" borderId="0"/>
    <xf numFmtId="0" fontId="12"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5" fillId="0" borderId="0"/>
    <xf numFmtId="0" fontId="55" fillId="0" borderId="0"/>
    <xf numFmtId="0" fontId="55" fillId="0" borderId="0"/>
    <xf numFmtId="0" fontId="55" fillId="0" borderId="0"/>
    <xf numFmtId="0" fontId="141" fillId="0" borderId="0"/>
    <xf numFmtId="0" fontId="141" fillId="0" borderId="0"/>
    <xf numFmtId="0" fontId="57" fillId="0" borderId="0"/>
    <xf numFmtId="0" fontId="59" fillId="0" borderId="0"/>
    <xf numFmtId="0" fontId="59" fillId="0" borderId="0"/>
    <xf numFmtId="0" fontId="57" fillId="0" borderId="0"/>
    <xf numFmtId="0" fontId="59" fillId="0" borderId="0"/>
    <xf numFmtId="0" fontId="57" fillId="0" borderId="0"/>
    <xf numFmtId="0" fontId="12" fillId="0" borderId="0"/>
    <xf numFmtId="0" fontId="12" fillId="0" borderId="0"/>
    <xf numFmtId="0" fontId="12" fillId="0" borderId="0"/>
    <xf numFmtId="0" fontId="12" fillId="0" borderId="0"/>
    <xf numFmtId="0" fontId="57" fillId="0" borderId="0"/>
    <xf numFmtId="0" fontId="57" fillId="0" borderId="0"/>
    <xf numFmtId="0" fontId="12" fillId="0" borderId="0"/>
    <xf numFmtId="0" fontId="12" fillId="0" borderId="0"/>
    <xf numFmtId="0" fontId="12" fillId="0" borderId="0"/>
    <xf numFmtId="0" fontId="12" fillId="0" borderId="0"/>
    <xf numFmtId="0" fontId="57" fillId="0" borderId="0"/>
    <xf numFmtId="0" fontId="57" fillId="0" borderId="0"/>
    <xf numFmtId="0" fontId="12" fillId="0" borderId="0"/>
    <xf numFmtId="0" fontId="12" fillId="0" borderId="0"/>
    <xf numFmtId="0" fontId="12" fillId="0" borderId="0"/>
    <xf numFmtId="0" fontId="12" fillId="0" borderId="0"/>
    <xf numFmtId="0" fontId="57" fillId="0" borderId="0"/>
    <xf numFmtId="0" fontId="57" fillId="0" borderId="0"/>
    <xf numFmtId="0" fontId="12" fillId="0" borderId="0"/>
    <xf numFmtId="0" fontId="12" fillId="0" borderId="0"/>
    <xf numFmtId="0" fontId="12" fillId="0" borderId="0"/>
    <xf numFmtId="0" fontId="12" fillId="0" borderId="0"/>
    <xf numFmtId="0" fontId="57" fillId="0" borderId="0"/>
    <xf numFmtId="0" fontId="57" fillId="0" borderId="0"/>
    <xf numFmtId="0" fontId="12" fillId="0" borderId="0"/>
    <xf numFmtId="0" fontId="12" fillId="0" borderId="0"/>
    <xf numFmtId="0" fontId="12" fillId="0" borderId="0"/>
    <xf numFmtId="0" fontId="12" fillId="0" borderId="0"/>
    <xf numFmtId="0" fontId="57" fillId="0" borderId="0"/>
    <xf numFmtId="0" fontId="57" fillId="0" borderId="0"/>
    <xf numFmtId="0" fontId="12" fillId="0" borderId="0"/>
    <xf numFmtId="0" fontId="12" fillId="0" borderId="0"/>
    <xf numFmtId="0" fontId="12" fillId="0" borderId="0"/>
    <xf numFmtId="0" fontId="12" fillId="0" borderId="0"/>
    <xf numFmtId="0" fontId="57" fillId="0" borderId="0"/>
    <xf numFmtId="0" fontId="57" fillId="0" borderId="0"/>
    <xf numFmtId="0" fontId="12" fillId="0" borderId="0"/>
    <xf numFmtId="0" fontId="12" fillId="0" borderId="0"/>
    <xf numFmtId="0" fontId="12" fillId="0" borderId="0"/>
    <xf numFmtId="0" fontId="12" fillId="0" borderId="0"/>
    <xf numFmtId="0" fontId="57" fillId="0" borderId="0"/>
    <xf numFmtId="0" fontId="57" fillId="0" borderId="0"/>
    <xf numFmtId="0" fontId="12" fillId="0" borderId="0"/>
    <xf numFmtId="0" fontId="12" fillId="0" borderId="0"/>
    <xf numFmtId="0" fontId="12" fillId="0" borderId="0"/>
    <xf numFmtId="0" fontId="12" fillId="0" borderId="0"/>
    <xf numFmtId="0" fontId="57" fillId="0" borderId="0"/>
    <xf numFmtId="0" fontId="57" fillId="0" borderId="0"/>
    <xf numFmtId="0" fontId="12" fillId="0" borderId="0"/>
    <xf numFmtId="0" fontId="12" fillId="0" borderId="0"/>
    <xf numFmtId="0" fontId="12" fillId="0" borderId="0"/>
    <xf numFmtId="0" fontId="12" fillId="0" borderId="0"/>
    <xf numFmtId="0" fontId="57" fillId="0" borderId="0"/>
    <xf numFmtId="0" fontId="70" fillId="0" borderId="0"/>
    <xf numFmtId="0" fontId="142" fillId="0" borderId="0"/>
    <xf numFmtId="0" fontId="143" fillId="0" borderId="0"/>
    <xf numFmtId="0" fontId="143" fillId="0" borderId="0"/>
    <xf numFmtId="0" fontId="143" fillId="0" borderId="0"/>
    <xf numFmtId="0" fontId="143" fillId="0" borderId="0"/>
    <xf numFmtId="0" fontId="142" fillId="0" borderId="0"/>
    <xf numFmtId="0" fontId="142" fillId="0" borderId="0"/>
    <xf numFmtId="0" fontId="143" fillId="0" borderId="0"/>
    <xf numFmtId="0" fontId="143" fillId="0" borderId="0"/>
    <xf numFmtId="0" fontId="143" fillId="0" borderId="0"/>
    <xf numFmtId="0" fontId="143" fillId="0" borderId="0"/>
    <xf numFmtId="0" fontId="142" fillId="0" borderId="0"/>
    <xf numFmtId="0" fontId="14" fillId="0" borderId="0"/>
    <xf numFmtId="0" fontId="14" fillId="0" borderId="0"/>
    <xf numFmtId="0" fontId="14" fillId="0" borderId="0"/>
    <xf numFmtId="0" fontId="14" fillId="0" borderId="0"/>
    <xf numFmtId="0" fontId="70" fillId="0" borderId="0"/>
    <xf numFmtId="0" fontId="70" fillId="0" borderId="0"/>
    <xf numFmtId="0" fontId="14" fillId="0" borderId="0"/>
    <xf numFmtId="0" fontId="14" fillId="0" borderId="0"/>
    <xf numFmtId="0" fontId="14" fillId="0" borderId="0"/>
    <xf numFmtId="0" fontId="14" fillId="0" borderId="0"/>
    <xf numFmtId="0" fontId="70" fillId="0" borderId="0"/>
    <xf numFmtId="0" fontId="59" fillId="0" borderId="0"/>
    <xf numFmtId="0" fontId="59" fillId="0" borderId="0"/>
    <xf numFmtId="0" fontId="59" fillId="0" borderId="0"/>
    <xf numFmtId="0" fontId="59" fillId="0" borderId="0"/>
    <xf numFmtId="0" fontId="59" fillId="0" borderId="0"/>
    <xf numFmtId="0" fontId="59" fillId="0" borderId="0"/>
    <xf numFmtId="0" fontId="12" fillId="0" borderId="0"/>
    <xf numFmtId="0" fontId="12" fillId="0" borderId="0"/>
    <xf numFmtId="0" fontId="55" fillId="0" borderId="0"/>
    <xf numFmtId="0" fontId="55"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5"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5" fillId="0" borderId="0"/>
    <xf numFmtId="0" fontId="144" fillId="0" borderId="0">
      <alignment vertical="top" wrapText="1"/>
    </xf>
    <xf numFmtId="0" fontId="57" fillId="0" borderId="0"/>
    <xf numFmtId="0" fontId="57" fillId="0" borderId="0"/>
    <xf numFmtId="0" fontId="144" fillId="0" borderId="0">
      <alignment vertical="top" wrapText="1"/>
    </xf>
    <xf numFmtId="0" fontId="57" fillId="0" borderId="0"/>
    <xf numFmtId="0" fontId="55"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5" fillId="0" borderId="0"/>
    <xf numFmtId="0" fontId="55"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5" fillId="0" borderId="0"/>
    <xf numFmtId="0" fontId="55"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5" fillId="0" borderId="0"/>
    <xf numFmtId="0" fontId="55"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5" fillId="0" borderId="0"/>
    <xf numFmtId="0" fontId="55"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5" fillId="0" borderId="0"/>
    <xf numFmtId="0" fontId="55"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5" fillId="0" borderId="0"/>
    <xf numFmtId="0" fontId="59" fillId="0" borderId="0">
      <protection locked="0"/>
    </xf>
    <xf numFmtId="0" fontId="141" fillId="0" borderId="0">
      <protection locked="0"/>
    </xf>
    <xf numFmtId="0" fontId="141" fillId="0" borderId="0">
      <protection locked="0"/>
    </xf>
    <xf numFmtId="0" fontId="141" fillId="0" borderId="0">
      <protection locked="0"/>
    </xf>
    <xf numFmtId="0" fontId="141" fillId="0" borderId="0">
      <protection locked="0"/>
    </xf>
    <xf numFmtId="0" fontId="59" fillId="0" borderId="0">
      <protection locked="0"/>
    </xf>
    <xf numFmtId="0" fontId="59" fillId="0" borderId="0">
      <protection locked="0"/>
    </xf>
    <xf numFmtId="0" fontId="141" fillId="0" borderId="0">
      <protection locked="0"/>
    </xf>
    <xf numFmtId="0" fontId="141" fillId="0" borderId="0">
      <protection locked="0"/>
    </xf>
    <xf numFmtId="0" fontId="141" fillId="0" borderId="0">
      <protection locked="0"/>
    </xf>
    <xf numFmtId="0" fontId="141" fillId="0" borderId="0">
      <protection locked="0"/>
    </xf>
    <xf numFmtId="0" fontId="59" fillId="0" borderId="0">
      <protection locked="0"/>
    </xf>
    <xf numFmtId="0" fontId="144" fillId="0" borderId="0">
      <alignment vertical="top" wrapText="1"/>
    </xf>
    <xf numFmtId="0" fontId="35" fillId="0" borderId="0">
      <alignment vertical="top" wrapText="1"/>
    </xf>
    <xf numFmtId="0" fontId="35" fillId="0" borderId="0">
      <alignment vertical="top" wrapText="1"/>
    </xf>
    <xf numFmtId="0" fontId="35" fillId="0" borderId="0">
      <alignment vertical="top" wrapText="1"/>
    </xf>
    <xf numFmtId="0" fontId="35" fillId="0" borderId="0">
      <alignment vertical="top" wrapText="1"/>
    </xf>
    <xf numFmtId="0" fontId="144" fillId="0" borderId="0">
      <alignment vertical="top" wrapText="1"/>
    </xf>
    <xf numFmtId="0" fontId="144" fillId="0" borderId="0">
      <alignment vertical="top" wrapText="1"/>
    </xf>
    <xf numFmtId="0" fontId="35" fillId="0" borderId="0">
      <alignment vertical="top" wrapText="1"/>
    </xf>
    <xf numFmtId="0" fontId="35" fillId="0" borderId="0">
      <alignment vertical="top" wrapText="1"/>
    </xf>
    <xf numFmtId="0" fontId="35" fillId="0" borderId="0">
      <alignment vertical="top" wrapText="1"/>
    </xf>
    <xf numFmtId="0" fontId="35" fillId="0" borderId="0">
      <alignment vertical="top" wrapText="1"/>
    </xf>
    <xf numFmtId="0" fontId="144" fillId="0" borderId="0">
      <alignment vertical="top" wrapText="1"/>
    </xf>
    <xf numFmtId="0" fontId="144" fillId="0" borderId="0">
      <alignment vertical="top" wrapText="1"/>
    </xf>
    <xf numFmtId="0" fontId="35" fillId="0" borderId="0">
      <alignment vertical="top" wrapText="1"/>
    </xf>
    <xf numFmtId="0" fontId="35" fillId="0" borderId="0">
      <alignment vertical="top" wrapText="1"/>
    </xf>
    <xf numFmtId="0" fontId="35" fillId="0" borderId="0">
      <alignment vertical="top" wrapText="1"/>
    </xf>
    <xf numFmtId="0" fontId="35" fillId="0" borderId="0">
      <alignment vertical="top" wrapText="1"/>
    </xf>
    <xf numFmtId="0" fontId="144" fillId="0" borderId="0">
      <alignment vertical="top" wrapText="1"/>
    </xf>
    <xf numFmtId="0" fontId="144" fillId="0" borderId="0">
      <alignment vertical="top" wrapText="1"/>
    </xf>
    <xf numFmtId="0" fontId="35" fillId="0" borderId="0">
      <alignment vertical="top" wrapText="1"/>
    </xf>
    <xf numFmtId="0" fontId="35" fillId="0" borderId="0">
      <alignment vertical="top" wrapText="1"/>
    </xf>
    <xf numFmtId="0" fontId="35" fillId="0" borderId="0">
      <alignment vertical="top" wrapText="1"/>
    </xf>
    <xf numFmtId="0" fontId="35" fillId="0" borderId="0">
      <alignment vertical="top" wrapText="1"/>
    </xf>
    <xf numFmtId="0" fontId="144" fillId="0" borderId="0">
      <alignment vertical="top" wrapText="1"/>
    </xf>
    <xf numFmtId="0" fontId="144" fillId="0" borderId="0">
      <alignment vertical="top" wrapText="1"/>
    </xf>
    <xf numFmtId="0" fontId="35" fillId="0" borderId="0">
      <alignment vertical="top" wrapText="1"/>
    </xf>
    <xf numFmtId="0" fontId="35" fillId="0" borderId="0">
      <alignment vertical="top" wrapText="1"/>
    </xf>
    <xf numFmtId="0" fontId="35" fillId="0" borderId="0">
      <alignment vertical="top" wrapText="1"/>
    </xf>
    <xf numFmtId="0" fontId="35" fillId="0" borderId="0">
      <alignment vertical="top" wrapText="1"/>
    </xf>
    <xf numFmtId="0" fontId="144" fillId="0" borderId="0">
      <alignment vertical="top" wrapText="1"/>
    </xf>
    <xf numFmtId="0" fontId="142" fillId="0" borderId="0"/>
    <xf numFmtId="0" fontId="57" fillId="17" borderId="0"/>
    <xf numFmtId="0" fontId="12" fillId="3" borderId="0"/>
    <xf numFmtId="0" fontId="12" fillId="3" borderId="0"/>
    <xf numFmtId="0" fontId="12" fillId="3" borderId="0"/>
    <xf numFmtId="0" fontId="12" fillId="3" borderId="0"/>
    <xf numFmtId="0" fontId="57" fillId="17" borderId="0"/>
    <xf numFmtId="0" fontId="57" fillId="17" borderId="0"/>
    <xf numFmtId="0" fontId="12" fillId="3" borderId="0"/>
    <xf numFmtId="0" fontId="12" fillId="3" borderId="0"/>
    <xf numFmtId="0" fontId="12" fillId="3" borderId="0"/>
    <xf numFmtId="0" fontId="12" fillId="3" borderId="0"/>
    <xf numFmtId="0" fontId="57" fillId="17" borderId="0"/>
    <xf numFmtId="0" fontId="143" fillId="0" borderId="0"/>
    <xf numFmtId="0" fontId="143" fillId="0" borderId="0"/>
    <xf numFmtId="0" fontId="143" fillId="0" borderId="0"/>
    <xf numFmtId="0" fontId="143" fillId="0" borderId="0"/>
    <xf numFmtId="0" fontId="142" fillId="0" borderId="0"/>
    <xf numFmtId="0" fontId="142" fillId="0" borderId="0"/>
    <xf numFmtId="0" fontId="143" fillId="0" borderId="0"/>
    <xf numFmtId="0" fontId="143" fillId="0" borderId="0"/>
    <xf numFmtId="0" fontId="143" fillId="0" borderId="0"/>
    <xf numFmtId="0" fontId="143" fillId="0" borderId="0"/>
    <xf numFmtId="0" fontId="142" fillId="0" borderId="0"/>
    <xf numFmtId="0" fontId="70" fillId="0" borderId="0"/>
    <xf numFmtId="0" fontId="70" fillId="0" borderId="0"/>
    <xf numFmtId="0" fontId="70" fillId="0" borderId="0"/>
    <xf numFmtId="0" fontId="59" fillId="0" borderId="0"/>
    <xf numFmtId="0" fontId="59" fillId="0" borderId="0"/>
    <xf numFmtId="0" fontId="59" fillId="0" borderId="0"/>
    <xf numFmtId="0" fontId="8" fillId="0" borderId="0"/>
    <xf numFmtId="0" fontId="8" fillId="0" borderId="0"/>
    <xf numFmtId="0" fontId="8" fillId="0" borderId="0"/>
    <xf numFmtId="0" fontId="8" fillId="0" borderId="0"/>
    <xf numFmtId="0" fontId="59" fillId="0" borderId="0"/>
    <xf numFmtId="0" fontId="59" fillId="0" borderId="0">
      <protection locked="0"/>
    </xf>
    <xf numFmtId="0" fontId="141" fillId="0" borderId="0">
      <protection locked="0"/>
    </xf>
    <xf numFmtId="0" fontId="141" fillId="0" borderId="0">
      <protection locked="0"/>
    </xf>
    <xf numFmtId="0" fontId="141" fillId="0" borderId="0">
      <protection locked="0"/>
    </xf>
    <xf numFmtId="0" fontId="141" fillId="0" borderId="0">
      <protection locked="0"/>
    </xf>
    <xf numFmtId="0" fontId="59" fillId="0" borderId="0">
      <protection locked="0"/>
    </xf>
    <xf numFmtId="0" fontId="59" fillId="0" borderId="0">
      <protection locked="0"/>
    </xf>
    <xf numFmtId="0" fontId="141" fillId="0" borderId="0">
      <protection locked="0"/>
    </xf>
    <xf numFmtId="0" fontId="141" fillId="0" borderId="0">
      <protection locked="0"/>
    </xf>
    <xf numFmtId="0" fontId="141" fillId="0" borderId="0">
      <protection locked="0"/>
    </xf>
    <xf numFmtId="0" fontId="141" fillId="0" borderId="0">
      <protection locked="0"/>
    </xf>
    <xf numFmtId="0" fontId="59" fillId="0" borderId="0">
      <protection locked="0"/>
    </xf>
    <xf numFmtId="0" fontId="59" fillId="0" borderId="0">
      <protection locked="0"/>
    </xf>
    <xf numFmtId="0" fontId="141" fillId="0" borderId="0">
      <protection locked="0"/>
    </xf>
    <xf numFmtId="0" fontId="141" fillId="0" borderId="0">
      <protection locked="0"/>
    </xf>
    <xf numFmtId="0" fontId="141" fillId="0" borderId="0">
      <protection locked="0"/>
    </xf>
    <xf numFmtId="0" fontId="141" fillId="0" borderId="0">
      <protection locked="0"/>
    </xf>
    <xf numFmtId="0" fontId="59" fillId="0" borderId="0">
      <protection locked="0"/>
    </xf>
    <xf numFmtId="0" fontId="59" fillId="0" borderId="0">
      <protection locked="0"/>
    </xf>
    <xf numFmtId="0" fontId="141" fillId="0" borderId="0">
      <protection locked="0"/>
    </xf>
    <xf numFmtId="0" fontId="141" fillId="0" borderId="0">
      <protection locked="0"/>
    </xf>
    <xf numFmtId="0" fontId="141" fillId="0" borderId="0">
      <protection locked="0"/>
    </xf>
    <xf numFmtId="0" fontId="141" fillId="0" borderId="0">
      <protection locked="0"/>
    </xf>
    <xf numFmtId="0" fontId="59" fillId="0" borderId="0">
      <protection locked="0"/>
    </xf>
    <xf numFmtId="0" fontId="63" fillId="0" borderId="0"/>
    <xf numFmtId="0" fontId="64" fillId="0" borderId="0"/>
    <xf numFmtId="0" fontId="64" fillId="0" borderId="0"/>
    <xf numFmtId="0" fontId="64" fillId="0" borderId="0"/>
    <xf numFmtId="0" fontId="64" fillId="0" borderId="0"/>
    <xf numFmtId="0" fontId="63" fillId="0" borderId="0"/>
    <xf numFmtId="0" fontId="8" fillId="0" borderId="0"/>
    <xf numFmtId="0" fontId="8" fillId="0" borderId="0"/>
    <xf numFmtId="0" fontId="8" fillId="0" borderId="0"/>
    <xf numFmtId="0" fontId="8" fillId="0" borderId="0"/>
    <xf numFmtId="0" fontId="70" fillId="0" borderId="0"/>
    <xf numFmtId="0" fontId="70" fillId="0" borderId="0"/>
    <xf numFmtId="0" fontId="70" fillId="0" borderId="0"/>
    <xf numFmtId="0" fontId="55" fillId="0" borderId="0"/>
    <xf numFmtId="0" fontId="55" fillId="0" borderId="0"/>
    <xf numFmtId="0" fontId="35" fillId="0" borderId="0">
      <alignment vertical="top" wrapText="1"/>
    </xf>
    <xf numFmtId="0" fontId="35" fillId="0" borderId="0">
      <alignment vertical="top" wrapText="1"/>
    </xf>
    <xf numFmtId="0" fontId="144" fillId="0" borderId="0">
      <alignment vertical="top" wrapText="1"/>
    </xf>
    <xf numFmtId="0" fontId="144" fillId="0" borderId="0">
      <alignment vertical="top" wrapText="1"/>
    </xf>
    <xf numFmtId="0" fontId="59" fillId="0" borderId="0"/>
    <xf numFmtId="0" fontId="55" fillId="0" borderId="0"/>
    <xf numFmtId="0" fontId="55"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5"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5" fillId="0" borderId="0"/>
    <xf numFmtId="0" fontId="55"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5" fillId="0" borderId="0"/>
    <xf numFmtId="0" fontId="55"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5" fillId="0" borderId="0"/>
    <xf numFmtId="0" fontId="55"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5" fillId="0" borderId="0"/>
    <xf numFmtId="0" fontId="55"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5" fillId="0" borderId="0"/>
    <xf numFmtId="0" fontId="8" fillId="0" borderId="0"/>
    <xf numFmtId="0" fontId="8" fillId="0" borderId="0"/>
    <xf numFmtId="0" fontId="8" fillId="0" borderId="0"/>
    <xf numFmtId="0" fontId="8" fillId="0" borderId="0"/>
    <xf numFmtId="0" fontId="59" fillId="0" borderId="0"/>
    <xf numFmtId="0" fontId="70" fillId="0" borderId="0"/>
    <xf numFmtId="0" fontId="14" fillId="0" borderId="0"/>
    <xf numFmtId="0" fontId="14" fillId="0" borderId="0"/>
    <xf numFmtId="0" fontId="14" fillId="0" borderId="0"/>
    <xf numFmtId="0" fontId="14" fillId="0" borderId="0"/>
    <xf numFmtId="0" fontId="70" fillId="0" borderId="0"/>
    <xf numFmtId="0" fontId="59" fillId="0" borderId="0"/>
    <xf numFmtId="0" fontId="8" fillId="0" borderId="0"/>
    <xf numFmtId="0" fontId="8" fillId="0" borderId="0"/>
    <xf numFmtId="0" fontId="8" fillId="0" borderId="0"/>
    <xf numFmtId="0" fontId="8" fillId="0" borderId="0"/>
    <xf numFmtId="0" fontId="59" fillId="0" borderId="0"/>
    <xf numFmtId="0" fontId="145" fillId="0" borderId="0"/>
    <xf numFmtId="0" fontId="39" fillId="0" borderId="0"/>
    <xf numFmtId="0" fontId="39" fillId="0" borderId="0"/>
    <xf numFmtId="0" fontId="39" fillId="0" borderId="0"/>
    <xf numFmtId="0" fontId="39" fillId="0" borderId="0"/>
    <xf numFmtId="0" fontId="145" fillId="0" borderId="0"/>
    <xf numFmtId="0" fontId="56" fillId="0" borderId="0"/>
    <xf numFmtId="0" fontId="30" fillId="0" borderId="0"/>
    <xf numFmtId="0" fontId="30" fillId="0" borderId="0"/>
    <xf numFmtId="0" fontId="30" fillId="0" borderId="0"/>
    <xf numFmtId="0" fontId="30" fillId="0" borderId="0"/>
    <xf numFmtId="0" fontId="56" fillId="0" borderId="0"/>
    <xf numFmtId="0" fontId="59" fillId="0" borderId="0"/>
    <xf numFmtId="0" fontId="141" fillId="0" borderId="0"/>
    <xf numFmtId="0" fontId="141" fillId="0" borderId="0"/>
    <xf numFmtId="0" fontId="141" fillId="0" borderId="0"/>
    <xf numFmtId="0" fontId="141" fillId="0" borderId="0"/>
    <xf numFmtId="0" fontId="59" fillId="0" borderId="0"/>
    <xf numFmtId="0" fontId="145" fillId="0" borderId="0"/>
    <xf numFmtId="0" fontId="39" fillId="0" borderId="0"/>
    <xf numFmtId="0" fontId="39" fillId="0" borderId="0"/>
    <xf numFmtId="0" fontId="39" fillId="0" borderId="0"/>
    <xf numFmtId="0" fontId="39" fillId="0" borderId="0"/>
    <xf numFmtId="0" fontId="145" fillId="0" borderId="0"/>
    <xf numFmtId="0" fontId="145" fillId="0" borderId="0"/>
    <xf numFmtId="0" fontId="39" fillId="0" borderId="0"/>
    <xf numFmtId="0" fontId="39" fillId="0" borderId="0"/>
    <xf numFmtId="0" fontId="39" fillId="0" borderId="0"/>
    <xf numFmtId="0" fontId="39" fillId="0" borderId="0"/>
    <xf numFmtId="0" fontId="145" fillId="0" borderId="0"/>
    <xf numFmtId="0" fontId="145" fillId="0" borderId="0"/>
    <xf numFmtId="0" fontId="39" fillId="0" borderId="0"/>
    <xf numFmtId="0" fontId="39" fillId="0" borderId="0"/>
    <xf numFmtId="0" fontId="39" fillId="0" borderId="0"/>
    <xf numFmtId="0" fontId="39" fillId="0" borderId="0"/>
    <xf numFmtId="0" fontId="145" fillId="0" borderId="0"/>
    <xf numFmtId="0" fontId="145" fillId="0" borderId="0"/>
    <xf numFmtId="0" fontId="39" fillId="0" borderId="0"/>
    <xf numFmtId="0" fontId="39" fillId="0" borderId="0"/>
    <xf numFmtId="0" fontId="39" fillId="0" borderId="0"/>
    <xf numFmtId="0" fontId="39" fillId="0" borderId="0"/>
    <xf numFmtId="0" fontId="145" fillId="0" borderId="0"/>
    <xf numFmtId="0" fontId="145" fillId="0" borderId="0"/>
    <xf numFmtId="0" fontId="39" fillId="0" borderId="0"/>
    <xf numFmtId="0" fontId="39" fillId="0" borderId="0"/>
    <xf numFmtId="0" fontId="39" fillId="0" borderId="0"/>
    <xf numFmtId="0" fontId="39" fillId="0" borderId="0"/>
    <xf numFmtId="0" fontId="145" fillId="0" borderId="0"/>
    <xf numFmtId="0" fontId="145" fillId="0" borderId="0"/>
    <xf numFmtId="0" fontId="39" fillId="0" borderId="0"/>
    <xf numFmtId="0" fontId="39" fillId="0" borderId="0"/>
    <xf numFmtId="0" fontId="39" fillId="0" borderId="0"/>
    <xf numFmtId="0" fontId="39" fillId="0" borderId="0"/>
    <xf numFmtId="0" fontId="145" fillId="0" borderId="0"/>
    <xf numFmtId="0" fontId="145" fillId="0" borderId="0"/>
    <xf numFmtId="0" fontId="39" fillId="0" borderId="0"/>
    <xf numFmtId="0" fontId="39" fillId="0" borderId="0"/>
    <xf numFmtId="0" fontId="39" fillId="0" borderId="0"/>
    <xf numFmtId="0" fontId="39" fillId="0" borderId="0"/>
    <xf numFmtId="0" fontId="145" fillId="0" borderId="0"/>
    <xf numFmtId="0" fontId="145" fillId="0" borderId="0"/>
    <xf numFmtId="0" fontId="39" fillId="0" borderId="0"/>
    <xf numFmtId="0" fontId="39" fillId="0" borderId="0"/>
    <xf numFmtId="0" fontId="39" fillId="0" borderId="0"/>
    <xf numFmtId="0" fontId="39" fillId="0" borderId="0"/>
    <xf numFmtId="0" fontId="145" fillId="0" borderId="0"/>
    <xf numFmtId="0" fontId="145" fillId="0" borderId="0"/>
    <xf numFmtId="0" fontId="39" fillId="0" borderId="0"/>
    <xf numFmtId="0" fontId="39" fillId="0" borderId="0"/>
    <xf numFmtId="0" fontId="39" fillId="0" borderId="0"/>
    <xf numFmtId="0" fontId="39" fillId="0" borderId="0"/>
    <xf numFmtId="0" fontId="145" fillId="0" borderId="0"/>
    <xf numFmtId="0" fontId="146" fillId="0" borderId="0">
      <protection locked="0"/>
    </xf>
    <xf numFmtId="0" fontId="147" fillId="0" borderId="0">
      <protection locked="0"/>
    </xf>
    <xf numFmtId="0" fontId="147" fillId="0" borderId="0">
      <protection locked="0"/>
    </xf>
    <xf numFmtId="0" fontId="147" fillId="0" borderId="0">
      <protection locked="0"/>
    </xf>
    <xf numFmtId="0" fontId="147" fillId="0" borderId="0">
      <protection locked="0"/>
    </xf>
    <xf numFmtId="0" fontId="146" fillId="0" borderId="0">
      <protection locked="0"/>
    </xf>
    <xf numFmtId="0" fontId="39" fillId="0" borderId="0"/>
    <xf numFmtId="0" fontId="39" fillId="0" borderId="0"/>
    <xf numFmtId="0" fontId="39" fillId="0" borderId="0"/>
    <xf numFmtId="0" fontId="39" fillId="0" borderId="0"/>
    <xf numFmtId="0" fontId="145" fillId="0" borderId="0"/>
    <xf numFmtId="0" fontId="57" fillId="0" borderId="0"/>
    <xf numFmtId="0" fontId="59" fillId="0" borderId="0"/>
    <xf numFmtId="0" fontId="8" fillId="0" borderId="0"/>
    <xf numFmtId="0" fontId="8" fillId="0" borderId="0"/>
    <xf numFmtId="0" fontId="8" fillId="0" borderId="0"/>
    <xf numFmtId="0" fontId="8" fillId="0" borderId="0"/>
    <xf numFmtId="0" fontId="59" fillId="0" borderId="0"/>
    <xf numFmtId="0" fontId="59" fillId="0" borderId="0"/>
    <xf numFmtId="0" fontId="8" fillId="0" borderId="0"/>
    <xf numFmtId="0" fontId="8" fillId="0" borderId="0"/>
    <xf numFmtId="0" fontId="8" fillId="0" borderId="0"/>
    <xf numFmtId="0" fontId="8" fillId="0" borderId="0"/>
    <xf numFmtId="0" fontId="59" fillId="0" borderId="0"/>
    <xf numFmtId="0" fontId="59" fillId="0" borderId="0"/>
    <xf numFmtId="0" fontId="8" fillId="0" borderId="0"/>
    <xf numFmtId="0" fontId="8" fillId="0" borderId="0"/>
    <xf numFmtId="0" fontId="8" fillId="0" borderId="0"/>
    <xf numFmtId="0" fontId="8" fillId="0" borderId="0"/>
    <xf numFmtId="0" fontId="59" fillId="0" borderId="0"/>
    <xf numFmtId="0" fontId="59" fillId="0" borderId="0"/>
    <xf numFmtId="0" fontId="8" fillId="0" borderId="0"/>
    <xf numFmtId="0" fontId="8" fillId="0" borderId="0"/>
    <xf numFmtId="0" fontId="8" fillId="0" borderId="0"/>
    <xf numFmtId="0" fontId="8" fillId="0" borderId="0"/>
    <xf numFmtId="0" fontId="59" fillId="0" borderId="0"/>
    <xf numFmtId="0" fontId="59" fillId="0" borderId="0"/>
    <xf numFmtId="0" fontId="8" fillId="0" borderId="0"/>
    <xf numFmtId="0" fontId="8" fillId="0" borderId="0"/>
    <xf numFmtId="0" fontId="8" fillId="0" borderId="0"/>
    <xf numFmtId="0" fontId="8" fillId="0" borderId="0"/>
    <xf numFmtId="0" fontId="59" fillId="0" borderId="0"/>
    <xf numFmtId="0" fontId="12" fillId="0" borderId="0"/>
    <xf numFmtId="0" fontId="12" fillId="0" borderId="0"/>
    <xf numFmtId="0" fontId="12" fillId="0" borderId="0"/>
    <xf numFmtId="0" fontId="12" fillId="0" borderId="0"/>
    <xf numFmtId="0" fontId="57" fillId="0" borderId="0"/>
    <xf numFmtId="0" fontId="59" fillId="0" borderId="0"/>
    <xf numFmtId="0" fontId="8" fillId="0" borderId="0"/>
    <xf numFmtId="0" fontId="8" fillId="0" borderId="0"/>
    <xf numFmtId="0" fontId="8" fillId="0" borderId="0"/>
    <xf numFmtId="0" fontId="8" fillId="0" borderId="0"/>
    <xf numFmtId="0" fontId="59" fillId="0" borderId="0"/>
    <xf numFmtId="0" fontId="57" fillId="0" borderId="0"/>
    <xf numFmtId="0" fontId="12" fillId="0" borderId="0"/>
    <xf numFmtId="0" fontId="12" fillId="0" borderId="0"/>
    <xf numFmtId="0" fontId="12" fillId="0" borderId="0"/>
    <xf numFmtId="0" fontId="12" fillId="0" borderId="0"/>
    <xf numFmtId="0" fontId="57" fillId="0" borderId="0"/>
    <xf numFmtId="0" fontId="57" fillId="0" borderId="0"/>
    <xf numFmtId="0" fontId="12" fillId="0" borderId="0"/>
    <xf numFmtId="0" fontId="12" fillId="0" borderId="0"/>
    <xf numFmtId="0" fontId="12" fillId="0" borderId="0"/>
    <xf numFmtId="0" fontId="12" fillId="0" borderId="0"/>
    <xf numFmtId="0" fontId="57" fillId="0" borderId="0"/>
    <xf numFmtId="0" fontId="57" fillId="0" borderId="0"/>
    <xf numFmtId="0" fontId="12" fillId="0" borderId="0"/>
    <xf numFmtId="0" fontId="12" fillId="0" borderId="0"/>
    <xf numFmtId="0" fontId="12" fillId="0" borderId="0"/>
    <xf numFmtId="0" fontId="12" fillId="0" borderId="0"/>
    <xf numFmtId="0" fontId="57" fillId="0" borderId="0"/>
    <xf numFmtId="0" fontId="57" fillId="0" borderId="0"/>
    <xf numFmtId="0" fontId="12" fillId="0" borderId="0"/>
    <xf numFmtId="0" fontId="12" fillId="0" borderId="0"/>
    <xf numFmtId="0" fontId="12" fillId="0" borderId="0"/>
    <xf numFmtId="0" fontId="12" fillId="0" borderId="0"/>
    <xf numFmtId="0" fontId="57" fillId="0" borderId="0"/>
    <xf numFmtId="0" fontId="57" fillId="0" borderId="0"/>
    <xf numFmtId="0" fontId="12" fillId="0" borderId="0"/>
    <xf numFmtId="0" fontId="12" fillId="0" borderId="0"/>
    <xf numFmtId="0" fontId="12" fillId="0" borderId="0"/>
    <xf numFmtId="0" fontId="12" fillId="0" borderId="0"/>
    <xf numFmtId="0" fontId="57" fillId="0" borderId="0"/>
    <xf numFmtId="0" fontId="55"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5" fillId="0" borderId="0"/>
    <xf numFmtId="0" fontId="59" fillId="0" borderId="0"/>
    <xf numFmtId="0" fontId="146" fillId="0" borderId="0">
      <protection locked="0"/>
    </xf>
    <xf numFmtId="0" fontId="147" fillId="0" borderId="0">
      <protection locked="0"/>
    </xf>
    <xf numFmtId="0" fontId="147" fillId="0" borderId="0">
      <protection locked="0"/>
    </xf>
    <xf numFmtId="0" fontId="147" fillId="0" borderId="0">
      <protection locked="0"/>
    </xf>
    <xf numFmtId="0" fontId="147" fillId="0" borderId="0">
      <protection locked="0"/>
    </xf>
    <xf numFmtId="0" fontId="146" fillId="0" borderId="0">
      <protection locked="0"/>
    </xf>
    <xf numFmtId="0" fontId="146" fillId="0" borderId="0">
      <protection locked="0"/>
    </xf>
    <xf numFmtId="0" fontId="147" fillId="0" borderId="0">
      <protection locked="0"/>
    </xf>
    <xf numFmtId="0" fontId="147" fillId="0" borderId="0">
      <protection locked="0"/>
    </xf>
    <xf numFmtId="0" fontId="147" fillId="0" borderId="0">
      <protection locked="0"/>
    </xf>
    <xf numFmtId="0" fontId="147" fillId="0" borderId="0">
      <protection locked="0"/>
    </xf>
    <xf numFmtId="0" fontId="146" fillId="0" borderId="0">
      <protection locked="0"/>
    </xf>
    <xf numFmtId="0" fontId="146" fillId="0" borderId="0">
      <protection locked="0"/>
    </xf>
    <xf numFmtId="0" fontId="147" fillId="0" borderId="0">
      <protection locked="0"/>
    </xf>
    <xf numFmtId="0" fontId="147" fillId="0" borderId="0">
      <protection locked="0"/>
    </xf>
    <xf numFmtId="0" fontId="147" fillId="0" borderId="0">
      <protection locked="0"/>
    </xf>
    <xf numFmtId="0" fontId="147" fillId="0" borderId="0">
      <protection locked="0"/>
    </xf>
    <xf numFmtId="0" fontId="146" fillId="0" borderId="0">
      <protection locked="0"/>
    </xf>
    <xf numFmtId="0" fontId="57" fillId="17" borderId="0"/>
    <xf numFmtId="0" fontId="12" fillId="3" borderId="0"/>
    <xf numFmtId="0" fontId="12" fillId="3" borderId="0"/>
    <xf numFmtId="0" fontId="12" fillId="3" borderId="0"/>
    <xf numFmtId="0" fontId="12" fillId="3" borderId="0"/>
    <xf numFmtId="0" fontId="57" fillId="17" borderId="0"/>
    <xf numFmtId="0" fontId="57" fillId="17" borderId="0"/>
    <xf numFmtId="0" fontId="12" fillId="3" borderId="0"/>
    <xf numFmtId="0" fontId="12" fillId="3" borderId="0"/>
    <xf numFmtId="0" fontId="12" fillId="3" borderId="0"/>
    <xf numFmtId="0" fontId="12" fillId="3" borderId="0"/>
    <xf numFmtId="0" fontId="57" fillId="17" borderId="0"/>
    <xf numFmtId="0" fontId="57" fillId="17" borderId="0"/>
    <xf numFmtId="0" fontId="12" fillId="3" borderId="0"/>
    <xf numFmtId="0" fontId="12" fillId="3" borderId="0"/>
    <xf numFmtId="0" fontId="12" fillId="3" borderId="0"/>
    <xf numFmtId="0" fontId="12" fillId="3" borderId="0"/>
    <xf numFmtId="0" fontId="57" fillId="17" borderId="0"/>
    <xf numFmtId="0" fontId="57" fillId="17" borderId="0"/>
    <xf numFmtId="0" fontId="12" fillId="3" borderId="0"/>
    <xf numFmtId="0" fontId="12" fillId="3" borderId="0"/>
    <xf numFmtId="0" fontId="12" fillId="3" borderId="0"/>
    <xf numFmtId="0" fontId="12" fillId="3" borderId="0"/>
    <xf numFmtId="0" fontId="57" fillId="17" borderId="0"/>
    <xf numFmtId="0" fontId="57" fillId="17" borderId="0"/>
    <xf numFmtId="0" fontId="12" fillId="3" borderId="0"/>
    <xf numFmtId="0" fontId="12" fillId="3" borderId="0"/>
    <xf numFmtId="0" fontId="12" fillId="3" borderId="0"/>
    <xf numFmtId="0" fontId="12" fillId="3" borderId="0"/>
    <xf numFmtId="0" fontId="57" fillId="17" borderId="0"/>
    <xf numFmtId="0" fontId="57" fillId="0" borderId="0"/>
    <xf numFmtId="0" fontId="12" fillId="0" borderId="0"/>
    <xf numFmtId="0" fontId="12" fillId="0" borderId="0"/>
    <xf numFmtId="0" fontId="12" fillId="0" borderId="0"/>
    <xf numFmtId="0" fontId="12" fillId="0" borderId="0"/>
    <xf numFmtId="0" fontId="57" fillId="0" borderId="0"/>
    <xf numFmtId="0" fontId="57" fillId="0" borderId="0"/>
    <xf numFmtId="0" fontId="12" fillId="0" borderId="0"/>
    <xf numFmtId="0" fontId="12" fillId="0" borderId="0"/>
    <xf numFmtId="0" fontId="12" fillId="0" borderId="0"/>
    <xf numFmtId="0" fontId="12" fillId="0" borderId="0"/>
    <xf numFmtId="0" fontId="57" fillId="0" borderId="0"/>
    <xf numFmtId="0" fontId="145" fillId="0" borderId="0"/>
    <xf numFmtId="0" fontId="59" fillId="0" borderId="0"/>
    <xf numFmtId="0" fontId="141" fillId="0" borderId="0"/>
    <xf numFmtId="0" fontId="141" fillId="0" borderId="0"/>
    <xf numFmtId="0" fontId="141" fillId="0" borderId="0"/>
    <xf numFmtId="0" fontId="141" fillId="0" borderId="0"/>
    <xf numFmtId="0" fontId="59" fillId="0" borderId="0"/>
    <xf numFmtId="0" fontId="59" fillId="0" borderId="0"/>
    <xf numFmtId="0" fontId="141" fillId="0" borderId="0"/>
    <xf numFmtId="0" fontId="141" fillId="0" borderId="0"/>
    <xf numFmtId="0" fontId="141" fillId="0" borderId="0"/>
    <xf numFmtId="0" fontId="141" fillId="0" borderId="0"/>
    <xf numFmtId="0" fontId="59" fillId="0" borderId="0"/>
    <xf numFmtId="0" fontId="59" fillId="0" borderId="0"/>
    <xf numFmtId="0" fontId="141" fillId="0" borderId="0"/>
    <xf numFmtId="0" fontId="141" fillId="0" borderId="0"/>
    <xf numFmtId="0" fontId="141" fillId="0" borderId="0"/>
    <xf numFmtId="0" fontId="141" fillId="0" borderId="0"/>
    <xf numFmtId="0" fontId="59" fillId="0" borderId="0"/>
    <xf numFmtId="0" fontId="59" fillId="0" borderId="0"/>
    <xf numFmtId="0" fontId="141" fillId="0" borderId="0"/>
    <xf numFmtId="0" fontId="141" fillId="0" borderId="0"/>
    <xf numFmtId="0" fontId="141" fillId="0" borderId="0"/>
    <xf numFmtId="0" fontId="141" fillId="0" borderId="0"/>
    <xf numFmtId="0" fontId="59" fillId="0" borderId="0"/>
    <xf numFmtId="0" fontId="59" fillId="0" borderId="0"/>
    <xf numFmtId="0" fontId="141" fillId="0" borderId="0"/>
    <xf numFmtId="0" fontId="141" fillId="0" borderId="0"/>
    <xf numFmtId="0" fontId="141" fillId="0" borderId="0"/>
    <xf numFmtId="0" fontId="141" fillId="0" borderId="0"/>
    <xf numFmtId="0" fontId="59" fillId="0" borderId="0"/>
    <xf numFmtId="0" fontId="39" fillId="0" borderId="0"/>
    <xf numFmtId="0" fontId="39" fillId="0" borderId="0"/>
    <xf numFmtId="0" fontId="39" fillId="0" borderId="0"/>
    <xf numFmtId="0" fontId="39" fillId="0" borderId="0"/>
    <xf numFmtId="0" fontId="145" fillId="0" borderId="0"/>
    <xf numFmtId="0" fontId="55" fillId="0" borderId="0"/>
    <xf numFmtId="0" fontId="55" fillId="0" borderId="0"/>
    <xf numFmtId="0" fontId="55" fillId="0" borderId="0"/>
    <xf numFmtId="0" fontId="55" fillId="0" borderId="0"/>
    <xf numFmtId="0" fontId="12" fillId="3" borderId="0"/>
    <xf numFmtId="0" fontId="12" fillId="3" borderId="0"/>
    <xf numFmtId="0" fontId="57" fillId="17" borderId="0"/>
    <xf numFmtId="0" fontId="145" fillId="0" borderId="0"/>
    <xf numFmtId="0" fontId="39" fillId="0" borderId="0"/>
    <xf numFmtId="0" fontId="39" fillId="0" borderId="0"/>
    <xf numFmtId="0" fontId="39" fillId="0" borderId="0"/>
    <xf numFmtId="0" fontId="39" fillId="0" borderId="0"/>
    <xf numFmtId="0" fontId="145" fillId="0" borderId="0"/>
    <xf numFmtId="0" fontId="145" fillId="0" borderId="0"/>
    <xf numFmtId="0" fontId="39" fillId="0" borderId="0"/>
    <xf numFmtId="0" fontId="39" fillId="0" borderId="0"/>
    <xf numFmtId="0" fontId="39" fillId="0" borderId="0"/>
    <xf numFmtId="0" fontId="39" fillId="0" borderId="0"/>
    <xf numFmtId="0" fontId="145" fillId="0" borderId="0"/>
    <xf numFmtId="0" fontId="145" fillId="0" borderId="0"/>
    <xf numFmtId="0" fontId="39" fillId="0" borderId="0"/>
    <xf numFmtId="0" fontId="39" fillId="0" borderId="0"/>
    <xf numFmtId="0" fontId="39" fillId="0" borderId="0"/>
    <xf numFmtId="0" fontId="39" fillId="0" borderId="0"/>
    <xf numFmtId="0" fontId="145" fillId="0" borderId="0"/>
    <xf numFmtId="0" fontId="145" fillId="0" borderId="0"/>
    <xf numFmtId="0" fontId="39" fillId="0" borderId="0"/>
    <xf numFmtId="0" fontId="39" fillId="0" borderId="0"/>
    <xf numFmtId="0" fontId="39" fillId="0" borderId="0"/>
    <xf numFmtId="0" fontId="39" fillId="0" borderId="0"/>
    <xf numFmtId="0" fontId="145" fillId="0" borderId="0"/>
    <xf numFmtId="0" fontId="145" fillId="0" borderId="0"/>
    <xf numFmtId="0" fontId="39" fillId="0" borderId="0"/>
    <xf numFmtId="0" fontId="39" fillId="0" borderId="0"/>
    <xf numFmtId="0" fontId="39" fillId="0" borderId="0"/>
    <xf numFmtId="0" fontId="39" fillId="0" borderId="0"/>
    <xf numFmtId="0" fontId="145" fillId="0" borderId="0"/>
    <xf numFmtId="0" fontId="145" fillId="0" borderId="0"/>
    <xf numFmtId="0" fontId="39" fillId="0" borderId="0"/>
    <xf numFmtId="0" fontId="39" fillId="0" borderId="0"/>
    <xf numFmtId="0" fontId="39" fillId="0" borderId="0"/>
    <xf numFmtId="0" fontId="39" fillId="0" borderId="0"/>
    <xf numFmtId="0" fontId="145" fillId="0" borderId="0"/>
    <xf numFmtId="0" fontId="59" fillId="0" borderId="0">
      <protection locked="0"/>
    </xf>
    <xf numFmtId="0" fontId="55"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5" fillId="0" borderId="0"/>
    <xf numFmtId="0" fontId="141" fillId="0" borderId="0">
      <protection locked="0"/>
    </xf>
    <xf numFmtId="0" fontId="141" fillId="0" borderId="0">
      <protection locked="0"/>
    </xf>
    <xf numFmtId="0" fontId="141" fillId="0" borderId="0">
      <protection locked="0"/>
    </xf>
    <xf numFmtId="0" fontId="141" fillId="0" borderId="0">
      <protection locked="0"/>
    </xf>
    <xf numFmtId="0" fontId="59" fillId="0" borderId="0">
      <protection locked="0"/>
    </xf>
    <xf numFmtId="0" fontId="59" fillId="0" borderId="0">
      <protection locked="0"/>
    </xf>
    <xf numFmtId="0" fontId="141" fillId="0" borderId="0">
      <protection locked="0"/>
    </xf>
    <xf numFmtId="0" fontId="141" fillId="0" borderId="0">
      <protection locked="0"/>
    </xf>
    <xf numFmtId="0" fontId="141" fillId="0" borderId="0">
      <protection locked="0"/>
    </xf>
    <xf numFmtId="0" fontId="141" fillId="0" borderId="0">
      <protection locked="0"/>
    </xf>
    <xf numFmtId="0" fontId="59" fillId="0" borderId="0">
      <protection locked="0"/>
    </xf>
    <xf numFmtId="0" fontId="59" fillId="0" borderId="0">
      <protection locked="0"/>
    </xf>
    <xf numFmtId="0" fontId="141" fillId="0" borderId="0">
      <protection locked="0"/>
    </xf>
    <xf numFmtId="0" fontId="141" fillId="0" borderId="0">
      <protection locked="0"/>
    </xf>
    <xf numFmtId="0" fontId="141" fillId="0" borderId="0">
      <protection locked="0"/>
    </xf>
    <xf numFmtId="0" fontId="141" fillId="0" borderId="0">
      <protection locked="0"/>
    </xf>
    <xf numFmtId="0" fontId="59" fillId="0" borderId="0">
      <protection locked="0"/>
    </xf>
    <xf numFmtId="0" fontId="59" fillId="0" borderId="0">
      <protection locked="0"/>
    </xf>
    <xf numFmtId="0" fontId="141" fillId="0" borderId="0">
      <protection locked="0"/>
    </xf>
    <xf numFmtId="0" fontId="141" fillId="0" borderId="0">
      <protection locked="0"/>
    </xf>
    <xf numFmtId="0" fontId="141" fillId="0" borderId="0">
      <protection locked="0"/>
    </xf>
    <xf numFmtId="0" fontId="141" fillId="0" borderId="0">
      <protection locked="0"/>
    </xf>
    <xf numFmtId="0" fontId="59" fillId="0" borderId="0">
      <protection locked="0"/>
    </xf>
    <xf numFmtId="0" fontId="55" fillId="0" borderId="0"/>
    <xf numFmtId="0" fontId="148" fillId="0" borderId="0"/>
    <xf numFmtId="0" fontId="13" fillId="0" borderId="0"/>
    <xf numFmtId="0" fontId="13" fillId="0" borderId="0"/>
    <xf numFmtId="0" fontId="13" fillId="0" borderId="0"/>
    <xf numFmtId="0" fontId="13" fillId="0" borderId="0"/>
    <xf numFmtId="0" fontId="148" fillId="0" borderId="0"/>
    <xf numFmtId="0" fontId="148" fillId="0" borderId="0"/>
    <xf numFmtId="0" fontId="13" fillId="0" borderId="0"/>
    <xf numFmtId="0" fontId="13" fillId="0" borderId="0"/>
    <xf numFmtId="0" fontId="13" fillId="0" borderId="0"/>
    <xf numFmtId="0" fontId="13" fillId="0" borderId="0"/>
    <xf numFmtId="0" fontId="148"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5" fillId="0" borderId="0"/>
    <xf numFmtId="0" fontId="55"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5" fillId="0" borderId="0"/>
    <xf numFmtId="0" fontId="141" fillId="0" borderId="0">
      <protection locked="0"/>
    </xf>
    <xf numFmtId="0" fontId="141" fillId="0" borderId="0">
      <protection locked="0"/>
    </xf>
    <xf numFmtId="0" fontId="141" fillId="0" borderId="0">
      <protection locked="0"/>
    </xf>
    <xf numFmtId="0" fontId="141" fillId="0" borderId="0">
      <protection locked="0"/>
    </xf>
    <xf numFmtId="0" fontId="59" fillId="0" borderId="0">
      <protection locked="0"/>
    </xf>
    <xf numFmtId="0" fontId="145" fillId="0" borderId="0"/>
    <xf numFmtId="0" fontId="149" fillId="0" borderId="0"/>
    <xf numFmtId="0" fontId="150" fillId="0" borderId="0"/>
    <xf numFmtId="0" fontId="150" fillId="0" borderId="0"/>
    <xf numFmtId="0" fontId="150" fillId="0" borderId="0"/>
    <xf numFmtId="0" fontId="150" fillId="0" borderId="0"/>
    <xf numFmtId="0" fontId="149" fillId="0" borderId="0"/>
    <xf numFmtId="0" fontId="149" fillId="0" borderId="0"/>
    <xf numFmtId="0" fontId="150" fillId="0" borderId="0"/>
    <xf numFmtId="0" fontId="150" fillId="0" borderId="0"/>
    <xf numFmtId="0" fontId="150" fillId="0" borderId="0"/>
    <xf numFmtId="0" fontId="150" fillId="0" borderId="0"/>
    <xf numFmtId="0" fontId="149" fillId="0" borderId="0"/>
    <xf numFmtId="0" fontId="39" fillId="0" borderId="0"/>
    <xf numFmtId="0" fontId="39" fillId="0" borderId="0"/>
    <xf numFmtId="0" fontId="39" fillId="0" borderId="0"/>
    <xf numFmtId="0" fontId="39" fillId="0" borderId="0"/>
    <xf numFmtId="0" fontId="145" fillId="0" borderId="0"/>
    <xf numFmtId="0" fontId="151" fillId="0" borderId="0"/>
    <xf numFmtId="0" fontId="152" fillId="0" borderId="0"/>
    <xf numFmtId="0" fontId="152" fillId="0" borderId="0"/>
    <xf numFmtId="0" fontId="152" fillId="0" borderId="0"/>
    <xf numFmtId="0" fontId="152" fillId="0" borderId="0"/>
    <xf numFmtId="0" fontId="151" fillId="0" borderId="0"/>
    <xf numFmtId="0" fontId="151" fillId="0" borderId="0"/>
    <xf numFmtId="0" fontId="152" fillId="0" borderId="0"/>
    <xf numFmtId="0" fontId="152" fillId="0" borderId="0"/>
    <xf numFmtId="0" fontId="152" fillId="0" borderId="0"/>
    <xf numFmtId="0" fontId="152" fillId="0" borderId="0"/>
    <xf numFmtId="0" fontId="151" fillId="0" borderId="0"/>
    <xf numFmtId="0" fontId="151" fillId="0" borderId="0"/>
    <xf numFmtId="0" fontId="152" fillId="0" borderId="0"/>
    <xf numFmtId="0" fontId="152" fillId="0" borderId="0"/>
    <xf numFmtId="0" fontId="152" fillId="0" borderId="0"/>
    <xf numFmtId="0" fontId="152" fillId="0" borderId="0"/>
    <xf numFmtId="0" fontId="151" fillId="0" borderId="0"/>
    <xf numFmtId="0" fontId="151" fillId="0" borderId="0"/>
    <xf numFmtId="0" fontId="152" fillId="0" borderId="0"/>
    <xf numFmtId="0" fontId="152" fillId="0" borderId="0"/>
    <xf numFmtId="0" fontId="152" fillId="0" borderId="0"/>
    <xf numFmtId="0" fontId="152" fillId="0" borderId="0"/>
    <xf numFmtId="0" fontId="151" fillId="0" borderId="0"/>
    <xf numFmtId="0" fontId="151" fillId="0" borderId="0"/>
    <xf numFmtId="0" fontId="152" fillId="0" borderId="0"/>
    <xf numFmtId="0" fontId="152" fillId="0" borderId="0"/>
    <xf numFmtId="0" fontId="152" fillId="0" borderId="0"/>
    <xf numFmtId="0" fontId="152" fillId="0" borderId="0"/>
    <xf numFmtId="0" fontId="151" fillId="0" borderId="0"/>
    <xf numFmtId="0" fontId="55"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5" fillId="0" borderId="0"/>
    <xf numFmtId="0" fontId="149" fillId="0" borderId="0"/>
    <xf numFmtId="0" fontId="150" fillId="0" borderId="0"/>
    <xf numFmtId="0" fontId="150" fillId="0" borderId="0"/>
    <xf numFmtId="0" fontId="150" fillId="0" borderId="0"/>
    <xf numFmtId="0" fontId="150" fillId="0" borderId="0"/>
    <xf numFmtId="0" fontId="149" fillId="0" borderId="0"/>
    <xf numFmtId="0" fontId="149" fillId="0" borderId="0"/>
    <xf numFmtId="0" fontId="150" fillId="0" borderId="0"/>
    <xf numFmtId="0" fontId="150" fillId="0" borderId="0"/>
    <xf numFmtId="0" fontId="150" fillId="0" borderId="0"/>
    <xf numFmtId="0" fontId="150" fillId="0" borderId="0"/>
    <xf numFmtId="0" fontId="149" fillId="0" borderId="0"/>
    <xf numFmtId="0" fontId="145" fillId="0" borderId="0"/>
    <xf numFmtId="0" fontId="59" fillId="0" borderId="0">
      <protection locked="0"/>
    </xf>
    <xf numFmtId="0" fontId="141" fillId="0" borderId="0">
      <protection locked="0"/>
    </xf>
    <xf numFmtId="0" fontId="141" fillId="0" borderId="0">
      <protection locked="0"/>
    </xf>
    <xf numFmtId="0" fontId="141" fillId="0" borderId="0">
      <protection locked="0"/>
    </xf>
    <xf numFmtId="0" fontId="141" fillId="0" borderId="0">
      <protection locked="0"/>
    </xf>
    <xf numFmtId="0" fontId="59" fillId="0" borderId="0">
      <protection locked="0"/>
    </xf>
    <xf numFmtId="0" fontId="39" fillId="0" borderId="0"/>
    <xf numFmtId="0" fontId="39" fillId="0" borderId="0"/>
    <xf numFmtId="0" fontId="39" fillId="0" borderId="0"/>
    <xf numFmtId="0" fontId="39" fillId="0" borderId="0"/>
    <xf numFmtId="0" fontId="145" fillId="0" borderId="0"/>
    <xf numFmtId="0" fontId="142" fillId="0" borderId="0"/>
    <xf numFmtId="0" fontId="143" fillId="0" borderId="0"/>
    <xf numFmtId="0" fontId="143" fillId="0" borderId="0"/>
    <xf numFmtId="0" fontId="143" fillId="0" borderId="0"/>
    <xf numFmtId="0" fontId="143" fillId="0" borderId="0"/>
    <xf numFmtId="0" fontId="142" fillId="0" borderId="0"/>
    <xf numFmtId="0" fontId="142" fillId="0" borderId="0"/>
    <xf numFmtId="0" fontId="143" fillId="0" borderId="0"/>
    <xf numFmtId="0" fontId="143" fillId="0" borderId="0"/>
    <xf numFmtId="0" fontId="143" fillId="0" borderId="0"/>
    <xf numFmtId="0" fontId="143" fillId="0" borderId="0"/>
    <xf numFmtId="0" fontId="142" fillId="0" borderId="0"/>
    <xf numFmtId="0" fontId="142" fillId="0" borderId="0"/>
    <xf numFmtId="0" fontId="143" fillId="0" borderId="0"/>
    <xf numFmtId="0" fontId="143" fillId="0" borderId="0"/>
    <xf numFmtId="0" fontId="143" fillId="0" borderId="0"/>
    <xf numFmtId="0" fontId="143" fillId="0" borderId="0"/>
    <xf numFmtId="0" fontId="142" fillId="0" borderId="0"/>
    <xf numFmtId="0" fontId="142" fillId="0" borderId="0"/>
    <xf numFmtId="0" fontId="143" fillId="0" borderId="0"/>
    <xf numFmtId="0" fontId="143" fillId="0" borderId="0"/>
    <xf numFmtId="0" fontId="143" fillId="0" borderId="0"/>
    <xf numFmtId="0" fontId="143" fillId="0" borderId="0"/>
    <xf numFmtId="0" fontId="142" fillId="0" borderId="0"/>
    <xf numFmtId="0" fontId="142" fillId="0" borderId="0"/>
    <xf numFmtId="0" fontId="143" fillId="0" borderId="0"/>
    <xf numFmtId="0" fontId="143" fillId="0" borderId="0"/>
    <xf numFmtId="0" fontId="143" fillId="0" borderId="0"/>
    <xf numFmtId="0" fontId="143" fillId="0" borderId="0"/>
    <xf numFmtId="0" fontId="142" fillId="0" borderId="0"/>
    <xf numFmtId="0" fontId="59" fillId="0" borderId="0">
      <protection locked="0"/>
    </xf>
    <xf numFmtId="0" fontId="141" fillId="0" borderId="0">
      <protection locked="0"/>
    </xf>
    <xf numFmtId="0" fontId="141" fillId="0" borderId="0">
      <protection locked="0"/>
    </xf>
    <xf numFmtId="0" fontId="141" fillId="0" borderId="0">
      <protection locked="0"/>
    </xf>
    <xf numFmtId="0" fontId="141" fillId="0" borderId="0">
      <protection locked="0"/>
    </xf>
    <xf numFmtId="0" fontId="59" fillId="0" borderId="0">
      <protection locked="0"/>
    </xf>
    <xf numFmtId="0" fontId="59" fillId="0" borderId="0">
      <protection locked="0"/>
    </xf>
    <xf numFmtId="0" fontId="141" fillId="0" borderId="0">
      <protection locked="0"/>
    </xf>
    <xf numFmtId="0" fontId="141" fillId="0" borderId="0">
      <protection locked="0"/>
    </xf>
    <xf numFmtId="0" fontId="141" fillId="0" borderId="0">
      <protection locked="0"/>
    </xf>
    <xf numFmtId="0" fontId="141" fillId="0" borderId="0">
      <protection locked="0"/>
    </xf>
    <xf numFmtId="0" fontId="59" fillId="0" borderId="0">
      <protection locked="0"/>
    </xf>
    <xf numFmtId="0" fontId="59" fillId="0" borderId="0">
      <protection locked="0"/>
    </xf>
    <xf numFmtId="0" fontId="141" fillId="0" borderId="0">
      <protection locked="0"/>
    </xf>
    <xf numFmtId="0" fontId="141" fillId="0" borderId="0">
      <protection locked="0"/>
    </xf>
    <xf numFmtId="0" fontId="141" fillId="0" borderId="0">
      <protection locked="0"/>
    </xf>
    <xf numFmtId="0" fontId="141" fillId="0" borderId="0">
      <protection locked="0"/>
    </xf>
    <xf numFmtId="0" fontId="59" fillId="0" borderId="0">
      <protection locked="0"/>
    </xf>
    <xf numFmtId="0" fontId="145" fillId="0" borderId="0"/>
    <xf numFmtId="0" fontId="39" fillId="0" borderId="0"/>
    <xf numFmtId="0" fontId="39" fillId="0" borderId="0"/>
    <xf numFmtId="0" fontId="39" fillId="0" borderId="0"/>
    <xf numFmtId="0" fontId="39" fillId="0" borderId="0"/>
    <xf numFmtId="0" fontId="145" fillId="0" borderId="0"/>
    <xf numFmtId="0" fontId="59" fillId="0" borderId="0">
      <protection locked="0"/>
    </xf>
    <xf numFmtId="0" fontId="141" fillId="0" borderId="0">
      <protection locked="0"/>
    </xf>
    <xf numFmtId="0" fontId="141" fillId="0" borderId="0">
      <protection locked="0"/>
    </xf>
    <xf numFmtId="0" fontId="141" fillId="0" borderId="0">
      <protection locked="0"/>
    </xf>
    <xf numFmtId="0" fontId="141" fillId="0" borderId="0">
      <protection locked="0"/>
    </xf>
    <xf numFmtId="0" fontId="59" fillId="0" borderId="0">
      <protection locked="0"/>
    </xf>
    <xf numFmtId="0" fontId="59" fillId="0" borderId="0">
      <protection locked="0"/>
    </xf>
    <xf numFmtId="0" fontId="141" fillId="0" borderId="0">
      <protection locked="0"/>
    </xf>
    <xf numFmtId="0" fontId="141" fillId="0" borderId="0">
      <protection locked="0"/>
    </xf>
    <xf numFmtId="0" fontId="141" fillId="0" borderId="0">
      <protection locked="0"/>
    </xf>
    <xf numFmtId="0" fontId="141" fillId="0" borderId="0">
      <protection locked="0"/>
    </xf>
    <xf numFmtId="0" fontId="59" fillId="0" borderId="0">
      <protection locked="0"/>
    </xf>
    <xf numFmtId="0" fontId="59" fillId="0" borderId="0">
      <protection locked="0"/>
    </xf>
    <xf numFmtId="0" fontId="141" fillId="0" borderId="0">
      <protection locked="0"/>
    </xf>
    <xf numFmtId="0" fontId="141" fillId="0" borderId="0">
      <protection locked="0"/>
    </xf>
    <xf numFmtId="0" fontId="141" fillId="0" borderId="0">
      <protection locked="0"/>
    </xf>
    <xf numFmtId="0" fontId="141" fillId="0" borderId="0">
      <protection locked="0"/>
    </xf>
    <xf numFmtId="0" fontId="59" fillId="0" borderId="0">
      <protection locked="0"/>
    </xf>
    <xf numFmtId="0" fontId="59" fillId="0" borderId="0">
      <protection locked="0"/>
    </xf>
    <xf numFmtId="0" fontId="141" fillId="0" borderId="0">
      <protection locked="0"/>
    </xf>
    <xf numFmtId="0" fontId="141" fillId="0" borderId="0">
      <protection locked="0"/>
    </xf>
    <xf numFmtId="0" fontId="141" fillId="0" borderId="0">
      <protection locked="0"/>
    </xf>
    <xf numFmtId="0" fontId="141" fillId="0" borderId="0">
      <protection locked="0"/>
    </xf>
    <xf numFmtId="0" fontId="59" fillId="0" borderId="0">
      <protection locked="0"/>
    </xf>
    <xf numFmtId="0" fontId="59" fillId="0" borderId="0">
      <protection locked="0"/>
    </xf>
    <xf numFmtId="0" fontId="141" fillId="0" borderId="0">
      <protection locked="0"/>
    </xf>
    <xf numFmtId="0" fontId="141" fillId="0" borderId="0">
      <protection locked="0"/>
    </xf>
    <xf numFmtId="0" fontId="141" fillId="0" borderId="0">
      <protection locked="0"/>
    </xf>
    <xf numFmtId="0" fontId="141" fillId="0" borderId="0">
      <protection locked="0"/>
    </xf>
    <xf numFmtId="0" fontId="59" fillId="0" borderId="0">
      <protection locked="0"/>
    </xf>
    <xf numFmtId="0" fontId="145" fillId="0" borderId="0"/>
    <xf numFmtId="0" fontId="39" fillId="0" borderId="0"/>
    <xf numFmtId="0" fontId="39" fillId="0" borderId="0"/>
    <xf numFmtId="0" fontId="39" fillId="0" borderId="0"/>
    <xf numFmtId="0" fontId="39" fillId="0" borderId="0"/>
    <xf numFmtId="0" fontId="145" fillId="0" borderId="0"/>
    <xf numFmtId="0" fontId="59" fillId="0" borderId="0">
      <protection locked="0"/>
    </xf>
    <xf numFmtId="0" fontId="141" fillId="0" borderId="0">
      <protection locked="0"/>
    </xf>
    <xf numFmtId="0" fontId="141" fillId="0" borderId="0">
      <protection locked="0"/>
    </xf>
    <xf numFmtId="0" fontId="141" fillId="0" borderId="0">
      <protection locked="0"/>
    </xf>
    <xf numFmtId="0" fontId="141" fillId="0" borderId="0">
      <protection locked="0"/>
    </xf>
    <xf numFmtId="0" fontId="59" fillId="0" borderId="0">
      <protection locked="0"/>
    </xf>
    <xf numFmtId="0" fontId="59" fillId="0" borderId="0">
      <protection locked="0"/>
    </xf>
    <xf numFmtId="0" fontId="141" fillId="0" borderId="0">
      <protection locked="0"/>
    </xf>
    <xf numFmtId="0" fontId="141" fillId="0" borderId="0">
      <protection locked="0"/>
    </xf>
    <xf numFmtId="0" fontId="141" fillId="0" borderId="0">
      <protection locked="0"/>
    </xf>
    <xf numFmtId="0" fontId="141" fillId="0" borderId="0">
      <protection locked="0"/>
    </xf>
    <xf numFmtId="0" fontId="59" fillId="0" borderId="0">
      <protection locked="0"/>
    </xf>
    <xf numFmtId="0" fontId="59" fillId="0" borderId="0">
      <protection locked="0"/>
    </xf>
    <xf numFmtId="0" fontId="141" fillId="0" borderId="0">
      <protection locked="0"/>
    </xf>
    <xf numFmtId="0" fontId="141" fillId="0" borderId="0">
      <protection locked="0"/>
    </xf>
    <xf numFmtId="0" fontId="141" fillId="0" borderId="0">
      <protection locked="0"/>
    </xf>
    <xf numFmtId="0" fontId="141" fillId="0" borderId="0">
      <protection locked="0"/>
    </xf>
    <xf numFmtId="0" fontId="59" fillId="0" borderId="0">
      <protection locked="0"/>
    </xf>
    <xf numFmtId="0" fontId="59" fillId="0" borderId="0">
      <protection locked="0"/>
    </xf>
    <xf numFmtId="0" fontId="141" fillId="0" borderId="0">
      <protection locked="0"/>
    </xf>
    <xf numFmtId="0" fontId="141" fillId="0" borderId="0">
      <protection locked="0"/>
    </xf>
    <xf numFmtId="0" fontId="141" fillId="0" borderId="0">
      <protection locked="0"/>
    </xf>
    <xf numFmtId="0" fontId="141" fillId="0" borderId="0">
      <protection locked="0"/>
    </xf>
    <xf numFmtId="0" fontId="59" fillId="0" borderId="0">
      <protection locked="0"/>
    </xf>
    <xf numFmtId="0" fontId="14" fillId="0" borderId="0"/>
    <xf numFmtId="0" fontId="14" fillId="0" borderId="0"/>
    <xf numFmtId="0" fontId="14" fillId="0" borderId="0"/>
    <xf numFmtId="0" fontId="14" fillId="0" borderId="0"/>
    <xf numFmtId="0" fontId="70" fillId="0" borderId="0"/>
    <xf numFmtId="0" fontId="145" fillId="0" borderId="0"/>
    <xf numFmtId="0" fontId="142" fillId="0" borderId="0"/>
    <xf numFmtId="0" fontId="143" fillId="0" borderId="0"/>
    <xf numFmtId="0" fontId="143" fillId="0" borderId="0"/>
    <xf numFmtId="0" fontId="143" fillId="0" borderId="0"/>
    <xf numFmtId="0" fontId="143" fillId="0" borderId="0"/>
    <xf numFmtId="0" fontId="142" fillId="0" borderId="0"/>
    <xf numFmtId="0" fontId="59" fillId="0" borderId="0">
      <protection locked="0"/>
    </xf>
    <xf numFmtId="0" fontId="141" fillId="0" borderId="0">
      <protection locked="0"/>
    </xf>
    <xf numFmtId="0" fontId="141" fillId="0" borderId="0">
      <protection locked="0"/>
    </xf>
    <xf numFmtId="0" fontId="141" fillId="0" borderId="0">
      <protection locked="0"/>
    </xf>
    <xf numFmtId="0" fontId="141" fillId="0" borderId="0">
      <protection locked="0"/>
    </xf>
    <xf numFmtId="0" fontId="59" fillId="0" borderId="0">
      <protection locked="0"/>
    </xf>
    <xf numFmtId="0" fontId="59" fillId="0" borderId="0">
      <protection locked="0"/>
    </xf>
    <xf numFmtId="0" fontId="141" fillId="0" borderId="0">
      <protection locked="0"/>
    </xf>
    <xf numFmtId="0" fontId="141" fillId="0" borderId="0">
      <protection locked="0"/>
    </xf>
    <xf numFmtId="0" fontId="141" fillId="0" borderId="0">
      <protection locked="0"/>
    </xf>
    <xf numFmtId="0" fontId="141" fillId="0" borderId="0">
      <protection locked="0"/>
    </xf>
    <xf numFmtId="0" fontId="59" fillId="0" borderId="0">
      <protection locked="0"/>
    </xf>
    <xf numFmtId="0" fontId="59" fillId="0" borderId="0">
      <protection locked="0"/>
    </xf>
    <xf numFmtId="0" fontId="141" fillId="0" borderId="0">
      <protection locked="0"/>
    </xf>
    <xf numFmtId="0" fontId="141" fillId="0" borderId="0">
      <protection locked="0"/>
    </xf>
    <xf numFmtId="0" fontId="141" fillId="0" borderId="0">
      <protection locked="0"/>
    </xf>
    <xf numFmtId="0" fontId="141" fillId="0" borderId="0">
      <protection locked="0"/>
    </xf>
    <xf numFmtId="0" fontId="59" fillId="0" borderId="0">
      <protection locked="0"/>
    </xf>
    <xf numFmtId="0" fontId="59" fillId="0" borderId="0">
      <protection locked="0"/>
    </xf>
    <xf numFmtId="0" fontId="141" fillId="0" borderId="0">
      <protection locked="0"/>
    </xf>
    <xf numFmtId="0" fontId="141" fillId="0" borderId="0">
      <protection locked="0"/>
    </xf>
    <xf numFmtId="0" fontId="141" fillId="0" borderId="0">
      <protection locked="0"/>
    </xf>
    <xf numFmtId="0" fontId="141" fillId="0" borderId="0">
      <protection locked="0"/>
    </xf>
    <xf numFmtId="0" fontId="59" fillId="0" borderId="0">
      <protection locked="0"/>
    </xf>
    <xf numFmtId="0" fontId="39" fillId="0" borderId="0"/>
    <xf numFmtId="0" fontId="39" fillId="0" borderId="0"/>
    <xf numFmtId="0" fontId="39" fillId="0" borderId="0"/>
    <xf numFmtId="0" fontId="39" fillId="0" borderId="0"/>
    <xf numFmtId="0" fontId="145" fillId="0" borderId="0"/>
    <xf numFmtId="0" fontId="148" fillId="0" borderId="0"/>
    <xf numFmtId="0" fontId="13" fillId="0" borderId="0"/>
    <xf numFmtId="0" fontId="13" fillId="0" borderId="0"/>
    <xf numFmtId="0" fontId="13" fillId="0" borderId="0"/>
    <xf numFmtId="0" fontId="13" fillId="0" borderId="0"/>
    <xf numFmtId="0" fontId="148" fillId="0" borderId="0"/>
    <xf numFmtId="0" fontId="142" fillId="0" borderId="0"/>
    <xf numFmtId="0" fontId="143" fillId="0" borderId="0"/>
    <xf numFmtId="0" fontId="143" fillId="0" borderId="0"/>
    <xf numFmtId="0" fontId="143" fillId="0" borderId="0"/>
    <xf numFmtId="0" fontId="143" fillId="0" borderId="0"/>
    <xf numFmtId="0" fontId="142" fillId="0" borderId="0"/>
    <xf numFmtId="0" fontId="55" fillId="0" borderId="0"/>
    <xf numFmtId="0" fontId="140" fillId="0" borderId="0"/>
    <xf numFmtId="0" fontId="140" fillId="0" borderId="0"/>
    <xf numFmtId="0" fontId="140" fillId="0" borderId="0"/>
    <xf numFmtId="0" fontId="140" fillId="0" borderId="0"/>
    <xf numFmtId="0" fontId="55" fillId="0" borderId="0"/>
    <xf numFmtId="0" fontId="142" fillId="0" borderId="0"/>
    <xf numFmtId="0" fontId="143" fillId="0" borderId="0"/>
    <xf numFmtId="0" fontId="143" fillId="0" borderId="0"/>
    <xf numFmtId="0" fontId="143" fillId="0" borderId="0"/>
    <xf numFmtId="0" fontId="143" fillId="0" borderId="0"/>
    <xf numFmtId="0" fontId="142" fillId="0" borderId="0"/>
    <xf numFmtId="0" fontId="142" fillId="0" borderId="0"/>
    <xf numFmtId="0" fontId="143" fillId="0" borderId="0"/>
    <xf numFmtId="0" fontId="143" fillId="0" borderId="0"/>
    <xf numFmtId="0" fontId="143" fillId="0" borderId="0"/>
    <xf numFmtId="0" fontId="143" fillId="0" borderId="0"/>
    <xf numFmtId="0" fontId="142" fillId="0" borderId="0"/>
    <xf numFmtId="0" fontId="142" fillId="0" borderId="0"/>
    <xf numFmtId="0" fontId="143" fillId="0" borderId="0"/>
    <xf numFmtId="0" fontId="143" fillId="0" borderId="0"/>
    <xf numFmtId="0" fontId="143" fillId="0" borderId="0"/>
    <xf numFmtId="0" fontId="143" fillId="0" borderId="0"/>
    <xf numFmtId="0" fontId="142" fillId="0" borderId="0"/>
    <xf numFmtId="0" fontId="142" fillId="0" borderId="0"/>
    <xf numFmtId="0" fontId="143" fillId="0" borderId="0"/>
    <xf numFmtId="0" fontId="143" fillId="0" borderId="0"/>
    <xf numFmtId="0" fontId="143" fillId="0" borderId="0"/>
    <xf numFmtId="0" fontId="143" fillId="0" borderId="0"/>
    <xf numFmtId="0" fontId="142" fillId="0" borderId="0"/>
    <xf numFmtId="0" fontId="59" fillId="0" borderId="0">
      <protection locked="0"/>
    </xf>
    <xf numFmtId="0" fontId="141" fillId="0" borderId="0">
      <protection locked="0"/>
    </xf>
    <xf numFmtId="0" fontId="141" fillId="0" borderId="0">
      <protection locked="0"/>
    </xf>
    <xf numFmtId="0" fontId="141" fillId="0" borderId="0">
      <protection locked="0"/>
    </xf>
    <xf numFmtId="0" fontId="141" fillId="0" borderId="0">
      <protection locked="0"/>
    </xf>
    <xf numFmtId="0" fontId="59" fillId="0" borderId="0">
      <protection locked="0"/>
    </xf>
    <xf numFmtId="0" fontId="59" fillId="0" borderId="0">
      <protection locked="0"/>
    </xf>
    <xf numFmtId="0" fontId="141" fillId="0" borderId="0">
      <protection locked="0"/>
    </xf>
    <xf numFmtId="0" fontId="141" fillId="0" borderId="0">
      <protection locked="0"/>
    </xf>
    <xf numFmtId="0" fontId="141" fillId="0" borderId="0">
      <protection locked="0"/>
    </xf>
    <xf numFmtId="0" fontId="141" fillId="0" borderId="0">
      <protection locked="0"/>
    </xf>
    <xf numFmtId="0" fontId="59" fillId="0" borderId="0">
      <protection locked="0"/>
    </xf>
    <xf numFmtId="0" fontId="39" fillId="0" borderId="0"/>
    <xf numFmtId="0" fontId="39" fillId="0" borderId="0"/>
    <xf numFmtId="0" fontId="39" fillId="0" borderId="0"/>
    <xf numFmtId="0" fontId="39" fillId="0" borderId="0"/>
    <xf numFmtId="0" fontId="145" fillId="0" borderId="0"/>
    <xf numFmtId="0" fontId="55" fillId="0" borderId="0"/>
    <xf numFmtId="0" fontId="59" fillId="0" borderId="0">
      <protection locked="0"/>
    </xf>
    <xf numFmtId="0" fontId="141" fillId="0" borderId="0">
      <protection locked="0"/>
    </xf>
    <xf numFmtId="0" fontId="141" fillId="0" borderId="0">
      <protection locked="0"/>
    </xf>
    <xf numFmtId="0" fontId="141" fillId="0" borderId="0">
      <protection locked="0"/>
    </xf>
    <xf numFmtId="0" fontId="141" fillId="0" borderId="0">
      <protection locked="0"/>
    </xf>
    <xf numFmtId="0" fontId="59" fillId="0" borderId="0">
      <protection locked="0"/>
    </xf>
    <xf numFmtId="0" fontId="59" fillId="0" borderId="0">
      <protection locked="0"/>
    </xf>
    <xf numFmtId="0" fontId="141" fillId="0" borderId="0">
      <protection locked="0"/>
    </xf>
    <xf numFmtId="0" fontId="141" fillId="0" borderId="0">
      <protection locked="0"/>
    </xf>
    <xf numFmtId="0" fontId="141" fillId="0" borderId="0">
      <protection locked="0"/>
    </xf>
    <xf numFmtId="0" fontId="141" fillId="0" borderId="0">
      <protection locked="0"/>
    </xf>
    <xf numFmtId="0" fontId="59" fillId="0" borderId="0">
      <protection locked="0"/>
    </xf>
    <xf numFmtId="0" fontId="59" fillId="0" borderId="0">
      <protection locked="0"/>
    </xf>
    <xf numFmtId="0" fontId="141" fillId="0" borderId="0">
      <protection locked="0"/>
    </xf>
    <xf numFmtId="0" fontId="141" fillId="0" borderId="0">
      <protection locked="0"/>
    </xf>
    <xf numFmtId="0" fontId="141" fillId="0" borderId="0">
      <protection locked="0"/>
    </xf>
    <xf numFmtId="0" fontId="141" fillId="0" borderId="0">
      <protection locked="0"/>
    </xf>
    <xf numFmtId="0" fontId="59" fillId="0" borderId="0">
      <protection locked="0"/>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5" fillId="0" borderId="0"/>
    <xf numFmtId="0" fontId="59" fillId="0" borderId="0"/>
    <xf numFmtId="0" fontId="8" fillId="0" borderId="0"/>
    <xf numFmtId="0" fontId="8" fillId="0" borderId="0"/>
    <xf numFmtId="0" fontId="8" fillId="0" borderId="0"/>
    <xf numFmtId="0" fontId="8" fillId="0" borderId="0"/>
    <xf numFmtId="0" fontId="59" fillId="0" borderId="0"/>
    <xf numFmtId="0" fontId="59" fillId="0" borderId="0"/>
    <xf numFmtId="0" fontId="8" fillId="0" borderId="0"/>
    <xf numFmtId="0" fontId="8" fillId="0" borderId="0"/>
    <xf numFmtId="0" fontId="8" fillId="0" borderId="0"/>
    <xf numFmtId="0" fontId="8" fillId="0" borderId="0"/>
    <xf numFmtId="0" fontId="59" fillId="0" borderId="0"/>
    <xf numFmtId="0" fontId="55"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5" fillId="0" borderId="0"/>
    <xf numFmtId="0" fontId="59" fillId="0" borderId="0"/>
    <xf numFmtId="0" fontId="8" fillId="0" borderId="0"/>
    <xf numFmtId="0" fontId="8" fillId="0" borderId="0"/>
    <xf numFmtId="0" fontId="8" fillId="0" borderId="0"/>
    <xf numFmtId="0" fontId="8" fillId="0" borderId="0"/>
    <xf numFmtId="0" fontId="59" fillId="0" borderId="0"/>
    <xf numFmtId="0" fontId="59" fillId="0" borderId="0"/>
    <xf numFmtId="0" fontId="8" fillId="0" borderId="0"/>
    <xf numFmtId="0" fontId="8" fillId="0" borderId="0"/>
    <xf numFmtId="0" fontId="8" fillId="0" borderId="0"/>
    <xf numFmtId="0" fontId="8" fillId="0" borderId="0"/>
    <xf numFmtId="0" fontId="59" fillId="0" borderId="0"/>
    <xf numFmtId="0" fontId="59" fillId="0" borderId="0"/>
    <xf numFmtId="0" fontId="8" fillId="0" borderId="0"/>
    <xf numFmtId="0" fontId="8" fillId="0" borderId="0"/>
    <xf numFmtId="0" fontId="8" fillId="0" borderId="0"/>
    <xf numFmtId="0" fontId="8" fillId="0" borderId="0"/>
    <xf numFmtId="0" fontId="59" fillId="0" borderId="0"/>
    <xf numFmtId="0" fontId="59" fillId="0" borderId="0"/>
    <xf numFmtId="0" fontId="8" fillId="0" borderId="0"/>
    <xf numFmtId="0" fontId="8" fillId="0" borderId="0"/>
    <xf numFmtId="0" fontId="8" fillId="0" borderId="0"/>
    <xf numFmtId="0" fontId="8" fillId="0" borderId="0"/>
    <xf numFmtId="0" fontId="59" fillId="0" borderId="0"/>
    <xf numFmtId="0" fontId="59" fillId="0" borderId="0">
      <protection locked="0"/>
    </xf>
    <xf numFmtId="0" fontId="141" fillId="0" borderId="0">
      <protection locked="0"/>
    </xf>
    <xf numFmtId="0" fontId="141" fillId="0" borderId="0">
      <protection locked="0"/>
    </xf>
    <xf numFmtId="0" fontId="141" fillId="0" borderId="0">
      <protection locked="0"/>
    </xf>
    <xf numFmtId="0" fontId="141" fillId="0" borderId="0">
      <protection locked="0"/>
    </xf>
    <xf numFmtId="0" fontId="59" fillId="0" borderId="0">
      <protection locked="0"/>
    </xf>
    <xf numFmtId="0" fontId="59" fillId="0" borderId="0"/>
    <xf numFmtId="0" fontId="55"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5" fillId="0" borderId="0"/>
    <xf numFmtId="0" fontId="55"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5" fillId="0" borderId="0"/>
    <xf numFmtId="0" fontId="55"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5" fillId="0" borderId="0"/>
    <xf numFmtId="0" fontId="55"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5" fillId="0" borderId="0"/>
    <xf numFmtId="0" fontId="145" fillId="0" borderId="0"/>
    <xf numFmtId="0" fontId="39" fillId="0" borderId="0"/>
    <xf numFmtId="0" fontId="39" fillId="0" borderId="0"/>
    <xf numFmtId="0" fontId="39" fillId="0" borderId="0"/>
    <xf numFmtId="0" fontId="39" fillId="0" borderId="0"/>
    <xf numFmtId="0" fontId="145" fillId="0" borderId="0"/>
    <xf numFmtId="0" fontId="59" fillId="0" borderId="0">
      <protection locked="0"/>
    </xf>
    <xf numFmtId="0" fontId="141" fillId="0" borderId="0">
      <protection locked="0"/>
    </xf>
    <xf numFmtId="0" fontId="141" fillId="0" borderId="0">
      <protection locked="0"/>
    </xf>
    <xf numFmtId="0" fontId="141" fillId="0" borderId="0">
      <protection locked="0"/>
    </xf>
    <xf numFmtId="0" fontId="141" fillId="0" borderId="0">
      <protection locked="0"/>
    </xf>
    <xf numFmtId="0" fontId="59" fillId="0" borderId="0">
      <protection locked="0"/>
    </xf>
    <xf numFmtId="0" fontId="59" fillId="0" borderId="0">
      <protection locked="0"/>
    </xf>
    <xf numFmtId="0" fontId="141" fillId="0" borderId="0">
      <protection locked="0"/>
    </xf>
    <xf numFmtId="0" fontId="141" fillId="0" borderId="0">
      <protection locked="0"/>
    </xf>
    <xf numFmtId="0" fontId="141" fillId="0" borderId="0">
      <protection locked="0"/>
    </xf>
    <xf numFmtId="0" fontId="141" fillId="0" borderId="0">
      <protection locked="0"/>
    </xf>
    <xf numFmtId="0" fontId="59" fillId="0" borderId="0">
      <protection locked="0"/>
    </xf>
    <xf numFmtId="0" fontId="63"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63" fillId="0" borderId="0">
      <alignment vertical="center"/>
    </xf>
    <xf numFmtId="0" fontId="12" fillId="0" borderId="0"/>
    <xf numFmtId="0" fontId="12" fillId="0" borderId="0"/>
    <xf numFmtId="0" fontId="12" fillId="0" borderId="0"/>
    <xf numFmtId="0" fontId="12" fillId="0" borderId="0"/>
    <xf numFmtId="0" fontId="57" fillId="0" borderId="0"/>
    <xf numFmtId="0" fontId="136" fillId="0" borderId="0"/>
    <xf numFmtId="0" fontId="26" fillId="0" borderId="0"/>
    <xf numFmtId="0" fontId="26" fillId="0" borderId="0"/>
    <xf numFmtId="0" fontId="26" fillId="0" borderId="0"/>
    <xf numFmtId="0" fontId="26" fillId="0" borderId="0"/>
    <xf numFmtId="0" fontId="136" fillId="0" borderId="0"/>
    <xf numFmtId="0" fontId="136" fillId="0" borderId="0"/>
    <xf numFmtId="0" fontId="26" fillId="0" borderId="0"/>
    <xf numFmtId="0" fontId="26" fillId="0" borderId="0"/>
    <xf numFmtId="0" fontId="26" fillId="0" borderId="0"/>
    <xf numFmtId="0" fontId="26" fillId="0" borderId="0"/>
    <xf numFmtId="0" fontId="136" fillId="0" borderId="0"/>
    <xf numFmtId="0" fontId="136" fillId="0" borderId="0"/>
    <xf numFmtId="0" fontId="26" fillId="0" borderId="0"/>
    <xf numFmtId="0" fontId="26" fillId="0" borderId="0"/>
    <xf numFmtId="0" fontId="26" fillId="0" borderId="0"/>
    <xf numFmtId="0" fontId="26" fillId="0" borderId="0"/>
    <xf numFmtId="0" fontId="136" fillId="0" borderId="0"/>
    <xf numFmtId="0" fontId="136" fillId="0" borderId="0"/>
    <xf numFmtId="0" fontId="26" fillId="0" borderId="0"/>
    <xf numFmtId="0" fontId="26" fillId="0" borderId="0"/>
    <xf numFmtId="0" fontId="26" fillId="0" borderId="0"/>
    <xf numFmtId="0" fontId="26" fillId="0" borderId="0"/>
    <xf numFmtId="0" fontId="136" fillId="0" borderId="0"/>
    <xf numFmtId="0" fontId="136" fillId="0" borderId="0"/>
    <xf numFmtId="0" fontId="26" fillId="0" borderId="0"/>
    <xf numFmtId="0" fontId="26" fillId="0" borderId="0"/>
    <xf numFmtId="0" fontId="26" fillId="0" borderId="0"/>
    <xf numFmtId="0" fontId="26" fillId="0" borderId="0"/>
    <xf numFmtId="0" fontId="136" fillId="0" borderId="0"/>
    <xf numFmtId="0" fontId="63"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63" fillId="0" borderId="0">
      <alignment vertical="center"/>
    </xf>
    <xf numFmtId="0" fontId="63"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63" fillId="0" borderId="0">
      <alignment vertical="center"/>
    </xf>
    <xf numFmtId="0" fontId="63"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63" fillId="0" borderId="0">
      <alignment vertical="center"/>
    </xf>
    <xf numFmtId="0" fontId="70" fillId="0" borderId="0" applyNumberFormat="0" applyFont="0" applyFill="0" applyBorder="0" applyProtection="0">
      <alignment vertical="top"/>
    </xf>
    <xf numFmtId="0" fontId="14" fillId="0" borderId="0" applyNumberFormat="0" applyFont="0" applyFill="0" applyBorder="0" applyAlignment="0" applyProtection="0">
      <alignment vertical="top"/>
    </xf>
    <xf numFmtId="0" fontId="14" fillId="0" borderId="0" applyNumberFormat="0" applyFont="0" applyFill="0" applyBorder="0" applyAlignment="0" applyProtection="0">
      <alignment vertical="top"/>
    </xf>
    <xf numFmtId="0" fontId="14" fillId="0" borderId="0" applyNumberFormat="0" applyFont="0" applyFill="0" applyBorder="0" applyAlignment="0" applyProtection="0">
      <alignment vertical="top"/>
    </xf>
    <xf numFmtId="0" fontId="14" fillId="0" borderId="0" applyNumberFormat="0" applyFont="0" applyFill="0" applyBorder="0" applyAlignment="0" applyProtection="0">
      <alignment vertical="top"/>
    </xf>
    <xf numFmtId="0" fontId="70" fillId="0" borderId="0" applyNumberFormat="0" applyFont="0" applyFill="0" applyBorder="0" applyProtection="0">
      <alignment vertical="top"/>
    </xf>
    <xf numFmtId="0" fontId="55"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5" fillId="0" borderId="0"/>
    <xf numFmtId="0" fontId="55"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5"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5" fillId="0" borderId="0"/>
    <xf numFmtId="0" fontId="26" fillId="0" borderId="0"/>
    <xf numFmtId="0" fontId="26" fillId="0" borderId="0"/>
    <xf numFmtId="0" fontId="26" fillId="0" borderId="0"/>
    <xf numFmtId="0" fontId="26" fillId="0" borderId="0"/>
    <xf numFmtId="0" fontId="136" fillId="0" borderId="0"/>
    <xf numFmtId="0" fontId="153" fillId="20" borderId="0" applyNumberFormat="0" applyBorder="0" applyProtection="0"/>
    <xf numFmtId="0" fontId="62" fillId="93" borderId="0" applyNumberFormat="0" applyBorder="0" applyProtection="0"/>
    <xf numFmtId="0" fontId="46" fillId="16" borderId="0" applyNumberFormat="0" applyBorder="0" applyAlignment="0" applyProtection="0"/>
    <xf numFmtId="0" fontId="46" fillId="16" borderId="0" applyNumberFormat="0" applyBorder="0" applyAlignment="0" applyProtection="0"/>
    <xf numFmtId="0" fontId="46" fillId="16" borderId="0" applyNumberFormat="0" applyBorder="0" applyAlignment="0" applyProtection="0"/>
    <xf numFmtId="0" fontId="46" fillId="16" borderId="0" applyNumberFormat="0" applyBorder="0" applyAlignment="0" applyProtection="0"/>
    <xf numFmtId="0" fontId="62" fillId="93" borderId="0" applyNumberFormat="0" applyBorder="0" applyProtection="0"/>
    <xf numFmtId="0" fontId="62" fillId="93" borderId="0" applyNumberFormat="0" applyBorder="0" applyProtection="0"/>
    <xf numFmtId="0" fontId="46" fillId="16" borderId="0" applyNumberFormat="0" applyBorder="0" applyAlignment="0" applyProtection="0"/>
    <xf numFmtId="0" fontId="46" fillId="16" borderId="0" applyNumberFormat="0" applyBorder="0" applyAlignment="0" applyProtection="0"/>
    <xf numFmtId="0" fontId="46" fillId="16" borderId="0" applyNumberFormat="0" applyBorder="0" applyAlignment="0" applyProtection="0"/>
    <xf numFmtId="0" fontId="46" fillId="16" borderId="0" applyNumberFormat="0" applyBorder="0" applyAlignment="0" applyProtection="0"/>
    <xf numFmtId="0" fontId="62" fillId="93" borderId="0" applyNumberFormat="0" applyBorder="0" applyProtection="0"/>
    <xf numFmtId="0" fontId="62" fillId="93" borderId="0" applyNumberFormat="0" applyBorder="0" applyProtection="0"/>
    <xf numFmtId="0" fontId="46" fillId="16" borderId="0" applyNumberFormat="0" applyBorder="0" applyAlignment="0" applyProtection="0"/>
    <xf numFmtId="0" fontId="46" fillId="16" borderId="0" applyNumberFormat="0" applyBorder="0" applyAlignment="0" applyProtection="0"/>
    <xf numFmtId="0" fontId="46" fillId="16" borderId="0" applyNumberFormat="0" applyBorder="0" applyAlignment="0" applyProtection="0"/>
    <xf numFmtId="0" fontId="46" fillId="16" borderId="0" applyNumberFormat="0" applyBorder="0" applyAlignment="0" applyProtection="0"/>
    <xf numFmtId="0" fontId="62" fillId="93" borderId="0" applyNumberFormat="0" applyBorder="0" applyProtection="0"/>
    <xf numFmtId="0" fontId="62" fillId="93" borderId="0" applyNumberFormat="0" applyBorder="0" applyProtection="0"/>
    <xf numFmtId="0" fontId="46" fillId="16" borderId="0" applyNumberFormat="0" applyBorder="0" applyAlignment="0" applyProtection="0"/>
    <xf numFmtId="0" fontId="46" fillId="16" borderId="0" applyNumberFormat="0" applyBorder="0" applyAlignment="0" applyProtection="0"/>
    <xf numFmtId="0" fontId="46" fillId="16" borderId="0" applyNumberFormat="0" applyBorder="0" applyAlignment="0" applyProtection="0"/>
    <xf numFmtId="0" fontId="46" fillId="16" borderId="0" applyNumberFormat="0" applyBorder="0" applyAlignment="0" applyProtection="0"/>
    <xf numFmtId="0" fontId="62" fillId="93" borderId="0" applyNumberFormat="0" applyBorder="0" applyProtection="0"/>
    <xf numFmtId="0" fontId="154" fillId="136" borderId="0" applyNumberFormat="0" applyBorder="0" applyProtection="0"/>
    <xf numFmtId="0" fontId="155" fillId="136" borderId="0" applyNumberFormat="0" applyBorder="0" applyAlignment="0" applyProtection="0"/>
    <xf numFmtId="0" fontId="155" fillId="136" borderId="0" applyNumberFormat="0" applyBorder="0" applyAlignment="0" applyProtection="0"/>
    <xf numFmtId="0" fontId="155" fillId="136" borderId="0" applyNumberFormat="0" applyBorder="0" applyAlignment="0" applyProtection="0"/>
    <xf numFmtId="0" fontId="155" fillId="136" borderId="0" applyNumberFormat="0" applyBorder="0" applyAlignment="0" applyProtection="0"/>
    <xf numFmtId="0" fontId="154" fillId="136" borderId="0" applyNumberFormat="0" applyBorder="0" applyProtection="0"/>
    <xf numFmtId="0" fontId="156" fillId="34" borderId="0" applyNumberFormat="0" applyBorder="0" applyAlignment="0" applyProtection="0"/>
    <xf numFmtId="0" fontId="156" fillId="34" borderId="0" applyNumberFormat="0" applyBorder="0" applyAlignment="0" applyProtection="0"/>
    <xf numFmtId="0" fontId="156" fillId="34" borderId="0" applyNumberFormat="0" applyBorder="0" applyAlignment="0" applyProtection="0"/>
    <xf numFmtId="0" fontId="156" fillId="34" borderId="0" applyNumberFormat="0" applyBorder="0" applyAlignment="0" applyProtection="0"/>
    <xf numFmtId="0" fontId="153" fillId="20" borderId="0" applyNumberFormat="0" applyBorder="0" applyProtection="0"/>
    <xf numFmtId="0" fontId="153" fillId="20" borderId="0" applyNumberFormat="0" applyBorder="0" applyProtection="0"/>
    <xf numFmtId="0" fontId="156" fillId="34" borderId="0" applyNumberFormat="0" applyBorder="0" applyAlignment="0" applyProtection="0"/>
    <xf numFmtId="0" fontId="156" fillId="34" borderId="0" applyNumberFormat="0" applyBorder="0" applyAlignment="0" applyProtection="0"/>
    <xf numFmtId="0" fontId="156" fillId="34" borderId="0" applyNumberFormat="0" applyBorder="0" applyAlignment="0" applyProtection="0"/>
    <xf numFmtId="0" fontId="156" fillId="34" borderId="0" applyNumberFormat="0" applyBorder="0" applyAlignment="0" applyProtection="0"/>
    <xf numFmtId="0" fontId="153" fillId="20" borderId="0" applyNumberFormat="0" applyBorder="0" applyProtection="0"/>
    <xf numFmtId="0" fontId="153" fillId="20" borderId="0" applyNumberFormat="0" applyBorder="0" applyProtection="0"/>
    <xf numFmtId="0" fontId="156" fillId="34" borderId="0" applyNumberFormat="0" applyBorder="0" applyAlignment="0" applyProtection="0"/>
    <xf numFmtId="0" fontId="156" fillId="34" borderId="0" applyNumberFormat="0" applyBorder="0" applyAlignment="0" applyProtection="0"/>
    <xf numFmtId="0" fontId="156" fillId="34" borderId="0" applyNumberFormat="0" applyBorder="0" applyAlignment="0" applyProtection="0"/>
    <xf numFmtId="0" fontId="156" fillId="34" borderId="0" applyNumberFormat="0" applyBorder="0" applyAlignment="0" applyProtection="0"/>
    <xf numFmtId="0" fontId="153" fillId="20" borderId="0" applyNumberFormat="0" applyBorder="0" applyProtection="0"/>
    <xf numFmtId="0" fontId="153" fillId="20" borderId="0" applyNumberFormat="0" applyBorder="0" applyProtection="0"/>
    <xf numFmtId="0" fontId="156" fillId="34" borderId="0" applyNumberFormat="0" applyBorder="0" applyAlignment="0" applyProtection="0"/>
    <xf numFmtId="0" fontId="156" fillId="34" borderId="0" applyNumberFormat="0" applyBorder="0" applyAlignment="0" applyProtection="0"/>
    <xf numFmtId="0" fontId="156" fillId="34" borderId="0" applyNumberFormat="0" applyBorder="0" applyAlignment="0" applyProtection="0"/>
    <xf numFmtId="0" fontId="156" fillId="34" borderId="0" applyNumberFormat="0" applyBorder="0" applyAlignment="0" applyProtection="0"/>
    <xf numFmtId="0" fontId="153" fillId="20" borderId="0" applyNumberFormat="0" applyBorder="0" applyProtection="0"/>
    <xf numFmtId="0" fontId="153" fillId="20" borderId="0" applyNumberFormat="0" applyBorder="0" applyProtection="0"/>
    <xf numFmtId="0" fontId="156" fillId="34" borderId="0" applyNumberFormat="0" applyBorder="0" applyAlignment="0" applyProtection="0"/>
    <xf numFmtId="0" fontId="156" fillId="34" borderId="0" applyNumberFormat="0" applyBorder="0" applyAlignment="0" applyProtection="0"/>
    <xf numFmtId="0" fontId="156" fillId="34" borderId="0" applyNumberFormat="0" applyBorder="0" applyAlignment="0" applyProtection="0"/>
    <xf numFmtId="0" fontId="156" fillId="34" borderId="0" applyNumberFormat="0" applyBorder="0" applyAlignment="0" applyProtection="0"/>
    <xf numFmtId="0" fontId="153" fillId="20" borderId="0" applyNumberFormat="0" applyBorder="0" applyProtection="0"/>
    <xf numFmtId="0" fontId="157" fillId="0" borderId="0" applyNumberFormat="0" applyFill="0" applyBorder="0" applyProtection="0"/>
    <xf numFmtId="0" fontId="158" fillId="0" borderId="0" applyNumberFormat="0" applyFill="0" applyBorder="0" applyProtection="0"/>
    <xf numFmtId="0" fontId="159" fillId="0" borderId="0" applyNumberFormat="0" applyFill="0" applyBorder="0" applyAlignment="0" applyProtection="0"/>
    <xf numFmtId="0" fontId="159" fillId="0" borderId="0" applyNumberFormat="0" applyFill="0" applyBorder="0" applyAlignment="0" applyProtection="0"/>
    <xf numFmtId="0" fontId="159" fillId="0" borderId="0" applyNumberFormat="0" applyFill="0" applyBorder="0" applyAlignment="0" applyProtection="0"/>
    <xf numFmtId="0" fontId="159" fillId="0" borderId="0" applyNumberFormat="0" applyFill="0" applyBorder="0" applyAlignment="0" applyProtection="0"/>
    <xf numFmtId="0" fontId="158" fillId="0" borderId="0" applyNumberFormat="0" applyFill="0" applyBorder="0" applyProtection="0"/>
    <xf numFmtId="0" fontId="160" fillId="0" borderId="0" applyNumberForma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157" fillId="0" borderId="0" applyNumberFormat="0" applyFill="0" applyBorder="0" applyProtection="0"/>
    <xf numFmtId="0" fontId="157" fillId="0" borderId="0" applyNumberFormat="0" applyFill="0" applyBorder="0" applyProtection="0"/>
    <xf numFmtId="0" fontId="160" fillId="0" borderId="0" applyNumberForma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157" fillId="0" borderId="0" applyNumberFormat="0" applyFill="0" applyBorder="0" applyProtection="0"/>
    <xf numFmtId="0" fontId="157" fillId="0" borderId="0" applyNumberFormat="0" applyFill="0" applyBorder="0" applyProtection="0"/>
    <xf numFmtId="0" fontId="160" fillId="0" borderId="0" applyNumberForma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157" fillId="0" borderId="0" applyNumberFormat="0" applyFill="0" applyBorder="0" applyProtection="0"/>
    <xf numFmtId="0" fontId="157" fillId="0" borderId="0" applyNumberFormat="0" applyFill="0" applyBorder="0" applyProtection="0"/>
    <xf numFmtId="0" fontId="160" fillId="0" borderId="0" applyNumberForma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157" fillId="0" borderId="0" applyNumberFormat="0" applyFill="0" applyBorder="0" applyProtection="0"/>
    <xf numFmtId="0" fontId="157" fillId="0" borderId="0" applyNumberFormat="0" applyFill="0" applyBorder="0" applyProtection="0"/>
    <xf numFmtId="0" fontId="160" fillId="0" borderId="0" applyNumberForma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157" fillId="0" borderId="0" applyNumberFormat="0" applyFill="0" applyBorder="0" applyProtection="0"/>
    <xf numFmtId="0" fontId="59" fillId="108" borderId="44" applyNumberFormat="0" applyFont="0" applyProtection="0"/>
    <xf numFmtId="0" fontId="59" fillId="108" borderId="44" applyNumberFormat="0" applyFont="0" applyProtection="0"/>
    <xf numFmtId="0" fontId="8" fillId="137" borderId="44" applyNumberFormat="0" applyFont="0" applyAlignment="0" applyProtection="0"/>
    <xf numFmtId="0" fontId="8" fillId="137" borderId="44" applyNumberFormat="0" applyFont="0" applyAlignment="0" applyProtection="0"/>
    <xf numFmtId="0" fontId="8" fillId="137" borderId="44" applyNumberFormat="0" applyFont="0" applyAlignment="0" applyProtection="0"/>
    <xf numFmtId="0" fontId="8" fillId="137" borderId="44" applyNumberFormat="0" applyFont="0" applyAlignment="0" applyProtection="0"/>
    <xf numFmtId="0" fontId="8" fillId="137" borderId="44" applyNumberFormat="0" applyFont="0" applyAlignment="0" applyProtection="0"/>
    <xf numFmtId="0" fontId="8" fillId="137" borderId="44" applyNumberFormat="0" applyFont="0" applyAlignment="0" applyProtection="0"/>
    <xf numFmtId="0" fontId="8" fillId="137" borderId="44" applyNumberFormat="0" applyFont="0" applyAlignment="0" applyProtection="0"/>
    <xf numFmtId="0" fontId="59" fillId="108" borderId="44" applyNumberFormat="0" applyFont="0" applyProtection="0"/>
    <xf numFmtId="0" fontId="59" fillId="108" borderId="44" applyNumberFormat="0" applyFont="0" applyProtection="0"/>
    <xf numFmtId="0" fontId="59" fillId="108" borderId="44" applyNumberFormat="0" applyFont="0" applyProtection="0"/>
    <xf numFmtId="0" fontId="148" fillId="137" borderId="44" applyNumberFormat="0" applyProtection="0"/>
    <xf numFmtId="0" fontId="13" fillId="138" borderId="44" applyNumberFormat="0" applyAlignment="0" applyProtection="0"/>
    <xf numFmtId="0" fontId="13" fillId="138" borderId="44" applyNumberFormat="0" applyAlignment="0" applyProtection="0"/>
    <xf numFmtId="0" fontId="13" fillId="138" borderId="44" applyNumberFormat="0" applyAlignment="0" applyProtection="0"/>
    <xf numFmtId="0" fontId="13" fillId="138" borderId="44" applyNumberFormat="0" applyAlignment="0" applyProtection="0"/>
    <xf numFmtId="0" fontId="13" fillId="138" borderId="44" applyNumberFormat="0" applyAlignment="0" applyProtection="0"/>
    <xf numFmtId="0" fontId="13" fillId="138" borderId="44" applyNumberFormat="0" applyAlignment="0" applyProtection="0"/>
    <xf numFmtId="0" fontId="13" fillId="138" borderId="44" applyNumberFormat="0" applyAlignment="0" applyProtection="0"/>
    <xf numFmtId="0" fontId="148" fillId="137" borderId="44" applyNumberFormat="0" applyProtection="0"/>
    <xf numFmtId="0" fontId="148" fillId="137" borderId="44" applyNumberFormat="0" applyProtection="0"/>
    <xf numFmtId="0" fontId="148" fillId="137" borderId="44" applyNumberFormat="0" applyProtection="0"/>
    <xf numFmtId="0" fontId="8" fillId="137" borderId="44" applyNumberFormat="0" applyFont="0" applyAlignment="0" applyProtection="0"/>
    <xf numFmtId="0" fontId="8" fillId="137" borderId="44" applyNumberFormat="0" applyFont="0" applyAlignment="0" applyProtection="0"/>
    <xf numFmtId="0" fontId="8" fillId="137" borderId="44" applyNumberFormat="0" applyFont="0" applyAlignment="0" applyProtection="0"/>
    <xf numFmtId="0" fontId="8" fillId="137" borderId="44" applyNumberFormat="0" applyFont="0" applyAlignment="0" applyProtection="0"/>
    <xf numFmtId="0" fontId="8" fillId="137" borderId="44" applyNumberFormat="0" applyFont="0" applyAlignment="0" applyProtection="0"/>
    <xf numFmtId="0" fontId="8" fillId="137" borderId="44" applyNumberFormat="0" applyFont="0" applyAlignment="0" applyProtection="0"/>
    <xf numFmtId="0" fontId="8" fillId="137" borderId="44" applyNumberFormat="0" applyFont="0" applyAlignment="0" applyProtection="0"/>
    <xf numFmtId="0" fontId="59" fillId="108" borderId="44" applyNumberFormat="0" applyFont="0" applyProtection="0"/>
    <xf numFmtId="0" fontId="59" fillId="108" borderId="44" applyNumberFormat="0" applyFont="0" applyProtection="0"/>
    <xf numFmtId="0" fontId="59" fillId="108" borderId="44" applyNumberFormat="0" applyFont="0" applyProtection="0"/>
    <xf numFmtId="0" fontId="59" fillId="108" borderId="44" applyNumberFormat="0" applyFont="0" applyProtection="0"/>
    <xf numFmtId="0" fontId="8" fillId="137" borderId="44" applyNumberFormat="0" applyFont="0" applyAlignment="0" applyProtection="0"/>
    <xf numFmtId="0" fontId="8" fillId="137" borderId="44" applyNumberFormat="0" applyFont="0" applyAlignment="0" applyProtection="0"/>
    <xf numFmtId="0" fontId="8" fillId="137" borderId="44" applyNumberFormat="0" applyFont="0" applyAlignment="0" applyProtection="0"/>
    <xf numFmtId="0" fontId="8" fillId="137" borderId="44" applyNumberFormat="0" applyFont="0" applyAlignment="0" applyProtection="0"/>
    <xf numFmtId="0" fontId="8" fillId="137" borderId="44" applyNumberFormat="0" applyFont="0" applyAlignment="0" applyProtection="0"/>
    <xf numFmtId="0" fontId="8" fillId="137" borderId="44" applyNumberFormat="0" applyFont="0" applyAlignment="0" applyProtection="0"/>
    <xf numFmtId="0" fontId="8" fillId="137" borderId="44" applyNumberFormat="0" applyFont="0" applyAlignment="0" applyProtection="0"/>
    <xf numFmtId="0" fontId="59" fillId="108" borderId="44" applyNumberFormat="0" applyFont="0" applyProtection="0"/>
    <xf numFmtId="0" fontId="59" fillId="108" borderId="44" applyNumberFormat="0" applyFont="0" applyProtection="0"/>
    <xf numFmtId="0" fontId="59" fillId="108" borderId="44" applyNumberFormat="0" applyFont="0" applyProtection="0"/>
    <xf numFmtId="0" fontId="59" fillId="108" borderId="44" applyNumberFormat="0" applyFont="0" applyProtection="0"/>
    <xf numFmtId="0" fontId="8" fillId="137" borderId="44" applyNumberFormat="0" applyFont="0" applyAlignment="0" applyProtection="0"/>
    <xf numFmtId="0" fontId="8" fillId="137" borderId="44" applyNumberFormat="0" applyFont="0" applyAlignment="0" applyProtection="0"/>
    <xf numFmtId="0" fontId="8" fillId="137" borderId="44" applyNumberFormat="0" applyFont="0" applyAlignment="0" applyProtection="0"/>
    <xf numFmtId="0" fontId="8" fillId="137" borderId="44" applyNumberFormat="0" applyFont="0" applyAlignment="0" applyProtection="0"/>
    <xf numFmtId="0" fontId="8" fillId="137" borderId="44" applyNumberFormat="0" applyFont="0" applyAlignment="0" applyProtection="0"/>
    <xf numFmtId="0" fontId="8" fillId="137" borderId="44" applyNumberFormat="0" applyFont="0" applyAlignment="0" applyProtection="0"/>
    <xf numFmtId="0" fontId="8" fillId="137" borderId="44" applyNumberFormat="0" applyFont="0" applyAlignment="0" applyProtection="0"/>
    <xf numFmtId="0" fontId="59" fillId="108" borderId="44" applyNumberFormat="0" applyFont="0" applyProtection="0"/>
    <xf numFmtId="0" fontId="59" fillId="108" borderId="44" applyNumberFormat="0" applyFont="0" applyProtection="0"/>
    <xf numFmtId="0" fontId="59" fillId="108" borderId="44" applyNumberFormat="0" applyFont="0" applyProtection="0"/>
    <xf numFmtId="0" fontId="59" fillId="108" borderId="44" applyNumberFormat="0" applyFont="0" applyProtection="0"/>
    <xf numFmtId="0" fontId="8" fillId="137" borderId="44" applyNumberFormat="0" applyFont="0" applyAlignment="0" applyProtection="0"/>
    <xf numFmtId="0" fontId="8" fillId="137" borderId="44" applyNumberFormat="0" applyFont="0" applyAlignment="0" applyProtection="0"/>
    <xf numFmtId="0" fontId="8" fillId="137" borderId="44" applyNumberFormat="0" applyFont="0" applyAlignment="0" applyProtection="0"/>
    <xf numFmtId="0" fontId="8" fillId="137" borderId="44" applyNumberFormat="0" applyFont="0" applyAlignment="0" applyProtection="0"/>
    <xf numFmtId="0" fontId="8" fillId="137" borderId="44" applyNumberFormat="0" applyFont="0" applyAlignment="0" applyProtection="0"/>
    <xf numFmtId="0" fontId="8" fillId="137" borderId="44" applyNumberFormat="0" applyFont="0" applyAlignment="0" applyProtection="0"/>
    <xf numFmtId="0" fontId="8" fillId="137" borderId="44" applyNumberFormat="0" applyFont="0" applyAlignment="0" applyProtection="0"/>
    <xf numFmtId="0" fontId="59" fillId="108" borderId="44" applyNumberFormat="0" applyFont="0" applyProtection="0"/>
    <xf numFmtId="0" fontId="59" fillId="108" borderId="44" applyNumberFormat="0" applyFont="0" applyProtection="0"/>
    <xf numFmtId="0" fontId="59" fillId="108" borderId="44" applyNumberFormat="0" applyFont="0" applyProtection="0"/>
    <xf numFmtId="0" fontId="59" fillId="108" borderId="44" applyNumberFormat="0" applyFont="0" applyProtection="0"/>
    <xf numFmtId="0" fontId="8" fillId="137" borderId="44" applyNumberFormat="0" applyFont="0" applyAlignment="0" applyProtection="0"/>
    <xf numFmtId="0" fontId="8" fillId="137" borderId="44" applyNumberFormat="0" applyFont="0" applyAlignment="0" applyProtection="0"/>
    <xf numFmtId="0" fontId="8" fillId="137" borderId="44" applyNumberFormat="0" applyFont="0" applyAlignment="0" applyProtection="0"/>
    <xf numFmtId="0" fontId="8" fillId="137" borderId="44" applyNumberFormat="0" applyFont="0" applyAlignment="0" applyProtection="0"/>
    <xf numFmtId="0" fontId="8" fillId="137" borderId="44" applyNumberFormat="0" applyFont="0" applyAlignment="0" applyProtection="0"/>
    <xf numFmtId="0" fontId="8" fillId="137" borderId="44" applyNumberFormat="0" applyFont="0" applyAlignment="0" applyProtection="0"/>
    <xf numFmtId="0" fontId="8" fillId="137" borderId="44" applyNumberFormat="0" applyFont="0" applyAlignment="0" applyProtection="0"/>
    <xf numFmtId="0" fontId="59" fillId="108" borderId="44" applyNumberFormat="0" applyFont="0" applyProtection="0"/>
    <xf numFmtId="0" fontId="59" fillId="108" borderId="44" applyNumberFormat="0" applyFont="0" applyProtection="0"/>
    <xf numFmtId="0" fontId="59" fillId="108" borderId="44" applyNumberFormat="0" applyFont="0" applyProtection="0"/>
    <xf numFmtId="9" fontId="55" fillId="0" borderId="0" applyFont="0" applyFill="0" applyBorder="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55" fillId="0" borderId="0" applyFont="0" applyFill="0" applyBorder="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59" fillId="0" borderId="0" applyFont="0" applyFill="0" applyBorder="0" applyProtection="0"/>
    <xf numFmtId="9" fontId="55" fillId="0" borderId="0" applyFont="0" applyFill="0" applyBorder="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55" fillId="0" borderId="0" applyFont="0" applyFill="0" applyBorder="0" applyProtection="0"/>
    <xf numFmtId="9" fontId="55" fillId="0" borderId="0" applyFont="0" applyFill="0" applyBorder="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55" fillId="0" borderId="0" applyFont="0" applyFill="0" applyBorder="0" applyProtection="0"/>
    <xf numFmtId="9" fontId="55" fillId="0" borderId="0" applyFont="0" applyFill="0" applyBorder="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55" fillId="0" borderId="0" applyFont="0" applyFill="0" applyBorder="0" applyProtection="0"/>
    <xf numFmtId="9" fontId="55" fillId="0" borderId="0" applyFont="0" applyFill="0" applyBorder="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55" fillId="0" borderId="0" applyFont="0" applyFill="0" applyBorder="0" applyProtection="0"/>
    <xf numFmtId="9" fontId="55" fillId="0" borderId="0" applyFont="0" applyFill="0" applyBorder="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55" fillId="0" borderId="0" applyFont="0" applyFill="0" applyBorder="0" applyProtection="0"/>
    <xf numFmtId="9" fontId="142" fillId="0" borderId="0" applyFont="0" applyFill="0" applyBorder="0" applyProtection="0"/>
    <xf numFmtId="9" fontId="70" fillId="0" borderId="0" applyFill="0" applyBorder="0" applyProtection="0"/>
    <xf numFmtId="9" fontId="14" fillId="0" borderId="0" applyFill="0" applyBorder="0" applyAlignment="0" applyProtection="0"/>
    <xf numFmtId="9" fontId="14" fillId="0" borderId="0" applyFill="0" applyBorder="0" applyAlignment="0" applyProtection="0"/>
    <xf numFmtId="9" fontId="14" fillId="0" borderId="0" applyFill="0" applyBorder="0" applyAlignment="0" applyProtection="0"/>
    <xf numFmtId="9" fontId="14" fillId="0" borderId="0" applyFill="0" applyBorder="0" applyAlignment="0" applyProtection="0"/>
    <xf numFmtId="9" fontId="70" fillId="0" borderId="0" applyFill="0" applyBorder="0" applyProtection="0"/>
    <xf numFmtId="9" fontId="70" fillId="0" borderId="0" applyFill="0" applyBorder="0" applyProtection="0"/>
    <xf numFmtId="9" fontId="14" fillId="0" borderId="0" applyFill="0" applyBorder="0" applyAlignment="0" applyProtection="0"/>
    <xf numFmtId="9" fontId="14" fillId="0" borderId="0" applyFill="0" applyBorder="0" applyAlignment="0" applyProtection="0"/>
    <xf numFmtId="9" fontId="14" fillId="0" borderId="0" applyFill="0" applyBorder="0" applyAlignment="0" applyProtection="0"/>
    <xf numFmtId="9" fontId="14" fillId="0" borderId="0" applyFill="0" applyBorder="0" applyAlignment="0" applyProtection="0"/>
    <xf numFmtId="9" fontId="70" fillId="0" borderId="0" applyFill="0" applyBorder="0" applyProtection="0"/>
    <xf numFmtId="9" fontId="143" fillId="0" borderId="0" applyFont="0" applyFill="0" applyBorder="0" applyAlignment="0" applyProtection="0"/>
    <xf numFmtId="9" fontId="143" fillId="0" borderId="0" applyFont="0" applyFill="0" applyBorder="0" applyAlignment="0" applyProtection="0"/>
    <xf numFmtId="9" fontId="143" fillId="0" borderId="0" applyFont="0" applyFill="0" applyBorder="0" applyAlignment="0" applyProtection="0"/>
    <xf numFmtId="9" fontId="143" fillId="0" borderId="0" applyFont="0" applyFill="0" applyBorder="0" applyAlignment="0" applyProtection="0"/>
    <xf numFmtId="9" fontId="142" fillId="0" borderId="0" applyFont="0" applyFill="0" applyBorder="0" applyProtection="0"/>
    <xf numFmtId="9" fontId="142" fillId="0" borderId="0" applyFont="0" applyFill="0" applyBorder="0" applyProtection="0"/>
    <xf numFmtId="9" fontId="143" fillId="0" borderId="0" applyFont="0" applyFill="0" applyBorder="0" applyAlignment="0" applyProtection="0"/>
    <xf numFmtId="9" fontId="143" fillId="0" borderId="0" applyFont="0" applyFill="0" applyBorder="0" applyAlignment="0" applyProtection="0"/>
    <xf numFmtId="9" fontId="143" fillId="0" borderId="0" applyFont="0" applyFill="0" applyBorder="0" applyAlignment="0" applyProtection="0"/>
    <xf numFmtId="9" fontId="143" fillId="0" borderId="0" applyFont="0" applyFill="0" applyBorder="0" applyAlignment="0" applyProtection="0"/>
    <xf numFmtId="9" fontId="142" fillId="0" borderId="0" applyFont="0" applyFill="0" applyBorder="0" applyProtection="0"/>
    <xf numFmtId="9" fontId="55" fillId="0" borderId="0" applyFont="0" applyFill="0" applyBorder="0" applyProtection="0"/>
    <xf numFmtId="9" fontId="59" fillId="0" borderId="0" applyFont="0" applyFill="0" applyBorder="0" applyProtection="0"/>
    <xf numFmtId="9" fontId="59" fillId="0" borderId="0" applyFont="0" applyFill="0" applyBorder="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59" fillId="0" borderId="0" applyFont="0" applyFill="0" applyBorder="0" applyProtection="0"/>
    <xf numFmtId="9" fontId="55" fillId="0" borderId="0" applyFont="0" applyFill="0" applyBorder="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55" fillId="0" borderId="0" applyFont="0" applyFill="0" applyBorder="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59" fillId="0" borderId="0" applyFont="0" applyFill="0" applyBorder="0" applyProtection="0"/>
    <xf numFmtId="9" fontId="59" fillId="0" borderId="0" applyFont="0" applyFill="0" applyBorder="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59" fillId="0" borderId="0" applyFont="0" applyFill="0" applyBorder="0" applyProtection="0"/>
    <xf numFmtId="9" fontId="59" fillId="0" borderId="0" applyFont="0" applyFill="0" applyBorder="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59" fillId="0" borderId="0" applyFont="0" applyFill="0" applyBorder="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55" fillId="0" borderId="0" applyFont="0" applyFill="0" applyBorder="0" applyProtection="0"/>
    <xf numFmtId="9" fontId="59" fillId="0" borderId="0" applyFont="0" applyFill="0" applyBorder="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59" fillId="0" borderId="0" applyFont="0" applyFill="0" applyBorder="0" applyProtection="0"/>
    <xf numFmtId="0" fontId="161" fillId="0" borderId="45" applyNumberFormat="0" applyFill="0" applyProtection="0"/>
    <xf numFmtId="0" fontId="162" fillId="0" borderId="45" applyNumberFormat="0" applyFill="0" applyProtection="0"/>
    <xf numFmtId="0" fontId="163" fillId="0" borderId="45" applyNumberFormat="0" applyFill="0" applyAlignment="0" applyProtection="0"/>
    <xf numFmtId="0" fontId="163" fillId="0" borderId="45" applyNumberFormat="0" applyFill="0" applyAlignment="0" applyProtection="0"/>
    <xf numFmtId="0" fontId="163" fillId="0" borderId="45" applyNumberFormat="0" applyFill="0" applyAlignment="0" applyProtection="0"/>
    <xf numFmtId="0" fontId="163" fillId="0" borderId="45" applyNumberFormat="0" applyFill="0" applyAlignment="0" applyProtection="0"/>
    <xf numFmtId="0" fontId="162" fillId="0" borderId="45" applyNumberFormat="0" applyFill="0" applyProtection="0"/>
    <xf numFmtId="0" fontId="164" fillId="0" borderId="45" applyNumberFormat="0" applyFill="0" applyAlignment="0" applyProtection="0"/>
    <xf numFmtId="0" fontId="164" fillId="0" borderId="45" applyNumberFormat="0" applyFill="0" applyAlignment="0" applyProtection="0"/>
    <xf numFmtId="0" fontId="164" fillId="0" borderId="45" applyNumberFormat="0" applyFill="0" applyAlignment="0" applyProtection="0"/>
    <xf numFmtId="0" fontId="164" fillId="0" borderId="45" applyNumberFormat="0" applyFill="0" applyAlignment="0" applyProtection="0"/>
    <xf numFmtId="0" fontId="161" fillId="0" borderId="45" applyNumberFormat="0" applyFill="0" applyProtection="0"/>
    <xf numFmtId="0" fontId="161" fillId="0" borderId="45" applyNumberFormat="0" applyFill="0" applyProtection="0"/>
    <xf numFmtId="0" fontId="164" fillId="0" borderId="45" applyNumberFormat="0" applyFill="0" applyAlignment="0" applyProtection="0"/>
    <xf numFmtId="0" fontId="164" fillId="0" borderId="45" applyNumberFormat="0" applyFill="0" applyAlignment="0" applyProtection="0"/>
    <xf numFmtId="0" fontId="164" fillId="0" borderId="45" applyNumberFormat="0" applyFill="0" applyAlignment="0" applyProtection="0"/>
    <xf numFmtId="0" fontId="164" fillId="0" borderId="45" applyNumberFormat="0" applyFill="0" applyAlignment="0" applyProtection="0"/>
    <xf numFmtId="0" fontId="161" fillId="0" borderId="45" applyNumberFormat="0" applyFill="0" applyProtection="0"/>
    <xf numFmtId="0" fontId="161" fillId="0" borderId="45" applyNumberFormat="0" applyFill="0" applyProtection="0"/>
    <xf numFmtId="0" fontId="164" fillId="0" borderId="45" applyNumberFormat="0" applyFill="0" applyAlignment="0" applyProtection="0"/>
    <xf numFmtId="0" fontId="164" fillId="0" borderId="45" applyNumberFormat="0" applyFill="0" applyAlignment="0" applyProtection="0"/>
    <xf numFmtId="0" fontId="164" fillId="0" borderId="45" applyNumberFormat="0" applyFill="0" applyAlignment="0" applyProtection="0"/>
    <xf numFmtId="0" fontId="164" fillId="0" borderId="45" applyNumberFormat="0" applyFill="0" applyAlignment="0" applyProtection="0"/>
    <xf numFmtId="0" fontId="161" fillId="0" borderId="45" applyNumberFormat="0" applyFill="0" applyProtection="0"/>
    <xf numFmtId="0" fontId="161" fillId="0" borderId="45" applyNumberFormat="0" applyFill="0" applyProtection="0"/>
    <xf numFmtId="0" fontId="164" fillId="0" borderId="45" applyNumberFormat="0" applyFill="0" applyAlignment="0" applyProtection="0"/>
    <xf numFmtId="0" fontId="164" fillId="0" borderId="45" applyNumberFormat="0" applyFill="0" applyAlignment="0" applyProtection="0"/>
    <xf numFmtId="0" fontId="164" fillId="0" borderId="45" applyNumberFormat="0" applyFill="0" applyAlignment="0" applyProtection="0"/>
    <xf numFmtId="0" fontId="164" fillId="0" borderId="45" applyNumberFormat="0" applyFill="0" applyAlignment="0" applyProtection="0"/>
    <xf numFmtId="0" fontId="161" fillId="0" borderId="45" applyNumberFormat="0" applyFill="0" applyProtection="0"/>
    <xf numFmtId="0" fontId="161" fillId="0" borderId="45" applyNumberFormat="0" applyFill="0" applyProtection="0"/>
    <xf numFmtId="0" fontId="164" fillId="0" borderId="45" applyNumberFormat="0" applyFill="0" applyAlignment="0" applyProtection="0"/>
    <xf numFmtId="0" fontId="164" fillId="0" borderId="45" applyNumberFormat="0" applyFill="0" applyAlignment="0" applyProtection="0"/>
    <xf numFmtId="0" fontId="164" fillId="0" borderId="45" applyNumberFormat="0" applyFill="0" applyAlignment="0" applyProtection="0"/>
    <xf numFmtId="0" fontId="164" fillId="0" borderId="45" applyNumberFormat="0" applyFill="0" applyAlignment="0" applyProtection="0"/>
    <xf numFmtId="0" fontId="161" fillId="0" borderId="45" applyNumberFormat="0" applyFill="0" applyProtection="0"/>
    <xf numFmtId="0" fontId="165" fillId="0" borderId="0"/>
    <xf numFmtId="0" fontId="166" fillId="0" borderId="0" applyNumberFormat="0" applyFill="0" applyBorder="0" applyProtection="0"/>
    <xf numFmtId="0" fontId="167" fillId="0" borderId="0" applyNumberFormat="0" applyFill="0" applyBorder="0" applyProtection="0"/>
    <xf numFmtId="0" fontId="168" fillId="0" borderId="0" applyNumberFormat="0" applyFill="0" applyBorder="0" applyAlignment="0" applyProtection="0"/>
    <xf numFmtId="0" fontId="168" fillId="0" borderId="0" applyNumberFormat="0" applyFill="0" applyBorder="0" applyAlignment="0" applyProtection="0"/>
    <xf numFmtId="0" fontId="168" fillId="0" borderId="0" applyNumberFormat="0" applyFill="0" applyBorder="0" applyAlignment="0" applyProtection="0"/>
    <xf numFmtId="0" fontId="168" fillId="0" borderId="0" applyNumberFormat="0" applyFill="0" applyBorder="0" applyAlignment="0" applyProtection="0"/>
    <xf numFmtId="0" fontId="167" fillId="0" borderId="0" applyNumberFormat="0" applyFill="0" applyBorder="0" applyProtection="0"/>
    <xf numFmtId="0" fontId="169" fillId="0" borderId="0" applyNumberFormat="0" applyFill="0" applyBorder="0" applyAlignment="0" applyProtection="0"/>
    <xf numFmtId="0" fontId="169" fillId="0" borderId="0" applyNumberFormat="0" applyFill="0" applyBorder="0" applyAlignment="0" applyProtection="0"/>
    <xf numFmtId="0" fontId="169" fillId="0" borderId="0" applyNumberFormat="0" applyFill="0" applyBorder="0" applyAlignment="0" applyProtection="0"/>
    <xf numFmtId="0" fontId="169" fillId="0" borderId="0" applyNumberFormat="0" applyFill="0" applyBorder="0" applyAlignment="0" applyProtection="0"/>
    <xf numFmtId="0" fontId="166" fillId="0" borderId="0" applyNumberFormat="0" applyFill="0" applyBorder="0" applyProtection="0"/>
    <xf numFmtId="0" fontId="166" fillId="0" borderId="0" applyNumberFormat="0" applyFill="0" applyBorder="0" applyProtection="0"/>
    <xf numFmtId="0" fontId="169" fillId="0" borderId="0" applyNumberFormat="0" applyFill="0" applyBorder="0" applyAlignment="0" applyProtection="0"/>
    <xf numFmtId="0" fontId="169" fillId="0" borderId="0" applyNumberFormat="0" applyFill="0" applyBorder="0" applyAlignment="0" applyProtection="0"/>
    <xf numFmtId="0" fontId="169" fillId="0" borderId="0" applyNumberFormat="0" applyFill="0" applyBorder="0" applyAlignment="0" applyProtection="0"/>
    <xf numFmtId="0" fontId="169" fillId="0" borderId="0" applyNumberFormat="0" applyFill="0" applyBorder="0" applyAlignment="0" applyProtection="0"/>
    <xf numFmtId="0" fontId="166" fillId="0" borderId="0" applyNumberFormat="0" applyFill="0" applyBorder="0" applyProtection="0"/>
    <xf numFmtId="0" fontId="166" fillId="0" borderId="0" applyNumberFormat="0" applyFill="0" applyBorder="0" applyProtection="0"/>
    <xf numFmtId="0" fontId="169" fillId="0" borderId="0" applyNumberFormat="0" applyFill="0" applyBorder="0" applyAlignment="0" applyProtection="0"/>
    <xf numFmtId="0" fontId="169" fillId="0" borderId="0" applyNumberFormat="0" applyFill="0" applyBorder="0" applyAlignment="0" applyProtection="0"/>
    <xf numFmtId="0" fontId="169" fillId="0" borderId="0" applyNumberFormat="0" applyFill="0" applyBorder="0" applyAlignment="0" applyProtection="0"/>
    <xf numFmtId="0" fontId="169" fillId="0" borderId="0" applyNumberFormat="0" applyFill="0" applyBorder="0" applyAlignment="0" applyProtection="0"/>
    <xf numFmtId="0" fontId="166" fillId="0" borderId="0" applyNumberFormat="0" applyFill="0" applyBorder="0" applyProtection="0"/>
    <xf numFmtId="0" fontId="166" fillId="0" borderId="0" applyNumberFormat="0" applyFill="0" applyBorder="0" applyProtection="0"/>
    <xf numFmtId="0" fontId="169" fillId="0" borderId="0" applyNumberFormat="0" applyFill="0" applyBorder="0" applyAlignment="0" applyProtection="0"/>
    <xf numFmtId="0" fontId="169" fillId="0" borderId="0" applyNumberFormat="0" applyFill="0" applyBorder="0" applyAlignment="0" applyProtection="0"/>
    <xf numFmtId="0" fontId="169" fillId="0" borderId="0" applyNumberFormat="0" applyFill="0" applyBorder="0" applyAlignment="0" applyProtection="0"/>
    <xf numFmtId="0" fontId="169" fillId="0" borderId="0" applyNumberFormat="0" applyFill="0" applyBorder="0" applyAlignment="0" applyProtection="0"/>
    <xf numFmtId="0" fontId="166" fillId="0" borderId="0" applyNumberFormat="0" applyFill="0" applyBorder="0" applyProtection="0"/>
    <xf numFmtId="0" fontId="166" fillId="0" borderId="0" applyNumberFormat="0" applyFill="0" applyBorder="0" applyProtection="0"/>
    <xf numFmtId="0" fontId="169" fillId="0" borderId="0" applyNumberFormat="0" applyFill="0" applyBorder="0" applyAlignment="0" applyProtection="0"/>
    <xf numFmtId="0" fontId="169" fillId="0" borderId="0" applyNumberFormat="0" applyFill="0" applyBorder="0" applyAlignment="0" applyProtection="0"/>
    <xf numFmtId="0" fontId="169" fillId="0" borderId="0" applyNumberFormat="0" applyFill="0" applyBorder="0" applyAlignment="0" applyProtection="0"/>
    <xf numFmtId="0" fontId="169" fillId="0" borderId="0" applyNumberFormat="0" applyFill="0" applyBorder="0" applyAlignment="0" applyProtection="0"/>
    <xf numFmtId="0" fontId="166" fillId="0" borderId="0" applyNumberFormat="0" applyFill="0" applyBorder="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55" fillId="0" borderId="0" applyFont="0" applyFill="0" applyBorder="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55" fillId="0" borderId="0" applyFont="0" applyFill="0" applyBorder="0" applyProtection="0"/>
    <xf numFmtId="43" fontId="55" fillId="0" borderId="0" applyFont="0" applyFill="0" applyBorder="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55" fillId="0" borderId="0" applyFont="0" applyFill="0" applyBorder="0" applyProtection="0"/>
    <xf numFmtId="43" fontId="55" fillId="0" borderId="0" applyFont="0" applyFill="0" applyBorder="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55" fillId="0" borderId="0" applyFont="0" applyFill="0" applyBorder="0" applyProtection="0"/>
    <xf numFmtId="43" fontId="55" fillId="0" borderId="0" applyFont="0" applyFill="0" applyBorder="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55" fillId="0" borderId="0" applyFont="0" applyFill="0" applyBorder="0" applyProtection="0"/>
    <xf numFmtId="43" fontId="55" fillId="0" borderId="0" applyFont="0" applyFill="0" applyBorder="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55" fillId="0" borderId="0" applyFont="0" applyFill="0" applyBorder="0" applyProtection="0"/>
    <xf numFmtId="165" fontId="55" fillId="0" borderId="0" applyFont="0" applyFill="0" applyBorder="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55" fillId="0" borderId="0" applyFont="0" applyFill="0" applyBorder="0" applyProtection="0"/>
    <xf numFmtId="165" fontId="55" fillId="0" borderId="0" applyFont="0" applyFill="0" applyBorder="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55" fillId="0" borderId="0" applyFont="0" applyFill="0" applyBorder="0" applyProtection="0"/>
    <xf numFmtId="165" fontId="55" fillId="0" borderId="0" applyFont="0" applyFill="0" applyBorder="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55" fillId="0" borderId="0" applyFont="0" applyFill="0" applyBorder="0" applyProtection="0"/>
    <xf numFmtId="165" fontId="55" fillId="0" borderId="0" applyFont="0" applyFill="0" applyBorder="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55" fillId="0" borderId="0" applyFont="0" applyFill="0" applyBorder="0" applyProtection="0"/>
    <xf numFmtId="164" fontId="59" fillId="0" borderId="0" applyFont="0" applyFill="0" applyBorder="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59" fillId="0" borderId="0" applyFont="0" applyFill="0" applyBorder="0" applyProtection="0"/>
    <xf numFmtId="164" fontId="59" fillId="0" borderId="0" applyFont="0" applyFill="0" applyBorder="0" applyProtection="0"/>
    <xf numFmtId="164" fontId="59" fillId="0" borderId="0" applyFont="0" applyFill="0" applyBorder="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59" fillId="0" borderId="0" applyFont="0" applyFill="0" applyBorder="0" applyProtection="0"/>
    <xf numFmtId="165" fontId="55" fillId="0" borderId="0" applyFont="0" applyFill="0" applyBorder="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55" fillId="0" borderId="0" applyFont="0" applyFill="0" applyBorder="0" applyProtection="0"/>
    <xf numFmtId="165" fontId="55" fillId="0" borderId="0" applyFont="0" applyFill="0" applyBorder="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55" fillId="0" borderId="0" applyFont="0" applyFill="0" applyBorder="0" applyProtection="0"/>
    <xf numFmtId="165" fontId="55" fillId="0" borderId="0" applyFont="0" applyFill="0" applyBorder="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55" fillId="0" borderId="0" applyFont="0" applyFill="0" applyBorder="0" applyProtection="0"/>
    <xf numFmtId="165" fontId="55" fillId="0" borderId="0" applyFont="0" applyFill="0" applyBorder="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55" fillId="0" borderId="0" applyFont="0" applyFill="0" applyBorder="0" applyProtection="0"/>
    <xf numFmtId="164" fontId="59" fillId="0" borderId="0" applyFont="0" applyFill="0" applyBorder="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59" fillId="0" borderId="0" applyFont="0" applyFill="0" applyBorder="0" applyProtection="0"/>
    <xf numFmtId="164" fontId="59" fillId="0" borderId="0" applyFont="0" applyFill="0" applyBorder="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59" fillId="0" borderId="0" applyFont="0" applyFill="0" applyBorder="0" applyProtection="0"/>
    <xf numFmtId="164" fontId="59" fillId="0" borderId="0" applyFont="0" applyFill="0" applyBorder="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59" fillId="0" borderId="0" applyFont="0" applyFill="0" applyBorder="0" applyProtection="0"/>
    <xf numFmtId="164" fontId="59" fillId="0" borderId="0" applyFont="0" applyFill="0" applyBorder="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59" fillId="0" borderId="0" applyFont="0" applyFill="0" applyBorder="0" applyProtection="0"/>
    <xf numFmtId="164" fontId="59" fillId="0" borderId="0" applyFont="0" applyFill="0" applyBorder="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59" fillId="0" borderId="0" applyFont="0" applyFill="0" applyBorder="0" applyProtection="0"/>
    <xf numFmtId="43" fontId="55" fillId="0" borderId="0" applyFont="0" applyFill="0" applyBorder="0" applyProtection="0"/>
    <xf numFmtId="43" fontId="55" fillId="0" borderId="0" applyFont="0" applyFill="0" applyBorder="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55" fillId="0" borderId="0" applyFont="0" applyFill="0" applyBorder="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55" fillId="0" borderId="0" applyFont="0" applyFill="0" applyBorder="0" applyProtection="0"/>
    <xf numFmtId="164" fontId="59" fillId="0" borderId="0" applyFont="0" applyFill="0" applyBorder="0" applyProtection="0"/>
    <xf numFmtId="43" fontId="55" fillId="0" borderId="0" applyFont="0" applyFill="0" applyBorder="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55" fillId="0" borderId="0" applyFont="0" applyFill="0" applyBorder="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59" fillId="0" borderId="0" applyFont="0" applyFill="0" applyBorder="0" applyProtection="0"/>
    <xf numFmtId="43" fontId="55" fillId="0" borderId="0" applyFont="0" applyFill="0" applyBorder="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55" fillId="0" borderId="0" applyFont="0" applyFill="0" applyBorder="0" applyProtection="0"/>
    <xf numFmtId="43" fontId="55" fillId="0" borderId="0" applyFont="0" applyFill="0" applyBorder="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55" fillId="0" borderId="0" applyFont="0" applyFill="0" applyBorder="0" applyProtection="0"/>
    <xf numFmtId="43" fontId="55" fillId="0" borderId="0" applyFont="0" applyFill="0" applyBorder="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55" fillId="0" borderId="0" applyFont="0" applyFill="0" applyBorder="0" applyProtection="0"/>
    <xf numFmtId="43" fontId="55" fillId="0" borderId="0" applyFont="0" applyFill="0" applyBorder="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55" fillId="0" borderId="0" applyFont="0" applyFill="0" applyBorder="0" applyProtection="0"/>
    <xf numFmtId="43" fontId="55" fillId="0" borderId="0" applyFont="0" applyFill="0" applyBorder="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55" fillId="0" borderId="0" applyFont="0" applyFill="0" applyBorder="0" applyProtection="0"/>
    <xf numFmtId="43" fontId="55" fillId="0" borderId="0" applyFont="0" applyFill="0" applyBorder="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55" fillId="0" borderId="0" applyFont="0" applyFill="0" applyBorder="0" applyProtection="0"/>
    <xf numFmtId="43" fontId="55" fillId="0" borderId="0" applyFont="0" applyFill="0" applyBorder="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55" fillId="0" borderId="0" applyFont="0" applyFill="0" applyBorder="0" applyProtection="0"/>
    <xf numFmtId="0" fontId="55" fillId="0" borderId="0" applyFont="0" applyFill="0" applyBorder="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55" fillId="0" borderId="0" applyFont="0" applyFill="0" applyBorder="0" applyProtection="0"/>
    <xf numFmtId="0" fontId="55" fillId="0" borderId="0" applyFont="0" applyFill="0" applyBorder="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55" fillId="0" borderId="0" applyFont="0" applyFill="0" applyBorder="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59" fillId="0" borderId="0" applyFont="0" applyFill="0" applyBorder="0" applyProtection="0"/>
    <xf numFmtId="164" fontId="59" fillId="0" borderId="0" applyFont="0" applyFill="0" applyBorder="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59" fillId="0" borderId="0" applyFont="0" applyFill="0" applyBorder="0" applyProtection="0"/>
    <xf numFmtId="164" fontId="59" fillId="0" borderId="0" applyFont="0" applyFill="0" applyBorder="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59" fillId="0" borderId="0" applyFont="0" applyFill="0" applyBorder="0" applyProtection="0"/>
    <xf numFmtId="164" fontId="59" fillId="0" borderId="0" applyFont="0" applyFill="0" applyBorder="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59" fillId="0" borderId="0" applyFont="0" applyFill="0" applyBorder="0" applyProtection="0"/>
    <xf numFmtId="164" fontId="59" fillId="0" borderId="0" applyFont="0" applyFill="0" applyBorder="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59" fillId="0" borderId="0" applyFont="0" applyFill="0" applyBorder="0" applyProtection="0"/>
    <xf numFmtId="164" fontId="59" fillId="0" borderId="0" applyFont="0" applyFill="0" applyBorder="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59" fillId="0" borderId="0" applyFont="0" applyFill="0" applyBorder="0" applyProtection="0"/>
    <xf numFmtId="164" fontId="59" fillId="0" borderId="0" applyFont="0" applyFill="0" applyBorder="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59" fillId="0" borderId="0" applyFont="0" applyFill="0" applyBorder="0" applyProtection="0"/>
    <xf numFmtId="164" fontId="59" fillId="0" borderId="0" applyFont="0" applyFill="0" applyBorder="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59" fillId="0" borderId="0" applyFont="0" applyFill="0" applyBorder="0" applyProtection="0"/>
    <xf numFmtId="164" fontId="59" fillId="0" borderId="0" applyFont="0" applyFill="0" applyBorder="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59" fillId="0" borderId="0" applyFont="0" applyFill="0" applyBorder="0" applyProtection="0"/>
    <xf numFmtId="164" fontId="59" fillId="0" borderId="0" applyFont="0" applyFill="0" applyBorder="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59" fillId="0" borderId="0" applyFont="0" applyFill="0" applyBorder="0" applyProtection="0"/>
    <xf numFmtId="164" fontId="59" fillId="0" borderId="0" applyFont="0" applyFill="0" applyBorder="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59" fillId="0" borderId="0" applyFont="0" applyFill="0" applyBorder="0" applyProtection="0"/>
    <xf numFmtId="164" fontId="59" fillId="0" borderId="0" applyFont="0" applyFill="0" applyBorder="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59" fillId="0" borderId="0" applyFont="0" applyFill="0" applyBorder="0" applyProtection="0"/>
    <xf numFmtId="0" fontId="55" fillId="0" borderId="0" applyFont="0" applyFill="0" applyBorder="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55" fillId="0" borderId="0" applyFont="0" applyFill="0" applyBorder="0" applyProtection="0"/>
    <xf numFmtId="0" fontId="55" fillId="0" borderId="0" applyFont="0" applyFill="0" applyBorder="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55" fillId="0" borderId="0" applyFont="0" applyFill="0" applyBorder="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59" fillId="0" borderId="0" applyFont="0" applyFill="0" applyBorder="0" applyProtection="0"/>
    <xf numFmtId="164" fontId="59" fillId="0" borderId="0" applyFont="0" applyFill="0" applyBorder="0" applyProtection="0"/>
    <xf numFmtId="164" fontId="59" fillId="0" borderId="0" applyFont="0" applyFill="0" applyBorder="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59" fillId="0" borderId="0" applyFont="0" applyFill="0" applyBorder="0" applyProtection="0"/>
    <xf numFmtId="164" fontId="59" fillId="0" borderId="0" applyFont="0" applyFill="0" applyBorder="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59" fillId="0" borderId="0" applyFont="0" applyFill="0" applyBorder="0" applyProtection="0"/>
    <xf numFmtId="164" fontId="59" fillId="0" borderId="0" applyFont="0" applyFill="0" applyBorder="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59" fillId="0" borderId="0" applyFont="0" applyFill="0" applyBorder="0" applyProtection="0"/>
    <xf numFmtId="164" fontId="59" fillId="0" borderId="0" applyFont="0" applyFill="0" applyBorder="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59" fillId="0" borderId="0" applyFont="0" applyFill="0" applyBorder="0" applyProtection="0"/>
    <xf numFmtId="43" fontId="55" fillId="0" borderId="0" applyFont="0" applyFill="0" applyBorder="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55" fillId="0" borderId="0" applyFont="0" applyFill="0" applyBorder="0" applyProtection="0"/>
    <xf numFmtId="43" fontId="55" fillId="0" borderId="0" applyFont="0" applyFill="0" applyBorder="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55" fillId="0" borderId="0" applyFont="0" applyFill="0" applyBorder="0" applyProtection="0"/>
    <xf numFmtId="43" fontId="55" fillId="0" borderId="0" applyFont="0" applyFill="0" applyBorder="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55" fillId="0" borderId="0" applyFont="0" applyFill="0" applyBorder="0" applyProtection="0"/>
    <xf numFmtId="164" fontId="59" fillId="0" borderId="0" applyFont="0" applyFill="0" applyBorder="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59" fillId="0" borderId="0" applyFont="0" applyFill="0" applyBorder="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55" fillId="0" borderId="0" applyFont="0" applyFill="0" applyBorder="0" applyProtection="0"/>
    <xf numFmtId="164" fontId="59" fillId="0" borderId="0" applyFont="0" applyFill="0" applyBorder="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59" fillId="0" borderId="0" applyFont="0" applyFill="0" applyBorder="0" applyProtection="0"/>
    <xf numFmtId="164" fontId="59" fillId="0" borderId="0" applyFont="0" applyFill="0" applyBorder="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59" fillId="0" borderId="0" applyFont="0" applyFill="0" applyBorder="0" applyProtection="0"/>
    <xf numFmtId="164" fontId="59" fillId="0" borderId="0" applyFont="0" applyFill="0" applyBorder="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59" fillId="0" borderId="0" applyFont="0" applyFill="0" applyBorder="0" applyProtection="0"/>
    <xf numFmtId="164" fontId="59" fillId="0" borderId="0" applyFont="0" applyFill="0" applyBorder="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59" fillId="0" borderId="0" applyFont="0" applyFill="0" applyBorder="0" applyProtection="0"/>
    <xf numFmtId="164" fontId="59" fillId="0" borderId="0" applyFont="0" applyFill="0" applyBorder="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59" fillId="0" borderId="0" applyFont="0" applyFill="0" applyBorder="0" applyProtection="0"/>
    <xf numFmtId="164" fontId="59" fillId="0" borderId="0" applyFont="0" applyFill="0" applyBorder="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59" fillId="0" borderId="0" applyFont="0" applyFill="0" applyBorder="0" applyProtection="0"/>
    <xf numFmtId="164" fontId="59" fillId="0" borderId="0" applyFont="0" applyFill="0" applyBorder="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59" fillId="0" borderId="0" applyFont="0" applyFill="0" applyBorder="0" applyProtection="0"/>
    <xf numFmtId="164" fontId="59" fillId="0" borderId="0" applyFont="0" applyFill="0" applyBorder="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59" fillId="0" borderId="0" applyFont="0" applyFill="0" applyBorder="0" applyProtection="0"/>
    <xf numFmtId="164" fontId="57" fillId="0" borderId="0" applyFont="0" applyFill="0" applyBorder="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57" fillId="0" borderId="0" applyFont="0" applyFill="0" applyBorder="0" applyProtection="0"/>
    <xf numFmtId="43" fontId="57" fillId="0" borderId="0" applyFont="0" applyFill="0" applyBorder="0" applyProtection="0"/>
    <xf numFmtId="43" fontId="12" fillId="0" borderId="0" applyFont="0" applyFill="0" applyBorder="0" applyAlignment="0" applyProtection="0"/>
    <xf numFmtId="43" fontId="12" fillId="0" borderId="0" applyFont="0" applyFill="0" applyBorder="0" applyAlignment="0" applyProtection="0"/>
    <xf numFmtId="43" fontId="57" fillId="0" borderId="0" applyFont="0" applyFill="0" applyBorder="0" applyProtection="0"/>
    <xf numFmtId="43" fontId="55" fillId="0" borderId="0" applyFont="0" applyFill="0" applyBorder="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55" fillId="0" borderId="0" applyFont="0" applyFill="0" applyBorder="0" applyProtection="0"/>
    <xf numFmtId="43" fontId="55" fillId="0" borderId="0" applyFont="0" applyFill="0" applyBorder="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55" fillId="0" borderId="0" applyFont="0" applyFill="0" applyBorder="0" applyProtection="0"/>
    <xf numFmtId="43" fontId="55" fillId="0" borderId="0" applyFont="0" applyFill="0" applyBorder="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55" fillId="0" borderId="0" applyFont="0" applyFill="0" applyBorder="0" applyProtection="0"/>
    <xf numFmtId="43" fontId="55" fillId="0" borderId="0" applyFont="0" applyFill="0" applyBorder="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55" fillId="0" borderId="0" applyFont="0" applyFill="0" applyBorder="0" applyProtection="0"/>
    <xf numFmtId="43" fontId="55" fillId="0" borderId="0" applyFont="0" applyFill="0" applyBorder="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55" fillId="0" borderId="0" applyFont="0" applyFill="0" applyBorder="0" applyProtection="0"/>
    <xf numFmtId="0" fontId="170" fillId="35" borderId="0" applyNumberFormat="0" applyBorder="0" applyProtection="0"/>
    <xf numFmtId="0" fontId="170" fillId="35" borderId="0" applyNumberFormat="0" applyBorder="0" applyProtection="0"/>
    <xf numFmtId="0" fontId="170" fillId="35" borderId="0" applyNumberFormat="0" applyBorder="0" applyProtection="0"/>
    <xf numFmtId="0" fontId="171" fillId="36" borderId="0" applyNumberFormat="0" applyBorder="0" applyAlignment="0" applyProtection="0"/>
    <xf numFmtId="0" fontId="171" fillId="36" borderId="0" applyNumberFormat="0" applyBorder="0" applyAlignment="0" applyProtection="0"/>
    <xf numFmtId="0" fontId="171" fillId="36" borderId="0" applyNumberFormat="0" applyBorder="0" applyAlignment="0" applyProtection="0"/>
    <xf numFmtId="0" fontId="171" fillId="36" borderId="0" applyNumberFormat="0" applyBorder="0" applyAlignment="0" applyProtection="0"/>
    <xf numFmtId="0" fontId="170" fillId="35" borderId="0" applyNumberFormat="0" applyBorder="0" applyProtection="0"/>
    <xf numFmtId="0" fontId="170" fillId="35" borderId="0" applyNumberFormat="0" applyBorder="0" applyProtection="0"/>
    <xf numFmtId="0" fontId="171" fillId="36" borderId="0" applyNumberFormat="0" applyBorder="0" applyAlignment="0" applyProtection="0"/>
    <xf numFmtId="0" fontId="171" fillId="36" borderId="0" applyNumberFormat="0" applyBorder="0" applyAlignment="0" applyProtection="0"/>
    <xf numFmtId="0" fontId="171" fillId="36" borderId="0" applyNumberFormat="0" applyBorder="0" applyAlignment="0" applyProtection="0"/>
    <xf numFmtId="0" fontId="171" fillId="36" borderId="0" applyNumberFormat="0" applyBorder="0" applyAlignment="0" applyProtection="0"/>
    <xf numFmtId="0" fontId="170" fillId="35" borderId="0" applyNumberFormat="0" applyBorder="0" applyProtection="0"/>
    <xf numFmtId="0" fontId="170" fillId="35" borderId="0" applyNumberFormat="0" applyBorder="0" applyProtection="0"/>
    <xf numFmtId="0" fontId="171" fillId="36" borderId="0" applyNumberFormat="0" applyBorder="0" applyAlignment="0" applyProtection="0"/>
    <xf numFmtId="0" fontId="171" fillId="36" borderId="0" applyNumberFormat="0" applyBorder="0" applyAlignment="0" applyProtection="0"/>
    <xf numFmtId="0" fontId="171" fillId="36" borderId="0" applyNumberFormat="0" applyBorder="0" applyAlignment="0" applyProtection="0"/>
    <xf numFmtId="0" fontId="171" fillId="36" borderId="0" applyNumberFormat="0" applyBorder="0" applyAlignment="0" applyProtection="0"/>
    <xf numFmtId="0" fontId="170" fillId="35" borderId="0" applyNumberFormat="0" applyBorder="0" applyProtection="0"/>
    <xf numFmtId="0" fontId="170" fillId="35" borderId="0" applyNumberFormat="0" applyBorder="0" applyProtection="0"/>
    <xf numFmtId="0" fontId="171" fillId="36" borderId="0" applyNumberFormat="0" applyBorder="0" applyAlignment="0" applyProtection="0"/>
    <xf numFmtId="0" fontId="171" fillId="36" borderId="0" applyNumberFormat="0" applyBorder="0" applyAlignment="0" applyProtection="0"/>
    <xf numFmtId="0" fontId="171" fillId="36" borderId="0" applyNumberFormat="0" applyBorder="0" applyAlignment="0" applyProtection="0"/>
    <xf numFmtId="0" fontId="171" fillId="36" borderId="0" applyNumberFormat="0" applyBorder="0" applyAlignment="0" applyProtection="0"/>
    <xf numFmtId="0" fontId="170" fillId="35" borderId="0" applyNumberFormat="0" applyBorder="0" applyProtection="0"/>
    <xf numFmtId="0" fontId="170" fillId="35" borderId="0" applyNumberFormat="0" applyBorder="0" applyProtection="0"/>
    <xf numFmtId="0" fontId="171" fillId="36" borderId="0" applyNumberFormat="0" applyBorder="0" applyAlignment="0" applyProtection="0"/>
    <xf numFmtId="0" fontId="171" fillId="36" borderId="0" applyNumberFormat="0" applyBorder="0" applyAlignment="0" applyProtection="0"/>
    <xf numFmtId="0" fontId="171" fillId="36" borderId="0" applyNumberFormat="0" applyBorder="0" applyAlignment="0" applyProtection="0"/>
    <xf numFmtId="0" fontId="171" fillId="36" borderId="0" applyNumberFormat="0" applyBorder="0" applyAlignment="0" applyProtection="0"/>
    <xf numFmtId="0" fontId="170" fillId="35" borderId="0" applyNumberFormat="0" applyBorder="0" applyProtection="0"/>
    <xf numFmtId="0" fontId="172" fillId="139" borderId="0" applyNumberFormat="0" applyBorder="0" applyProtection="0"/>
    <xf numFmtId="0" fontId="173" fillId="139" borderId="0" applyNumberFormat="0" applyBorder="0" applyAlignment="0" applyProtection="0"/>
    <xf numFmtId="0" fontId="173" fillId="139" borderId="0" applyNumberFormat="0" applyBorder="0" applyAlignment="0" applyProtection="0"/>
    <xf numFmtId="0" fontId="173" fillId="139" borderId="0" applyNumberFormat="0" applyBorder="0" applyAlignment="0" applyProtection="0"/>
    <xf numFmtId="0" fontId="173" fillId="139" borderId="0" applyNumberFormat="0" applyBorder="0" applyAlignment="0" applyProtection="0"/>
    <xf numFmtId="0" fontId="172" fillId="139" borderId="0" applyNumberFormat="0" applyBorder="0" applyProtection="0"/>
    <xf numFmtId="0" fontId="171" fillId="36" borderId="0" applyNumberFormat="0" applyBorder="0" applyAlignment="0" applyProtection="0"/>
    <xf numFmtId="0" fontId="171" fillId="36" borderId="0" applyNumberFormat="0" applyBorder="0" applyAlignment="0" applyProtection="0"/>
    <xf numFmtId="0" fontId="171" fillId="36" borderId="0" applyNumberFormat="0" applyBorder="0" applyAlignment="0" applyProtection="0"/>
    <xf numFmtId="0" fontId="171" fillId="36" borderId="0" applyNumberFormat="0" applyBorder="0" applyAlignment="0" applyProtection="0"/>
    <xf numFmtId="0" fontId="170" fillId="35" borderId="0" applyNumberFormat="0" applyBorder="0" applyProtection="0"/>
    <xf numFmtId="0" fontId="171" fillId="36" borderId="0" applyNumberFormat="0" applyBorder="0" applyAlignment="0" applyProtection="0"/>
    <xf numFmtId="0" fontId="171" fillId="36" borderId="0" applyNumberFormat="0" applyBorder="0" applyAlignment="0" applyProtection="0"/>
    <xf numFmtId="0" fontId="171" fillId="36" borderId="0" applyNumberFormat="0" applyBorder="0" applyAlignment="0" applyProtection="0"/>
    <xf numFmtId="0" fontId="171" fillId="36" borderId="0" applyNumberFormat="0" applyBorder="0" applyAlignment="0" applyProtection="0"/>
    <xf numFmtId="0" fontId="170" fillId="35" borderId="0" applyNumberFormat="0" applyBorder="0" applyProtection="0"/>
    <xf numFmtId="0" fontId="170" fillId="35" borderId="0" applyNumberFormat="0" applyBorder="0" applyProtection="0"/>
    <xf numFmtId="0" fontId="171" fillId="36" borderId="0" applyNumberFormat="0" applyBorder="0" applyAlignment="0" applyProtection="0"/>
    <xf numFmtId="0" fontId="171" fillId="36" borderId="0" applyNumberFormat="0" applyBorder="0" applyAlignment="0" applyProtection="0"/>
    <xf numFmtId="0" fontId="171" fillId="36" borderId="0" applyNumberFormat="0" applyBorder="0" applyAlignment="0" applyProtection="0"/>
    <xf numFmtId="0" fontId="171" fillId="36" borderId="0" applyNumberFormat="0" applyBorder="0" applyAlignment="0" applyProtection="0"/>
    <xf numFmtId="0" fontId="170" fillId="35" borderId="0" applyNumberFormat="0" applyBorder="0" applyProtection="0"/>
    <xf numFmtId="0" fontId="170" fillId="35" borderId="0" applyNumberFormat="0" applyBorder="0" applyProtection="0"/>
    <xf numFmtId="0" fontId="171" fillId="36" borderId="0" applyNumberFormat="0" applyBorder="0" applyAlignment="0" applyProtection="0"/>
    <xf numFmtId="0" fontId="171" fillId="36" borderId="0" applyNumberFormat="0" applyBorder="0" applyAlignment="0" applyProtection="0"/>
    <xf numFmtId="0" fontId="171" fillId="36" borderId="0" applyNumberFormat="0" applyBorder="0" applyAlignment="0" applyProtection="0"/>
    <xf numFmtId="0" fontId="171" fillId="36" borderId="0" applyNumberFormat="0" applyBorder="0" applyAlignment="0" applyProtection="0"/>
    <xf numFmtId="0" fontId="170" fillId="35" borderId="0" applyNumberFormat="0" applyBorder="0" applyProtection="0"/>
    <xf numFmtId="4" fontId="33" fillId="10" borderId="16">
      <alignment horizontal="right" vertical="top" shrinkToFit="1"/>
    </xf>
    <xf numFmtId="49" fontId="33" fillId="10" borderId="16">
      <alignment horizontal="center" vertical="top" shrinkToFit="1"/>
    </xf>
    <xf numFmtId="168" fontId="70" fillId="0" borderId="0" applyFont="0" applyFill="0" applyBorder="0" applyAlignment="0" applyProtection="0"/>
    <xf numFmtId="0" fontId="176" fillId="0" borderId="0"/>
    <xf numFmtId="0" fontId="24" fillId="18" borderId="0" applyNumberFormat="0" applyBorder="0" applyProtection="0"/>
    <xf numFmtId="0" fontId="24" fillId="18" borderId="0" applyNumberFormat="0" applyBorder="0" applyProtection="0"/>
    <xf numFmtId="0" fontId="24" fillId="18" borderId="0" applyNumberFormat="0" applyBorder="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8" borderId="0" applyNumberFormat="0" applyBorder="0" applyProtection="0"/>
    <xf numFmtId="0" fontId="24" fillId="18" borderId="0" applyNumberFormat="0" applyBorder="0" applyProtection="0"/>
    <xf numFmtId="0" fontId="24" fillId="18" borderId="0" applyNumberFormat="0" applyBorder="0" applyProtection="0"/>
    <xf numFmtId="0" fontId="24" fillId="18" borderId="0" applyNumberFormat="0" applyBorder="0" applyProtection="0"/>
    <xf numFmtId="0" fontId="24" fillId="18" borderId="0" applyNumberFormat="0" applyBorder="0" applyProtection="0"/>
    <xf numFmtId="0" fontId="24" fillId="18" borderId="0" applyNumberFormat="0" applyBorder="0" applyProtection="0"/>
    <xf numFmtId="0" fontId="24" fillId="18" borderId="0" applyNumberFormat="0" applyBorder="0" applyProtection="0"/>
    <xf numFmtId="0" fontId="24" fillId="18" borderId="0" applyNumberFormat="0" applyBorder="0" applyProtection="0"/>
    <xf numFmtId="0" fontId="24" fillId="18" borderId="0" applyNumberFormat="0" applyBorder="0" applyProtection="0"/>
    <xf numFmtId="0" fontId="24" fillId="18" borderId="0" applyNumberFormat="0" applyBorder="0" applyProtection="0"/>
    <xf numFmtId="0" fontId="24" fillId="18" borderId="0" applyNumberFormat="0" applyBorder="0" applyProtection="0"/>
    <xf numFmtId="0" fontId="24" fillId="18" borderId="0" applyNumberFormat="0" applyBorder="0" applyProtection="0"/>
    <xf numFmtId="0" fontId="24" fillId="18" borderId="0" applyNumberFormat="0" applyBorder="0" applyProtection="0"/>
    <xf numFmtId="0" fontId="24" fillId="20" borderId="0" applyNumberFormat="0" applyBorder="0" applyProtection="0"/>
    <xf numFmtId="0" fontId="24" fillId="20" borderId="0" applyNumberFormat="0" applyBorder="0" applyProtection="0"/>
    <xf numFmtId="0" fontId="24" fillId="20" borderId="0" applyNumberFormat="0" applyBorder="0" applyProtection="0"/>
    <xf numFmtId="0" fontId="24" fillId="20" borderId="0" applyNumberFormat="0" applyBorder="0" applyProtection="0"/>
    <xf numFmtId="0" fontId="24" fillId="21" borderId="0" applyNumberFormat="0" applyBorder="0" applyProtection="0"/>
    <xf numFmtId="0" fontId="24" fillId="21" borderId="0" applyNumberFormat="0" applyBorder="0" applyProtection="0"/>
    <xf numFmtId="0" fontId="24" fillId="21" borderId="0" applyNumberFormat="0" applyBorder="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1" borderId="0" applyNumberFormat="0" applyBorder="0" applyProtection="0"/>
    <xf numFmtId="0" fontId="24" fillId="21" borderId="0" applyNumberFormat="0" applyBorder="0" applyProtection="0"/>
    <xf numFmtId="0" fontId="24" fillId="21" borderId="0" applyNumberFormat="0" applyBorder="0" applyProtection="0"/>
    <xf numFmtId="0" fontId="24" fillId="21" borderId="0" applyNumberFormat="0" applyBorder="0" applyProtection="0"/>
    <xf numFmtId="0" fontId="24" fillId="21" borderId="0" applyNumberFormat="0" applyBorder="0" applyProtection="0"/>
    <xf numFmtId="0" fontId="24" fillId="21" borderId="0" applyNumberFormat="0" applyBorder="0" applyProtection="0"/>
    <xf numFmtId="0" fontId="24" fillId="21" borderId="0" applyNumberFormat="0" applyBorder="0" applyProtection="0"/>
    <xf numFmtId="0" fontId="24" fillId="21" borderId="0" applyNumberFormat="0" applyBorder="0" applyProtection="0"/>
    <xf numFmtId="0" fontId="24" fillId="21" borderId="0" applyNumberFormat="0" applyBorder="0" applyProtection="0"/>
    <xf numFmtId="0" fontId="24" fillId="21" borderId="0" applyNumberFormat="0" applyBorder="0" applyProtection="0"/>
    <xf numFmtId="0" fontId="24" fillId="21" borderId="0" applyNumberFormat="0" applyBorder="0" applyProtection="0"/>
    <xf numFmtId="0" fontId="24" fillId="21" borderId="0" applyNumberFormat="0" applyBorder="0" applyProtection="0"/>
    <xf numFmtId="0" fontId="24" fillId="21" borderId="0" applyNumberFormat="0" applyBorder="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0" borderId="0" applyNumberFormat="0" applyBorder="0" applyProtection="0"/>
    <xf numFmtId="0" fontId="24" fillId="20" borderId="0" applyNumberFormat="0" applyBorder="0" applyProtection="0"/>
    <xf numFmtId="0" fontId="24" fillId="20" borderId="0" applyNumberFormat="0" applyBorder="0" applyProtection="0"/>
    <xf numFmtId="0" fontId="24" fillId="20" borderId="0" applyNumberFormat="0" applyBorder="0" applyProtection="0"/>
    <xf numFmtId="0" fontId="24" fillId="20" borderId="0" applyNumberFormat="0" applyBorder="0" applyProtection="0"/>
    <xf numFmtId="0" fontId="24" fillId="20" borderId="0" applyNumberFormat="0" applyBorder="0" applyProtection="0"/>
    <xf numFmtId="0" fontId="24" fillId="20" borderId="0" applyNumberFormat="0" applyBorder="0" applyProtection="0"/>
    <xf numFmtId="0" fontId="24" fillId="20" borderId="0" applyNumberFormat="0" applyBorder="0" applyProtection="0"/>
    <xf numFmtId="0" fontId="24" fillId="20" borderId="0" applyNumberFormat="0" applyBorder="0" applyProtection="0"/>
    <xf numFmtId="0" fontId="24" fillId="20" borderId="0" applyNumberFormat="0" applyBorder="0" applyProtection="0"/>
    <xf numFmtId="0" fontId="24" fillId="20" borderId="0" applyNumberFormat="0" applyBorder="0" applyProtection="0"/>
    <xf numFmtId="0" fontId="24" fillId="20" borderId="0" applyNumberFormat="0" applyBorder="0" applyProtection="0"/>
    <xf numFmtId="0" fontId="24" fillId="24" borderId="0" applyNumberFormat="0" applyBorder="0" applyProtection="0"/>
    <xf numFmtId="0" fontId="24" fillId="24" borderId="0" applyNumberFormat="0" applyBorder="0" applyProtection="0"/>
    <xf numFmtId="0" fontId="24" fillId="24" borderId="0" applyNumberFormat="0" applyBorder="0" applyProtection="0"/>
    <xf numFmtId="0" fontId="24" fillId="25" borderId="0" applyNumberFormat="0" applyBorder="0" applyAlignment="0" applyProtection="0"/>
    <xf numFmtId="0" fontId="24" fillId="25" borderId="0" applyNumberFormat="0" applyBorder="0" applyAlignment="0" applyProtection="0"/>
    <xf numFmtId="0" fontId="24" fillId="25" borderId="0" applyNumberFormat="0" applyBorder="0" applyAlignment="0" applyProtection="0"/>
    <xf numFmtId="0" fontId="24" fillId="25" borderId="0" applyNumberFormat="0" applyBorder="0" applyAlignment="0" applyProtection="0"/>
    <xf numFmtId="0" fontId="24" fillId="25" borderId="0" applyNumberFormat="0" applyBorder="0" applyAlignment="0" applyProtection="0"/>
    <xf numFmtId="0" fontId="24" fillId="25" borderId="0" applyNumberFormat="0" applyBorder="0" applyAlignment="0" applyProtection="0"/>
    <xf numFmtId="0" fontId="24" fillId="25" borderId="0" applyNumberFormat="0" applyBorder="0" applyAlignment="0" applyProtection="0"/>
    <xf numFmtId="0" fontId="24" fillId="25" borderId="0" applyNumberFormat="0" applyBorder="0" applyAlignment="0" applyProtection="0"/>
    <xf numFmtId="0" fontId="24" fillId="25" borderId="0" applyNumberFormat="0" applyBorder="0" applyAlignment="0" applyProtection="0"/>
    <xf numFmtId="0" fontId="24" fillId="25" borderId="0" applyNumberFormat="0" applyBorder="0" applyAlignment="0" applyProtection="0"/>
    <xf numFmtId="0" fontId="24" fillId="25" borderId="0" applyNumberFormat="0" applyBorder="0" applyAlignment="0" applyProtection="0"/>
    <xf numFmtId="0" fontId="24" fillId="25" borderId="0" applyNumberFormat="0" applyBorder="0" applyAlignment="0" applyProtection="0"/>
    <xf numFmtId="0" fontId="24" fillId="25" borderId="0" applyNumberFormat="0" applyBorder="0" applyAlignment="0" applyProtection="0"/>
    <xf numFmtId="0" fontId="24" fillId="25" borderId="0" applyNumberFormat="0" applyBorder="0" applyAlignment="0" applyProtection="0"/>
    <xf numFmtId="0" fontId="24" fillId="25" borderId="0" applyNumberFormat="0" applyBorder="0" applyAlignment="0" applyProtection="0"/>
    <xf numFmtId="0" fontId="24" fillId="25" borderId="0" applyNumberFormat="0" applyBorder="0" applyAlignment="0" applyProtection="0"/>
    <xf numFmtId="0" fontId="24" fillId="25" borderId="0" applyNumberFormat="0" applyBorder="0" applyAlignment="0" applyProtection="0"/>
    <xf numFmtId="0" fontId="24" fillId="25" borderId="0" applyNumberFormat="0" applyBorder="0" applyAlignment="0" applyProtection="0"/>
    <xf numFmtId="0" fontId="24" fillId="25" borderId="0" applyNumberFormat="0" applyBorder="0" applyAlignment="0" applyProtection="0"/>
    <xf numFmtId="0" fontId="24" fillId="25" borderId="0" applyNumberFormat="0" applyBorder="0" applyAlignment="0" applyProtection="0"/>
    <xf numFmtId="0" fontId="24" fillId="25" borderId="0" applyNumberFormat="0" applyBorder="0" applyAlignment="0" applyProtection="0"/>
    <xf numFmtId="0" fontId="24" fillId="25" borderId="0" applyNumberFormat="0" applyBorder="0" applyAlignment="0" applyProtection="0"/>
    <xf numFmtId="0" fontId="24" fillId="25" borderId="0" applyNumberFormat="0" applyBorder="0" applyAlignment="0" applyProtection="0"/>
    <xf numFmtId="0" fontId="24" fillId="25" borderId="0" applyNumberFormat="0" applyBorder="0" applyAlignment="0" applyProtection="0"/>
    <xf numFmtId="0" fontId="24" fillId="25" borderId="0" applyNumberFormat="0" applyBorder="0" applyAlignment="0" applyProtection="0"/>
    <xf numFmtId="0" fontId="24" fillId="25" borderId="0" applyNumberFormat="0" applyBorder="0" applyAlignment="0" applyProtection="0"/>
    <xf numFmtId="0" fontId="24" fillId="25" borderId="0" applyNumberFormat="0" applyBorder="0" applyAlignment="0" applyProtection="0"/>
    <xf numFmtId="0" fontId="24" fillId="25" borderId="0" applyNumberFormat="0" applyBorder="0" applyAlignment="0" applyProtection="0"/>
    <xf numFmtId="0" fontId="24" fillId="25" borderId="0" applyNumberFormat="0" applyBorder="0" applyAlignment="0" applyProtection="0"/>
    <xf numFmtId="0" fontId="24" fillId="25" borderId="0" applyNumberFormat="0" applyBorder="0" applyAlignment="0" applyProtection="0"/>
    <xf numFmtId="0" fontId="24" fillId="25" borderId="0" applyNumberFormat="0" applyBorder="0" applyAlignment="0" applyProtection="0"/>
    <xf numFmtId="0" fontId="24" fillId="25" borderId="0" applyNumberFormat="0" applyBorder="0" applyAlignment="0" applyProtection="0"/>
    <xf numFmtId="0" fontId="24" fillId="25" borderId="0" applyNumberFormat="0" applyBorder="0" applyAlignment="0" applyProtection="0"/>
    <xf numFmtId="0" fontId="24" fillId="25" borderId="0" applyNumberFormat="0" applyBorder="0" applyAlignment="0" applyProtection="0"/>
    <xf numFmtId="0" fontId="24" fillId="25" borderId="0" applyNumberFormat="0" applyBorder="0" applyAlignment="0" applyProtection="0"/>
    <xf numFmtId="0" fontId="24" fillId="25" borderId="0" applyNumberFormat="0" applyBorder="0" applyAlignment="0" applyProtection="0"/>
    <xf numFmtId="0" fontId="24" fillId="25" borderId="0" applyNumberFormat="0" applyBorder="0" applyAlignment="0" applyProtection="0"/>
    <xf numFmtId="0" fontId="24" fillId="25" borderId="0" applyNumberFormat="0" applyBorder="0" applyAlignment="0" applyProtection="0"/>
    <xf numFmtId="0" fontId="24" fillId="25" borderId="0" applyNumberFormat="0" applyBorder="0" applyAlignment="0" applyProtection="0"/>
    <xf numFmtId="0" fontId="24" fillId="25" borderId="0" applyNumberFormat="0" applyBorder="0" applyAlignment="0" applyProtection="0"/>
    <xf numFmtId="0" fontId="24" fillId="25" borderId="0" applyNumberFormat="0" applyBorder="0" applyAlignment="0" applyProtection="0"/>
    <xf numFmtId="0" fontId="24" fillId="25" borderId="0" applyNumberFormat="0" applyBorder="0" applyAlignment="0" applyProtection="0"/>
    <xf numFmtId="0" fontId="24" fillId="25" borderId="0" applyNumberFormat="0" applyBorder="0" applyAlignment="0" applyProtection="0"/>
    <xf numFmtId="0" fontId="24" fillId="25" borderId="0" applyNumberFormat="0" applyBorder="0" applyAlignment="0" applyProtection="0"/>
    <xf numFmtId="0" fontId="24" fillId="25" borderId="0" applyNumberFormat="0" applyBorder="0" applyAlignment="0" applyProtection="0"/>
    <xf numFmtId="0" fontId="24" fillId="25" borderId="0" applyNumberFormat="0" applyBorder="0" applyAlignment="0" applyProtection="0"/>
    <xf numFmtId="0" fontId="24" fillId="25" borderId="0" applyNumberFormat="0" applyBorder="0" applyAlignment="0" applyProtection="0"/>
    <xf numFmtId="0" fontId="24" fillId="25" borderId="0" applyNumberFormat="0" applyBorder="0" applyAlignment="0" applyProtection="0"/>
    <xf numFmtId="0" fontId="24" fillId="25" borderId="0" applyNumberFormat="0" applyBorder="0" applyAlignment="0" applyProtection="0"/>
    <xf numFmtId="0" fontId="24" fillId="25" borderId="0" applyNumberFormat="0" applyBorder="0" applyAlignment="0" applyProtection="0"/>
    <xf numFmtId="0" fontId="24" fillId="25" borderId="0" applyNumberFormat="0" applyBorder="0" applyAlignment="0" applyProtection="0"/>
    <xf numFmtId="0" fontId="24" fillId="25" borderId="0" applyNumberFormat="0" applyBorder="0" applyAlignment="0" applyProtection="0"/>
    <xf numFmtId="0" fontId="24" fillId="25" borderId="0" applyNumberFormat="0" applyBorder="0" applyAlignment="0" applyProtection="0"/>
    <xf numFmtId="0" fontId="24" fillId="25" borderId="0" applyNumberFormat="0" applyBorder="0" applyAlignment="0" applyProtection="0"/>
    <xf numFmtId="0" fontId="24" fillId="25" borderId="0" applyNumberFormat="0" applyBorder="0" applyAlignment="0" applyProtection="0"/>
    <xf numFmtId="0" fontId="24" fillId="25" borderId="0" applyNumberFormat="0" applyBorder="0" applyAlignment="0" applyProtection="0"/>
    <xf numFmtId="0" fontId="24" fillId="24" borderId="0" applyNumberFormat="0" applyBorder="0" applyProtection="0"/>
    <xf numFmtId="0" fontId="24" fillId="24" borderId="0" applyNumberFormat="0" applyBorder="0" applyProtection="0"/>
    <xf numFmtId="0" fontId="24" fillId="24" borderId="0" applyNumberFormat="0" applyBorder="0" applyProtection="0"/>
    <xf numFmtId="0" fontId="24" fillId="24" borderId="0" applyNumberFormat="0" applyBorder="0" applyProtection="0"/>
    <xf numFmtId="0" fontId="24" fillId="24" borderId="0" applyNumberFormat="0" applyBorder="0" applyProtection="0"/>
    <xf numFmtId="0" fontId="24" fillId="24" borderId="0" applyNumberFormat="0" applyBorder="0" applyProtection="0"/>
    <xf numFmtId="0" fontId="24" fillId="24" borderId="0" applyNumberFormat="0" applyBorder="0" applyProtection="0"/>
    <xf numFmtId="0" fontId="24" fillId="24" borderId="0" applyNumberFormat="0" applyBorder="0" applyProtection="0"/>
    <xf numFmtId="0" fontId="24" fillId="24" borderId="0" applyNumberFormat="0" applyBorder="0" applyProtection="0"/>
    <xf numFmtId="0" fontId="24" fillId="24" borderId="0" applyNumberFormat="0" applyBorder="0" applyProtection="0"/>
    <xf numFmtId="0" fontId="24" fillId="24" borderId="0" applyNumberFormat="0" applyBorder="0" applyProtection="0"/>
    <xf numFmtId="0" fontId="24" fillId="24" borderId="0" applyNumberFormat="0" applyBorder="0" applyProtection="0"/>
    <xf numFmtId="0" fontId="24" fillId="24" borderId="0" applyNumberFormat="0" applyBorder="0" applyProtection="0"/>
    <xf numFmtId="0" fontId="24" fillId="26" borderId="0" applyNumberFormat="0" applyBorder="0" applyProtection="0"/>
    <xf numFmtId="0" fontId="24" fillId="26" borderId="0" applyNumberFormat="0" applyBorder="0" applyProtection="0"/>
    <xf numFmtId="0" fontId="24" fillId="26" borderId="0" applyNumberFormat="0" applyBorder="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6" borderId="0" applyNumberFormat="0" applyBorder="0" applyProtection="0"/>
    <xf numFmtId="0" fontId="24" fillId="26" borderId="0" applyNumberFormat="0" applyBorder="0" applyProtection="0"/>
    <xf numFmtId="0" fontId="24" fillId="26" borderId="0" applyNumberFormat="0" applyBorder="0" applyProtection="0"/>
    <xf numFmtId="0" fontId="24" fillId="26" borderId="0" applyNumberFormat="0" applyBorder="0" applyProtection="0"/>
    <xf numFmtId="0" fontId="24" fillId="26" borderId="0" applyNumberFormat="0" applyBorder="0" applyProtection="0"/>
    <xf numFmtId="0" fontId="24" fillId="26" borderId="0" applyNumberFormat="0" applyBorder="0" applyProtection="0"/>
    <xf numFmtId="0" fontId="24" fillId="26" borderId="0" applyNumberFormat="0" applyBorder="0" applyProtection="0"/>
    <xf numFmtId="0" fontId="24" fillId="26" borderId="0" applyNumberFormat="0" applyBorder="0" applyProtection="0"/>
    <xf numFmtId="0" fontId="24" fillId="26" borderId="0" applyNumberFormat="0" applyBorder="0" applyProtection="0"/>
    <xf numFmtId="0" fontId="24" fillId="26" borderId="0" applyNumberFormat="0" applyBorder="0" applyProtection="0"/>
    <xf numFmtId="0" fontId="24" fillId="26" borderId="0" applyNumberFormat="0" applyBorder="0" applyProtection="0"/>
    <xf numFmtId="0" fontId="24" fillId="26" borderId="0" applyNumberFormat="0" applyBorder="0" applyProtection="0"/>
    <xf numFmtId="0" fontId="24" fillId="26" borderId="0" applyNumberFormat="0" applyBorder="0" applyProtection="0"/>
    <xf numFmtId="0" fontId="24" fillId="28" borderId="0" applyNumberFormat="0" applyBorder="0" applyProtection="0"/>
    <xf numFmtId="0" fontId="24" fillId="28" borderId="0" applyNumberFormat="0" applyBorder="0" applyProtection="0"/>
    <xf numFmtId="0" fontId="24" fillId="28" borderId="0" applyNumberFormat="0" applyBorder="0" applyProtection="0"/>
    <xf numFmtId="0" fontId="24" fillId="29" borderId="0" applyNumberFormat="0" applyBorder="0" applyAlignment="0" applyProtection="0"/>
    <xf numFmtId="0" fontId="24" fillId="29" borderId="0" applyNumberFormat="0" applyBorder="0" applyAlignment="0" applyProtection="0"/>
    <xf numFmtId="0" fontId="24" fillId="29" borderId="0" applyNumberFormat="0" applyBorder="0" applyAlignment="0" applyProtection="0"/>
    <xf numFmtId="0" fontId="24" fillId="29" borderId="0" applyNumberFormat="0" applyBorder="0" applyAlignment="0" applyProtection="0"/>
    <xf numFmtId="0" fontId="24" fillId="29" borderId="0" applyNumberFormat="0" applyBorder="0" applyAlignment="0" applyProtection="0"/>
    <xf numFmtId="0" fontId="24" fillId="29" borderId="0" applyNumberFormat="0" applyBorder="0" applyAlignment="0" applyProtection="0"/>
    <xf numFmtId="0" fontId="24" fillId="29" borderId="0" applyNumberFormat="0" applyBorder="0" applyAlignment="0" applyProtection="0"/>
    <xf numFmtId="0" fontId="24" fillId="29" borderId="0" applyNumberFormat="0" applyBorder="0" applyAlignment="0" applyProtection="0"/>
    <xf numFmtId="0" fontId="24" fillId="29" borderId="0" applyNumberFormat="0" applyBorder="0" applyAlignment="0" applyProtection="0"/>
    <xf numFmtId="0" fontId="24" fillId="29" borderId="0" applyNumberFormat="0" applyBorder="0" applyAlignment="0" applyProtection="0"/>
    <xf numFmtId="0" fontId="24" fillId="29" borderId="0" applyNumberFormat="0" applyBorder="0" applyAlignment="0" applyProtection="0"/>
    <xf numFmtId="0" fontId="24" fillId="29" borderId="0" applyNumberFormat="0" applyBorder="0" applyAlignment="0" applyProtection="0"/>
    <xf numFmtId="0" fontId="24" fillId="29" borderId="0" applyNumberFormat="0" applyBorder="0" applyAlignment="0" applyProtection="0"/>
    <xf numFmtId="0" fontId="24" fillId="29" borderId="0" applyNumberFormat="0" applyBorder="0" applyAlignment="0" applyProtection="0"/>
    <xf numFmtId="0" fontId="24" fillId="29" borderId="0" applyNumberFormat="0" applyBorder="0" applyAlignment="0" applyProtection="0"/>
    <xf numFmtId="0" fontId="24" fillId="29" borderId="0" applyNumberFormat="0" applyBorder="0" applyAlignment="0" applyProtection="0"/>
    <xf numFmtId="0" fontId="24" fillId="29" borderId="0" applyNumberFormat="0" applyBorder="0" applyAlignment="0" applyProtection="0"/>
    <xf numFmtId="0" fontId="24" fillId="29" borderId="0" applyNumberFormat="0" applyBorder="0" applyAlignment="0" applyProtection="0"/>
    <xf numFmtId="0" fontId="24" fillId="29" borderId="0" applyNumberFormat="0" applyBorder="0" applyAlignment="0" applyProtection="0"/>
    <xf numFmtId="0" fontId="24" fillId="29" borderId="0" applyNumberFormat="0" applyBorder="0" applyAlignment="0" applyProtection="0"/>
    <xf numFmtId="0" fontId="24" fillId="29" borderId="0" applyNumberFormat="0" applyBorder="0" applyAlignment="0" applyProtection="0"/>
    <xf numFmtId="0" fontId="24" fillId="29" borderId="0" applyNumberFormat="0" applyBorder="0" applyAlignment="0" applyProtection="0"/>
    <xf numFmtId="0" fontId="24" fillId="29" borderId="0" applyNumberFormat="0" applyBorder="0" applyAlignment="0" applyProtection="0"/>
    <xf numFmtId="0" fontId="24" fillId="29" borderId="0" applyNumberFormat="0" applyBorder="0" applyAlignment="0" applyProtection="0"/>
    <xf numFmtId="0" fontId="24" fillId="29" borderId="0" applyNumberFormat="0" applyBorder="0" applyAlignment="0" applyProtection="0"/>
    <xf numFmtId="0" fontId="24" fillId="29" borderId="0" applyNumberFormat="0" applyBorder="0" applyAlignment="0" applyProtection="0"/>
    <xf numFmtId="0" fontId="24" fillId="29" borderId="0" applyNumberFormat="0" applyBorder="0" applyAlignment="0" applyProtection="0"/>
    <xf numFmtId="0" fontId="24" fillId="29" borderId="0" applyNumberFormat="0" applyBorder="0" applyAlignment="0" applyProtection="0"/>
    <xf numFmtId="0" fontId="24" fillId="29" borderId="0" applyNumberFormat="0" applyBorder="0" applyAlignment="0" applyProtection="0"/>
    <xf numFmtId="0" fontId="24" fillId="29" borderId="0" applyNumberFormat="0" applyBorder="0" applyAlignment="0" applyProtection="0"/>
    <xf numFmtId="0" fontId="24" fillId="29" borderId="0" applyNumberFormat="0" applyBorder="0" applyAlignment="0" applyProtection="0"/>
    <xf numFmtId="0" fontId="24" fillId="29" borderId="0" applyNumberFormat="0" applyBorder="0" applyAlignment="0" applyProtection="0"/>
    <xf numFmtId="0" fontId="24" fillId="29" borderId="0" applyNumberFormat="0" applyBorder="0" applyAlignment="0" applyProtection="0"/>
    <xf numFmtId="0" fontId="24" fillId="29" borderId="0" applyNumberFormat="0" applyBorder="0" applyAlignment="0" applyProtection="0"/>
    <xf numFmtId="0" fontId="24" fillId="29" borderId="0" applyNumberFormat="0" applyBorder="0" applyAlignment="0" applyProtection="0"/>
    <xf numFmtId="0" fontId="24" fillId="29" borderId="0" applyNumberFormat="0" applyBorder="0" applyAlignment="0" applyProtection="0"/>
    <xf numFmtId="0" fontId="24" fillId="29" borderId="0" applyNumberFormat="0" applyBorder="0" applyAlignment="0" applyProtection="0"/>
    <xf numFmtId="0" fontId="24" fillId="29" borderId="0" applyNumberFormat="0" applyBorder="0" applyAlignment="0" applyProtection="0"/>
    <xf numFmtId="0" fontId="24" fillId="29" borderId="0" applyNumberFormat="0" applyBorder="0" applyAlignment="0" applyProtection="0"/>
    <xf numFmtId="0" fontId="24" fillId="29" borderId="0" applyNumberFormat="0" applyBorder="0" applyAlignment="0" applyProtection="0"/>
    <xf numFmtId="0" fontId="24" fillId="29" borderId="0" applyNumberFormat="0" applyBorder="0" applyAlignment="0" applyProtection="0"/>
    <xf numFmtId="0" fontId="24" fillId="29" borderId="0" applyNumberFormat="0" applyBorder="0" applyAlignment="0" applyProtection="0"/>
    <xf numFmtId="0" fontId="24" fillId="29" borderId="0" applyNumberFormat="0" applyBorder="0" applyAlignment="0" applyProtection="0"/>
    <xf numFmtId="0" fontId="24" fillId="29" borderId="0" applyNumberFormat="0" applyBorder="0" applyAlignment="0" applyProtection="0"/>
    <xf numFmtId="0" fontId="24" fillId="29" borderId="0" applyNumberFormat="0" applyBorder="0" applyAlignment="0" applyProtection="0"/>
    <xf numFmtId="0" fontId="24" fillId="29" borderId="0" applyNumberFormat="0" applyBorder="0" applyAlignment="0" applyProtection="0"/>
    <xf numFmtId="0" fontId="24" fillId="29" borderId="0" applyNumberFormat="0" applyBorder="0" applyAlignment="0" applyProtection="0"/>
    <xf numFmtId="0" fontId="24" fillId="29" borderId="0" applyNumberFormat="0" applyBorder="0" applyAlignment="0" applyProtection="0"/>
    <xf numFmtId="0" fontId="24" fillId="29" borderId="0" applyNumberFormat="0" applyBorder="0" applyAlignment="0" applyProtection="0"/>
    <xf numFmtId="0" fontId="24" fillId="29" borderId="0" applyNumberFormat="0" applyBorder="0" applyAlignment="0" applyProtection="0"/>
    <xf numFmtId="0" fontId="24" fillId="29" borderId="0" applyNumberFormat="0" applyBorder="0" applyAlignment="0" applyProtection="0"/>
    <xf numFmtId="0" fontId="24" fillId="29" borderId="0" applyNumberFormat="0" applyBorder="0" applyAlignment="0" applyProtection="0"/>
    <xf numFmtId="0" fontId="24" fillId="29" borderId="0" applyNumberFormat="0" applyBorder="0" applyAlignment="0" applyProtection="0"/>
    <xf numFmtId="0" fontId="24" fillId="29" borderId="0" applyNumberFormat="0" applyBorder="0" applyAlignment="0" applyProtection="0"/>
    <xf numFmtId="0" fontId="24" fillId="29" borderId="0" applyNumberFormat="0" applyBorder="0" applyAlignment="0" applyProtection="0"/>
    <xf numFmtId="0" fontId="24" fillId="29" borderId="0" applyNumberFormat="0" applyBorder="0" applyAlignment="0" applyProtection="0"/>
    <xf numFmtId="0" fontId="24" fillId="28" borderId="0" applyNumberFormat="0" applyBorder="0" applyProtection="0"/>
    <xf numFmtId="0" fontId="24" fillId="28" borderId="0" applyNumberFormat="0" applyBorder="0" applyProtection="0"/>
    <xf numFmtId="0" fontId="24" fillId="28" borderId="0" applyNumberFormat="0" applyBorder="0" applyProtection="0"/>
    <xf numFmtId="0" fontId="24" fillId="28" borderId="0" applyNumberFormat="0" applyBorder="0" applyProtection="0"/>
    <xf numFmtId="0" fontId="24" fillId="28" borderId="0" applyNumberFormat="0" applyBorder="0" applyProtection="0"/>
    <xf numFmtId="0" fontId="24" fillId="28" borderId="0" applyNumberFormat="0" applyBorder="0" applyProtection="0"/>
    <xf numFmtId="0" fontId="24" fillId="28" borderId="0" applyNumberFormat="0" applyBorder="0" applyProtection="0"/>
    <xf numFmtId="0" fontId="24" fillId="28" borderId="0" applyNumberFormat="0" applyBorder="0" applyProtection="0"/>
    <xf numFmtId="0" fontId="24" fillId="28" borderId="0" applyNumberFormat="0" applyBorder="0" applyProtection="0"/>
    <xf numFmtId="0" fontId="24" fillId="28" borderId="0" applyNumberFormat="0" applyBorder="0" applyProtection="0"/>
    <xf numFmtId="0" fontId="24" fillId="28" borderId="0" applyNumberFormat="0" applyBorder="0" applyProtection="0"/>
    <xf numFmtId="0" fontId="24" fillId="28" borderId="0" applyNumberFormat="0" applyBorder="0" applyProtection="0"/>
    <xf numFmtId="0" fontId="24" fillId="28" borderId="0" applyNumberFormat="0" applyBorder="0" applyProtection="0"/>
    <xf numFmtId="0" fontId="24" fillId="30" borderId="0" applyNumberFormat="0" applyBorder="0" applyProtection="0"/>
    <xf numFmtId="0" fontId="24" fillId="30" borderId="0" applyNumberFormat="0" applyBorder="0" applyProtection="0"/>
    <xf numFmtId="0" fontId="24" fillId="30" borderId="0" applyNumberFormat="0" applyBorder="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0" borderId="0" applyNumberFormat="0" applyBorder="0" applyProtection="0"/>
    <xf numFmtId="0" fontId="24" fillId="30" borderId="0" applyNumberFormat="0" applyBorder="0" applyProtection="0"/>
    <xf numFmtId="0" fontId="24" fillId="30" borderId="0" applyNumberFormat="0" applyBorder="0" applyProtection="0"/>
    <xf numFmtId="0" fontId="24" fillId="30" borderId="0" applyNumberFormat="0" applyBorder="0" applyProtection="0"/>
    <xf numFmtId="0" fontId="24" fillId="30" borderId="0" applyNumberFormat="0" applyBorder="0" applyProtection="0"/>
    <xf numFmtId="0" fontId="24" fillId="30" borderId="0" applyNumberFormat="0" applyBorder="0" applyProtection="0"/>
    <xf numFmtId="0" fontId="24" fillId="30" borderId="0" applyNumberFormat="0" applyBorder="0" applyProtection="0"/>
    <xf numFmtId="0" fontId="24" fillId="30" borderId="0" applyNumberFormat="0" applyBorder="0" applyProtection="0"/>
    <xf numFmtId="0" fontId="24" fillId="30" borderId="0" applyNumberFormat="0" applyBorder="0" applyProtection="0"/>
    <xf numFmtId="0" fontId="24" fillId="30" borderId="0" applyNumberFormat="0" applyBorder="0" applyProtection="0"/>
    <xf numFmtId="0" fontId="24" fillId="30" borderId="0" applyNumberFormat="0" applyBorder="0" applyProtection="0"/>
    <xf numFmtId="0" fontId="24" fillId="30" borderId="0" applyNumberFormat="0" applyBorder="0" applyProtection="0"/>
    <xf numFmtId="0" fontId="24" fillId="30" borderId="0" applyNumberFormat="0" applyBorder="0" applyProtection="0"/>
    <xf numFmtId="0" fontId="59" fillId="32" borderId="0" applyNumberFormat="0" applyBorder="0" applyProtection="0"/>
    <xf numFmtId="0" fontId="59" fillId="32" borderId="0" applyNumberFormat="0" applyBorder="0" applyProtection="0"/>
    <xf numFmtId="0" fontId="59" fillId="32" borderId="0" applyNumberFormat="0" applyBorder="0" applyProtection="0"/>
    <xf numFmtId="0" fontId="59" fillId="32" borderId="0" applyNumberFormat="0" applyBorder="0" applyProtection="0"/>
    <xf numFmtId="0" fontId="59" fillId="32" borderId="0" applyNumberFormat="0" applyBorder="0" applyProtection="0"/>
    <xf numFmtId="0" fontId="59" fillId="32" borderId="0" applyNumberFormat="0" applyBorder="0" applyProtection="0"/>
    <xf numFmtId="0" fontId="59" fillId="32" borderId="0" applyNumberFormat="0" applyBorder="0" applyProtection="0"/>
    <xf numFmtId="0" fontId="59" fillId="32" borderId="0" applyNumberFormat="0" applyBorder="0" applyProtection="0"/>
    <xf numFmtId="0" fontId="59" fillId="32" borderId="0" applyNumberFormat="0" applyBorder="0" applyProtection="0"/>
    <xf numFmtId="0" fontId="59" fillId="32" borderId="0" applyNumberFormat="0" applyBorder="0" applyProtection="0"/>
    <xf numFmtId="0" fontId="59" fillId="32" borderId="0" applyNumberFormat="0" applyBorder="0" applyProtection="0"/>
    <xf numFmtId="0" fontId="59" fillId="32" borderId="0" applyNumberFormat="0" applyBorder="0" applyProtection="0"/>
    <xf numFmtId="0" fontId="59" fillId="32" borderId="0" applyNumberFormat="0" applyBorder="0" applyProtection="0"/>
    <xf numFmtId="0" fontId="59" fillId="32" borderId="0" applyNumberFormat="0" applyBorder="0" applyProtection="0"/>
    <xf numFmtId="0" fontId="59" fillId="32" borderId="0" applyNumberFormat="0" applyBorder="0" applyProtection="0"/>
    <xf numFmtId="0" fontId="59" fillId="32" borderId="0" applyNumberFormat="0" applyBorder="0" applyProtection="0"/>
    <xf numFmtId="0" fontId="59" fillId="20" borderId="0" applyNumberFormat="0" applyBorder="0" applyProtection="0"/>
    <xf numFmtId="0" fontId="59" fillId="20" borderId="0" applyNumberFormat="0" applyBorder="0" applyProtection="0"/>
    <xf numFmtId="0" fontId="59" fillId="20" borderId="0" applyNumberFormat="0" applyBorder="0" applyProtection="0"/>
    <xf numFmtId="0" fontId="59" fillId="20" borderId="0" applyNumberFormat="0" applyBorder="0" applyProtection="0"/>
    <xf numFmtId="0" fontId="59" fillId="20" borderId="0" applyNumberFormat="0" applyBorder="0" applyProtection="0"/>
    <xf numFmtId="0" fontId="59" fillId="20" borderId="0" applyNumberFormat="0" applyBorder="0" applyProtection="0"/>
    <xf numFmtId="0" fontId="59" fillId="20" borderId="0" applyNumberFormat="0" applyBorder="0" applyProtection="0"/>
    <xf numFmtId="0" fontId="59" fillId="20" borderId="0" applyNumberFormat="0" applyBorder="0" applyProtection="0"/>
    <xf numFmtId="0" fontId="59" fillId="20" borderId="0" applyNumberFormat="0" applyBorder="0" applyProtection="0"/>
    <xf numFmtId="0" fontId="59" fillId="20" borderId="0" applyNumberFormat="0" applyBorder="0" applyProtection="0"/>
    <xf numFmtId="0" fontId="59" fillId="20" borderId="0" applyNumberFormat="0" applyBorder="0" applyProtection="0"/>
    <xf numFmtId="0" fontId="59" fillId="20" borderId="0" applyNumberFormat="0" applyBorder="0" applyProtection="0"/>
    <xf numFmtId="0" fontId="59" fillId="20" borderId="0" applyNumberFormat="0" applyBorder="0" applyProtection="0"/>
    <xf numFmtId="0" fontId="59" fillId="20" borderId="0" applyNumberFormat="0" applyBorder="0" applyProtection="0"/>
    <xf numFmtId="0" fontId="59" fillId="20" borderId="0" applyNumberFormat="0" applyBorder="0" applyProtection="0"/>
    <xf numFmtId="0" fontId="59" fillId="20" borderId="0" applyNumberFormat="0" applyBorder="0" applyProtection="0"/>
    <xf numFmtId="0" fontId="59" fillId="35" borderId="0" applyNumberFormat="0" applyBorder="0" applyProtection="0"/>
    <xf numFmtId="0" fontId="59" fillId="35" borderId="0" applyNumberFormat="0" applyBorder="0" applyProtection="0"/>
    <xf numFmtId="0" fontId="59" fillId="35" borderId="0" applyNumberFormat="0" applyBorder="0" applyProtection="0"/>
    <xf numFmtId="0" fontId="59" fillId="35" borderId="0" applyNumberFormat="0" applyBorder="0" applyProtection="0"/>
    <xf numFmtId="0" fontId="59" fillId="35" borderId="0" applyNumberFormat="0" applyBorder="0" applyProtection="0"/>
    <xf numFmtId="0" fontId="59" fillId="35" borderId="0" applyNumberFormat="0" applyBorder="0" applyProtection="0"/>
    <xf numFmtId="0" fontId="59" fillId="35" borderId="0" applyNumberFormat="0" applyBorder="0" applyProtection="0"/>
    <xf numFmtId="0" fontId="59" fillId="35" borderId="0" applyNumberFormat="0" applyBorder="0" applyProtection="0"/>
    <xf numFmtId="0" fontId="59" fillId="35" borderId="0" applyNumberFormat="0" applyBorder="0" applyProtection="0"/>
    <xf numFmtId="0" fontId="59" fillId="35" borderId="0" applyNumberFormat="0" applyBorder="0" applyProtection="0"/>
    <xf numFmtId="0" fontId="59" fillId="35" borderId="0" applyNumberFormat="0" applyBorder="0" applyProtection="0"/>
    <xf numFmtId="0" fontId="59" fillId="35" borderId="0" applyNumberFormat="0" applyBorder="0" applyProtection="0"/>
    <xf numFmtId="0" fontId="59" fillId="35" borderId="0" applyNumberFormat="0" applyBorder="0" applyProtection="0"/>
    <xf numFmtId="0" fontId="59" fillId="35" borderId="0" applyNumberFormat="0" applyBorder="0" applyProtection="0"/>
    <xf numFmtId="0" fontId="59" fillId="35" borderId="0" applyNumberFormat="0" applyBorder="0" applyProtection="0"/>
    <xf numFmtId="0" fontId="59" fillId="35" borderId="0" applyNumberFormat="0" applyBorder="0" applyProtection="0"/>
    <xf numFmtId="0" fontId="59" fillId="37" borderId="0" applyNumberFormat="0" applyBorder="0" applyProtection="0"/>
    <xf numFmtId="0" fontId="59" fillId="37" borderId="0" applyNumberFormat="0" applyBorder="0" applyProtection="0"/>
    <xf numFmtId="0" fontId="59" fillId="37" borderId="0" applyNumberFormat="0" applyBorder="0" applyProtection="0"/>
    <xf numFmtId="0" fontId="59" fillId="37" borderId="0" applyNumberFormat="0" applyBorder="0" applyProtection="0"/>
    <xf numFmtId="0" fontId="59" fillId="37" borderId="0" applyNumberFormat="0" applyBorder="0" applyProtection="0"/>
    <xf numFmtId="0" fontId="59" fillId="37" borderId="0" applyNumberFormat="0" applyBorder="0" applyProtection="0"/>
    <xf numFmtId="0" fontId="59" fillId="37" borderId="0" applyNumberFormat="0" applyBorder="0" applyProtection="0"/>
    <xf numFmtId="0" fontId="59" fillId="37" borderId="0" applyNumberFormat="0" applyBorder="0" applyProtection="0"/>
    <xf numFmtId="0" fontId="59" fillId="37" borderId="0" applyNumberFormat="0" applyBorder="0" applyProtection="0"/>
    <xf numFmtId="0" fontId="59" fillId="37" borderId="0" applyNumberFormat="0" applyBorder="0" applyProtection="0"/>
    <xf numFmtId="0" fontId="59" fillId="37" borderId="0" applyNumberFormat="0" applyBorder="0" applyProtection="0"/>
    <xf numFmtId="0" fontId="59" fillId="37" borderId="0" applyNumberFormat="0" applyBorder="0" applyProtection="0"/>
    <xf numFmtId="0" fontId="59" fillId="37" borderId="0" applyNumberFormat="0" applyBorder="0" applyProtection="0"/>
    <xf numFmtId="0" fontId="59" fillId="37" borderId="0" applyNumberFormat="0" applyBorder="0" applyProtection="0"/>
    <xf numFmtId="0" fontId="59" fillId="37" borderId="0" applyNumberFormat="0" applyBorder="0" applyProtection="0"/>
    <xf numFmtId="0" fontId="59" fillId="37" borderId="0" applyNumberFormat="0" applyBorder="0" applyProtection="0"/>
    <xf numFmtId="0" fontId="59" fillId="39" borderId="0" applyNumberFormat="0" applyBorder="0" applyProtection="0"/>
    <xf numFmtId="0" fontId="59" fillId="39" borderId="0" applyNumberFormat="0" applyBorder="0" applyProtection="0"/>
    <xf numFmtId="0" fontId="59" fillId="39" borderId="0" applyNumberFormat="0" applyBorder="0" applyProtection="0"/>
    <xf numFmtId="0" fontId="59" fillId="39" borderId="0" applyNumberFormat="0" applyBorder="0" applyProtection="0"/>
    <xf numFmtId="0" fontId="59" fillId="39" borderId="0" applyNumberFormat="0" applyBorder="0" applyProtection="0"/>
    <xf numFmtId="0" fontId="59" fillId="39" borderId="0" applyNumberFormat="0" applyBorder="0" applyProtection="0"/>
    <xf numFmtId="0" fontId="59" fillId="39" borderId="0" applyNumberFormat="0" applyBorder="0" applyProtection="0"/>
    <xf numFmtId="0" fontId="59" fillId="39" borderId="0" applyNumberFormat="0" applyBorder="0" applyProtection="0"/>
    <xf numFmtId="0" fontId="59" fillId="39" borderId="0" applyNumberFormat="0" applyBorder="0" applyProtection="0"/>
    <xf numFmtId="0" fontId="59" fillId="39" borderId="0" applyNumberFormat="0" applyBorder="0" applyProtection="0"/>
    <xf numFmtId="0" fontId="59" fillId="39" borderId="0" applyNumberFormat="0" applyBorder="0" applyProtection="0"/>
    <xf numFmtId="0" fontId="59" fillId="39" borderId="0" applyNumberFormat="0" applyBorder="0" applyProtection="0"/>
    <xf numFmtId="0" fontId="59" fillId="39" borderId="0" applyNumberFormat="0" applyBorder="0" applyProtection="0"/>
    <xf numFmtId="0" fontId="59" fillId="39" borderId="0" applyNumberFormat="0" applyBorder="0" applyProtection="0"/>
    <xf numFmtId="0" fontId="59" fillId="39" borderId="0" applyNumberFormat="0" applyBorder="0" applyProtection="0"/>
    <xf numFmtId="0" fontId="59" fillId="39" borderId="0" applyNumberFormat="0" applyBorder="0" applyProtection="0"/>
    <xf numFmtId="0" fontId="59" fillId="41" borderId="0" applyNumberFormat="0" applyBorder="0" applyProtection="0"/>
    <xf numFmtId="0" fontId="59" fillId="41" borderId="0" applyNumberFormat="0" applyBorder="0" applyProtection="0"/>
    <xf numFmtId="0" fontId="59" fillId="41" borderId="0" applyNumberFormat="0" applyBorder="0" applyProtection="0"/>
    <xf numFmtId="0" fontId="59" fillId="41" borderId="0" applyNumberFormat="0" applyBorder="0" applyProtection="0"/>
    <xf numFmtId="0" fontId="59" fillId="41" borderId="0" applyNumberFormat="0" applyBorder="0" applyProtection="0"/>
    <xf numFmtId="0" fontId="59" fillId="41" borderId="0" applyNumberFormat="0" applyBorder="0" applyProtection="0"/>
    <xf numFmtId="0" fontId="59" fillId="41" borderId="0" applyNumberFormat="0" applyBorder="0" applyProtection="0"/>
    <xf numFmtId="0" fontId="59" fillId="41" borderId="0" applyNumberFormat="0" applyBorder="0" applyProtection="0"/>
    <xf numFmtId="0" fontId="59" fillId="41" borderId="0" applyNumberFormat="0" applyBorder="0" applyProtection="0"/>
    <xf numFmtId="0" fontId="59" fillId="41" borderId="0" applyNumberFormat="0" applyBorder="0" applyProtection="0"/>
    <xf numFmtId="0" fontId="59" fillId="41" borderId="0" applyNumberFormat="0" applyBorder="0" applyProtection="0"/>
    <xf numFmtId="0" fontId="59" fillId="41" borderId="0" applyNumberFormat="0" applyBorder="0" applyProtection="0"/>
    <xf numFmtId="0" fontId="59" fillId="41" borderId="0" applyNumberFormat="0" applyBorder="0" applyProtection="0"/>
    <xf numFmtId="0" fontId="59" fillId="41" borderId="0" applyNumberFormat="0" applyBorder="0" applyProtection="0"/>
    <xf numFmtId="0" fontId="59" fillId="41" borderId="0" applyNumberFormat="0" applyBorder="0" applyProtection="0"/>
    <xf numFmtId="0" fontId="59" fillId="41" borderId="0" applyNumberFormat="0" applyBorder="0" applyProtection="0"/>
    <xf numFmtId="0" fontId="24" fillId="43" borderId="0" applyNumberFormat="0" applyBorder="0" applyProtection="0"/>
    <xf numFmtId="0" fontId="24" fillId="43" borderId="0" applyNumberFormat="0" applyBorder="0" applyProtection="0"/>
    <xf numFmtId="0" fontId="24" fillId="43" borderId="0" applyNumberFormat="0" applyBorder="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43" borderId="0" applyNumberFormat="0" applyBorder="0" applyProtection="0"/>
    <xf numFmtId="0" fontId="24" fillId="43" borderId="0" applyNumberFormat="0" applyBorder="0" applyProtection="0"/>
    <xf numFmtId="0" fontId="24" fillId="43" borderId="0" applyNumberFormat="0" applyBorder="0" applyProtection="0"/>
    <xf numFmtId="0" fontId="24" fillId="43" borderId="0" applyNumberFormat="0" applyBorder="0" applyProtection="0"/>
    <xf numFmtId="0" fontId="24" fillId="43" borderId="0" applyNumberFormat="0" applyBorder="0" applyProtection="0"/>
    <xf numFmtId="0" fontId="24" fillId="43" borderId="0" applyNumberFormat="0" applyBorder="0" applyProtection="0"/>
    <xf numFmtId="0" fontId="24" fillId="43" borderId="0" applyNumberFormat="0" applyBorder="0" applyProtection="0"/>
    <xf numFmtId="0" fontId="24" fillId="43" borderId="0" applyNumberFormat="0" applyBorder="0" applyProtection="0"/>
    <xf numFmtId="0" fontId="24" fillId="43" borderId="0" applyNumberFormat="0" applyBorder="0" applyProtection="0"/>
    <xf numFmtId="0" fontId="24" fillId="43" borderId="0" applyNumberFormat="0" applyBorder="0" applyProtection="0"/>
    <xf numFmtId="0" fontId="24" fillId="43" borderId="0" applyNumberFormat="0" applyBorder="0" applyProtection="0"/>
    <xf numFmtId="0" fontId="24" fillId="43" borderId="0" applyNumberFormat="0" applyBorder="0" applyProtection="0"/>
    <xf numFmtId="0" fontId="24" fillId="43" borderId="0" applyNumberFormat="0" applyBorder="0" applyProtection="0"/>
    <xf numFmtId="0" fontId="24" fillId="44" borderId="0" applyNumberFormat="0" applyBorder="0" applyProtection="0"/>
    <xf numFmtId="0" fontId="24" fillId="44" borderId="0" applyNumberFormat="0" applyBorder="0" applyProtection="0"/>
    <xf numFmtId="0" fontId="24" fillId="44" borderId="0" applyNumberFormat="0" applyBorder="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4" borderId="0" applyNumberFormat="0" applyBorder="0" applyProtection="0"/>
    <xf numFmtId="0" fontId="24" fillId="44" borderId="0" applyNumberFormat="0" applyBorder="0" applyProtection="0"/>
    <xf numFmtId="0" fontId="24" fillId="44" borderId="0" applyNumberFormat="0" applyBorder="0" applyProtection="0"/>
    <xf numFmtId="0" fontId="24" fillId="44" borderId="0" applyNumberFormat="0" applyBorder="0" applyProtection="0"/>
    <xf numFmtId="0" fontId="24" fillId="44" borderId="0" applyNumberFormat="0" applyBorder="0" applyProtection="0"/>
    <xf numFmtId="0" fontId="24" fillId="44" borderId="0" applyNumberFormat="0" applyBorder="0" applyProtection="0"/>
    <xf numFmtId="0" fontId="24" fillId="44" borderId="0" applyNumberFormat="0" applyBorder="0" applyProtection="0"/>
    <xf numFmtId="0" fontId="24" fillId="44" borderId="0" applyNumberFormat="0" applyBorder="0" applyProtection="0"/>
    <xf numFmtId="0" fontId="24" fillId="44" borderId="0" applyNumberFormat="0" applyBorder="0" applyProtection="0"/>
    <xf numFmtId="0" fontId="24" fillId="44" borderId="0" applyNumberFormat="0" applyBorder="0" applyProtection="0"/>
    <xf numFmtId="0" fontId="24" fillId="44" borderId="0" applyNumberFormat="0" applyBorder="0" applyProtection="0"/>
    <xf numFmtId="0" fontId="24" fillId="44" borderId="0" applyNumberFormat="0" applyBorder="0" applyProtection="0"/>
    <xf numFmtId="0" fontId="24" fillId="44" borderId="0" applyNumberFormat="0" applyBorder="0" applyProtection="0"/>
    <xf numFmtId="0" fontId="24" fillId="46" borderId="0" applyNumberFormat="0" applyBorder="0" applyProtection="0"/>
    <xf numFmtId="0" fontId="24" fillId="46" borderId="0" applyNumberFormat="0" applyBorder="0" applyProtection="0"/>
    <xf numFmtId="0" fontId="24" fillId="46" borderId="0" applyNumberFormat="0" applyBorder="0" applyProtection="0"/>
    <xf numFmtId="0" fontId="24" fillId="46" borderId="0" applyNumberFormat="0" applyBorder="0" applyProtection="0"/>
    <xf numFmtId="0" fontId="24" fillId="47" borderId="0" applyNumberFormat="0" applyBorder="0" applyProtection="0"/>
    <xf numFmtId="0" fontId="24" fillId="47" borderId="0" applyNumberFormat="0" applyBorder="0" applyProtection="0"/>
    <xf numFmtId="0" fontId="24" fillId="47" borderId="0" applyNumberFormat="0" applyBorder="0" applyProtection="0"/>
    <xf numFmtId="0" fontId="24" fillId="8" borderId="0" applyNumberFormat="0" applyBorder="0" applyAlignment="0" applyProtection="0"/>
    <xf numFmtId="0" fontId="24" fillId="8" borderId="0" applyNumberFormat="0" applyBorder="0" applyAlignment="0" applyProtection="0"/>
    <xf numFmtId="0" fontId="24" fillId="8" borderId="0" applyNumberFormat="0" applyBorder="0" applyAlignment="0" applyProtection="0"/>
    <xf numFmtId="0" fontId="24" fillId="8" borderId="0" applyNumberFormat="0" applyBorder="0" applyAlignment="0" applyProtection="0"/>
    <xf numFmtId="0" fontId="24" fillId="8" borderId="0" applyNumberFormat="0" applyBorder="0" applyAlignment="0" applyProtection="0"/>
    <xf numFmtId="0" fontId="24" fillId="8" borderId="0" applyNumberFormat="0" applyBorder="0" applyAlignment="0" applyProtection="0"/>
    <xf numFmtId="0" fontId="24" fillId="8" borderId="0" applyNumberFormat="0" applyBorder="0" applyAlignment="0" applyProtection="0"/>
    <xf numFmtId="0" fontId="24" fillId="8" borderId="0" applyNumberFormat="0" applyBorder="0" applyAlignment="0" applyProtection="0"/>
    <xf numFmtId="0" fontId="24" fillId="8" borderId="0" applyNumberFormat="0" applyBorder="0" applyAlignment="0" applyProtection="0"/>
    <xf numFmtId="0" fontId="24" fillId="8" borderId="0" applyNumberFormat="0" applyBorder="0" applyAlignment="0" applyProtection="0"/>
    <xf numFmtId="0" fontId="24" fillId="8" borderId="0" applyNumberFormat="0" applyBorder="0" applyAlignment="0" applyProtection="0"/>
    <xf numFmtId="0" fontId="24" fillId="8" borderId="0" applyNumberFormat="0" applyBorder="0" applyAlignment="0" applyProtection="0"/>
    <xf numFmtId="0" fontId="24" fillId="8" borderId="0" applyNumberFormat="0" applyBorder="0" applyAlignment="0" applyProtection="0"/>
    <xf numFmtId="0" fontId="24" fillId="8" borderId="0" applyNumberFormat="0" applyBorder="0" applyAlignment="0" applyProtection="0"/>
    <xf numFmtId="0" fontId="24" fillId="8" borderId="0" applyNumberFormat="0" applyBorder="0" applyAlignment="0" applyProtection="0"/>
    <xf numFmtId="0" fontId="24" fillId="8" borderId="0" applyNumberFormat="0" applyBorder="0" applyAlignment="0" applyProtection="0"/>
    <xf numFmtId="0" fontId="24" fillId="8" borderId="0" applyNumberFormat="0" applyBorder="0" applyAlignment="0" applyProtection="0"/>
    <xf numFmtId="0" fontId="24" fillId="8" borderId="0" applyNumberFormat="0" applyBorder="0" applyAlignment="0" applyProtection="0"/>
    <xf numFmtId="0" fontId="24" fillId="8" borderId="0" applyNumberFormat="0" applyBorder="0" applyAlignment="0" applyProtection="0"/>
    <xf numFmtId="0" fontId="24" fillId="8" borderId="0" applyNumberFormat="0" applyBorder="0" applyAlignment="0" applyProtection="0"/>
    <xf numFmtId="0" fontId="24" fillId="8" borderId="0" applyNumberFormat="0" applyBorder="0" applyAlignment="0" applyProtection="0"/>
    <xf numFmtId="0" fontId="24" fillId="8" borderId="0" applyNumberFormat="0" applyBorder="0" applyAlignment="0" applyProtection="0"/>
    <xf numFmtId="0" fontId="24" fillId="8" borderId="0" applyNumberFormat="0" applyBorder="0" applyAlignment="0" applyProtection="0"/>
    <xf numFmtId="0" fontId="24" fillId="8" borderId="0" applyNumberFormat="0" applyBorder="0" applyAlignment="0" applyProtection="0"/>
    <xf numFmtId="0" fontId="24" fillId="8" borderId="0" applyNumberFormat="0" applyBorder="0" applyAlignment="0" applyProtection="0"/>
    <xf numFmtId="0" fontId="24" fillId="8" borderId="0" applyNumberFormat="0" applyBorder="0" applyAlignment="0" applyProtection="0"/>
    <xf numFmtId="0" fontId="24" fillId="8" borderId="0" applyNumberFormat="0" applyBorder="0" applyAlignment="0" applyProtection="0"/>
    <xf numFmtId="0" fontId="24" fillId="8" borderId="0" applyNumberFormat="0" applyBorder="0" applyAlignment="0" applyProtection="0"/>
    <xf numFmtId="0" fontId="24" fillId="8" borderId="0" applyNumberFormat="0" applyBorder="0" applyAlignment="0" applyProtection="0"/>
    <xf numFmtId="0" fontId="24" fillId="8" borderId="0" applyNumberFormat="0" applyBorder="0" applyAlignment="0" applyProtection="0"/>
    <xf numFmtId="0" fontId="24" fillId="8" borderId="0" applyNumberFormat="0" applyBorder="0" applyAlignment="0" applyProtection="0"/>
    <xf numFmtId="0" fontId="24" fillId="8" borderId="0" applyNumberFormat="0" applyBorder="0" applyAlignment="0" applyProtection="0"/>
    <xf numFmtId="0" fontId="24" fillId="8" borderId="0" applyNumberFormat="0" applyBorder="0" applyAlignment="0" applyProtection="0"/>
    <xf numFmtId="0" fontId="24" fillId="8" borderId="0" applyNumberFormat="0" applyBorder="0" applyAlignment="0" applyProtection="0"/>
    <xf numFmtId="0" fontId="24" fillId="8" borderId="0" applyNumberFormat="0" applyBorder="0" applyAlignment="0" applyProtection="0"/>
    <xf numFmtId="0" fontId="24" fillId="8" borderId="0" applyNumberFormat="0" applyBorder="0" applyAlignment="0" applyProtection="0"/>
    <xf numFmtId="0" fontId="24" fillId="8" borderId="0" applyNumberFormat="0" applyBorder="0" applyAlignment="0" applyProtection="0"/>
    <xf numFmtId="0" fontId="24" fillId="8" borderId="0" applyNumberFormat="0" applyBorder="0" applyAlignment="0" applyProtection="0"/>
    <xf numFmtId="0" fontId="24" fillId="8" borderId="0" applyNumberFormat="0" applyBorder="0" applyAlignment="0" applyProtection="0"/>
    <xf numFmtId="0" fontId="24" fillId="8" borderId="0" applyNumberFormat="0" applyBorder="0" applyAlignment="0" applyProtection="0"/>
    <xf numFmtId="0" fontId="24" fillId="8" borderId="0" applyNumberFormat="0" applyBorder="0" applyAlignment="0" applyProtection="0"/>
    <xf numFmtId="0" fontId="24" fillId="8" borderId="0" applyNumberFormat="0" applyBorder="0" applyAlignment="0" applyProtection="0"/>
    <xf numFmtId="0" fontId="24" fillId="8" borderId="0" applyNumberFormat="0" applyBorder="0" applyAlignment="0" applyProtection="0"/>
    <xf numFmtId="0" fontId="24" fillId="8" borderId="0" applyNumberFormat="0" applyBorder="0" applyAlignment="0" applyProtection="0"/>
    <xf numFmtId="0" fontId="24" fillId="8" borderId="0" applyNumberFormat="0" applyBorder="0" applyAlignment="0" applyProtection="0"/>
    <xf numFmtId="0" fontId="24" fillId="8" borderId="0" applyNumberFormat="0" applyBorder="0" applyAlignment="0" applyProtection="0"/>
    <xf numFmtId="0" fontId="24" fillId="8" borderId="0" applyNumberFormat="0" applyBorder="0" applyAlignment="0" applyProtection="0"/>
    <xf numFmtId="0" fontId="24" fillId="8" borderId="0" applyNumberFormat="0" applyBorder="0" applyAlignment="0" applyProtection="0"/>
    <xf numFmtId="0" fontId="24" fillId="8" borderId="0" applyNumberFormat="0" applyBorder="0" applyAlignment="0" applyProtection="0"/>
    <xf numFmtId="0" fontId="24" fillId="8" borderId="0" applyNumberFormat="0" applyBorder="0" applyAlignment="0" applyProtection="0"/>
    <xf numFmtId="0" fontId="24" fillId="8" borderId="0" applyNumberFormat="0" applyBorder="0" applyAlignment="0" applyProtection="0"/>
    <xf numFmtId="0" fontId="24" fillId="8" borderId="0" applyNumberFormat="0" applyBorder="0" applyAlignment="0" applyProtection="0"/>
    <xf numFmtId="0" fontId="24" fillId="8" borderId="0" applyNumberFormat="0" applyBorder="0" applyAlignment="0" applyProtection="0"/>
    <xf numFmtId="0" fontId="24" fillId="8" borderId="0" applyNumberFormat="0" applyBorder="0" applyAlignment="0" applyProtection="0"/>
    <xf numFmtId="0" fontId="24" fillId="8" borderId="0" applyNumberFormat="0" applyBorder="0" applyAlignment="0" applyProtection="0"/>
    <xf numFmtId="0" fontId="24" fillId="8" borderId="0" applyNumberFormat="0" applyBorder="0" applyAlignment="0" applyProtection="0"/>
    <xf numFmtId="0" fontId="24" fillId="47" borderId="0" applyNumberFormat="0" applyBorder="0" applyProtection="0"/>
    <xf numFmtId="0" fontId="24" fillId="47" borderId="0" applyNumberFormat="0" applyBorder="0" applyProtection="0"/>
    <xf numFmtId="0" fontId="24" fillId="47" borderId="0" applyNumberFormat="0" applyBorder="0" applyProtection="0"/>
    <xf numFmtId="0" fontId="24" fillId="47" borderId="0" applyNumberFormat="0" applyBorder="0" applyProtection="0"/>
    <xf numFmtId="0" fontId="24" fillId="47" borderId="0" applyNumberFormat="0" applyBorder="0" applyProtection="0"/>
    <xf numFmtId="0" fontId="24" fillId="47" borderId="0" applyNumberFormat="0" applyBorder="0" applyProtection="0"/>
    <xf numFmtId="0" fontId="24" fillId="47" borderId="0" applyNumberFormat="0" applyBorder="0" applyProtection="0"/>
    <xf numFmtId="0" fontId="24" fillId="47" borderId="0" applyNumberFormat="0" applyBorder="0" applyProtection="0"/>
    <xf numFmtId="0" fontId="24" fillId="47" borderId="0" applyNumberFormat="0" applyBorder="0" applyProtection="0"/>
    <xf numFmtId="0" fontId="24" fillId="47" borderId="0" applyNumberFormat="0" applyBorder="0" applyProtection="0"/>
    <xf numFmtId="0" fontId="24" fillId="47" borderId="0" applyNumberFormat="0" applyBorder="0" applyProtection="0"/>
    <xf numFmtId="0" fontId="24" fillId="47" borderId="0" applyNumberFormat="0" applyBorder="0" applyProtection="0"/>
    <xf numFmtId="0" fontId="24" fillId="47" borderId="0" applyNumberFormat="0" applyBorder="0" applyProtection="0"/>
    <xf numFmtId="0" fontId="24" fillId="48" borderId="0" applyNumberFormat="0" applyBorder="0" applyAlignment="0" applyProtection="0"/>
    <xf numFmtId="0" fontId="24" fillId="48" borderId="0" applyNumberFormat="0" applyBorder="0" applyAlignment="0" applyProtection="0"/>
    <xf numFmtId="0" fontId="24" fillId="48" borderId="0" applyNumberFormat="0" applyBorder="0" applyAlignment="0" applyProtection="0"/>
    <xf numFmtId="0" fontId="24" fillId="48" borderId="0" applyNumberFormat="0" applyBorder="0" applyAlignment="0" applyProtection="0"/>
    <xf numFmtId="0" fontId="24" fillId="48" borderId="0" applyNumberFormat="0" applyBorder="0" applyAlignment="0" applyProtection="0"/>
    <xf numFmtId="0" fontId="24" fillId="48" borderId="0" applyNumberFormat="0" applyBorder="0" applyAlignment="0" applyProtection="0"/>
    <xf numFmtId="0" fontId="24" fillId="48" borderId="0" applyNumberFormat="0" applyBorder="0" applyAlignment="0" applyProtection="0"/>
    <xf numFmtId="0" fontId="24" fillId="48" borderId="0" applyNumberFormat="0" applyBorder="0" applyAlignment="0" applyProtection="0"/>
    <xf numFmtId="0" fontId="24" fillId="48" borderId="0" applyNumberFormat="0" applyBorder="0" applyAlignment="0" applyProtection="0"/>
    <xf numFmtId="0" fontId="24" fillId="48" borderId="0" applyNumberFormat="0" applyBorder="0" applyAlignment="0" applyProtection="0"/>
    <xf numFmtId="0" fontId="24" fillId="48" borderId="0" applyNumberFormat="0" applyBorder="0" applyAlignment="0" applyProtection="0"/>
    <xf numFmtId="0" fontId="24" fillId="48" borderId="0" applyNumberFormat="0" applyBorder="0" applyAlignment="0" applyProtection="0"/>
    <xf numFmtId="0" fontId="24" fillId="48" borderId="0" applyNumberFormat="0" applyBorder="0" applyAlignment="0" applyProtection="0"/>
    <xf numFmtId="0" fontId="24" fillId="48" borderId="0" applyNumberFormat="0" applyBorder="0" applyAlignment="0" applyProtection="0"/>
    <xf numFmtId="0" fontId="24" fillId="48" borderId="0" applyNumberFormat="0" applyBorder="0" applyAlignment="0" applyProtection="0"/>
    <xf numFmtId="0" fontId="24" fillId="48" borderId="0" applyNumberFormat="0" applyBorder="0" applyAlignment="0" applyProtection="0"/>
    <xf numFmtId="0" fontId="24" fillId="48" borderId="0" applyNumberFormat="0" applyBorder="0" applyAlignment="0" applyProtection="0"/>
    <xf numFmtId="0" fontId="24" fillId="48" borderId="0" applyNumberFormat="0" applyBorder="0" applyAlignment="0" applyProtection="0"/>
    <xf numFmtId="0" fontId="24" fillId="48" borderId="0" applyNumberFormat="0" applyBorder="0" applyAlignment="0" applyProtection="0"/>
    <xf numFmtId="0" fontId="24" fillId="48" borderId="0" applyNumberFormat="0" applyBorder="0" applyAlignment="0" applyProtection="0"/>
    <xf numFmtId="0" fontId="24" fillId="48" borderId="0" applyNumberFormat="0" applyBorder="0" applyAlignment="0" applyProtection="0"/>
    <xf numFmtId="0" fontId="24" fillId="48" borderId="0" applyNumberFormat="0" applyBorder="0" applyAlignment="0" applyProtection="0"/>
    <xf numFmtId="0" fontId="24" fillId="48" borderId="0" applyNumberFormat="0" applyBorder="0" applyAlignment="0" applyProtection="0"/>
    <xf numFmtId="0" fontId="24" fillId="48" borderId="0" applyNumberFormat="0" applyBorder="0" applyAlignment="0" applyProtection="0"/>
    <xf numFmtId="0" fontId="24" fillId="48" borderId="0" applyNumberFormat="0" applyBorder="0" applyAlignment="0" applyProtection="0"/>
    <xf numFmtId="0" fontId="24" fillId="48" borderId="0" applyNumberFormat="0" applyBorder="0" applyAlignment="0" applyProtection="0"/>
    <xf numFmtId="0" fontId="24" fillId="48" borderId="0" applyNumberFormat="0" applyBorder="0" applyAlignment="0" applyProtection="0"/>
    <xf numFmtId="0" fontId="24" fillId="48" borderId="0" applyNumberFormat="0" applyBorder="0" applyAlignment="0" applyProtection="0"/>
    <xf numFmtId="0" fontId="24" fillId="48" borderId="0" applyNumberFormat="0" applyBorder="0" applyAlignment="0" applyProtection="0"/>
    <xf numFmtId="0" fontId="24" fillId="48" borderId="0" applyNumberFormat="0" applyBorder="0" applyAlignment="0" applyProtection="0"/>
    <xf numFmtId="0" fontId="24" fillId="48" borderId="0" applyNumberFormat="0" applyBorder="0" applyAlignment="0" applyProtection="0"/>
    <xf numFmtId="0" fontId="24" fillId="48" borderId="0" applyNumberFormat="0" applyBorder="0" applyAlignment="0" applyProtection="0"/>
    <xf numFmtId="0" fontId="24" fillId="48" borderId="0" applyNumberFormat="0" applyBorder="0" applyAlignment="0" applyProtection="0"/>
    <xf numFmtId="0" fontId="24" fillId="48" borderId="0" applyNumberFormat="0" applyBorder="0" applyAlignment="0" applyProtection="0"/>
    <xf numFmtId="0" fontId="24" fillId="48" borderId="0" applyNumberFormat="0" applyBorder="0" applyAlignment="0" applyProtection="0"/>
    <xf numFmtId="0" fontId="24" fillId="48" borderId="0" applyNumberFormat="0" applyBorder="0" applyAlignment="0" applyProtection="0"/>
    <xf numFmtId="0" fontId="24" fillId="48" borderId="0" applyNumberFormat="0" applyBorder="0" applyAlignment="0" applyProtection="0"/>
    <xf numFmtId="0" fontId="24" fillId="48" borderId="0" applyNumberFormat="0" applyBorder="0" applyAlignment="0" applyProtection="0"/>
    <xf numFmtId="0" fontId="24" fillId="48" borderId="0" applyNumberFormat="0" applyBorder="0" applyAlignment="0" applyProtection="0"/>
    <xf numFmtId="0" fontId="24" fillId="48" borderId="0" applyNumberFormat="0" applyBorder="0" applyAlignment="0" applyProtection="0"/>
    <xf numFmtId="0" fontId="24" fillId="48" borderId="0" applyNumberFormat="0" applyBorder="0" applyAlignment="0" applyProtection="0"/>
    <xf numFmtId="0" fontId="24" fillId="48" borderId="0" applyNumberFormat="0" applyBorder="0" applyAlignment="0" applyProtection="0"/>
    <xf numFmtId="0" fontId="24" fillId="48" borderId="0" applyNumberFormat="0" applyBorder="0" applyAlignment="0" applyProtection="0"/>
    <xf numFmtId="0" fontId="24" fillId="48" borderId="0" applyNumberFormat="0" applyBorder="0" applyAlignment="0" applyProtection="0"/>
    <xf numFmtId="0" fontId="24" fillId="48" borderId="0" applyNumberFormat="0" applyBorder="0" applyAlignment="0" applyProtection="0"/>
    <xf numFmtId="0" fontId="24" fillId="48" borderId="0" applyNumberFormat="0" applyBorder="0" applyAlignment="0" applyProtection="0"/>
    <xf numFmtId="0" fontId="24" fillId="48" borderId="0" applyNumberFormat="0" applyBorder="0" applyAlignment="0" applyProtection="0"/>
    <xf numFmtId="0" fontId="24" fillId="48" borderId="0" applyNumberFormat="0" applyBorder="0" applyAlignment="0" applyProtection="0"/>
    <xf numFmtId="0" fontId="24" fillId="48" borderId="0" applyNumberFormat="0" applyBorder="0" applyAlignment="0" applyProtection="0"/>
    <xf numFmtId="0" fontId="24" fillId="48" borderId="0" applyNumberFormat="0" applyBorder="0" applyAlignment="0" applyProtection="0"/>
    <xf numFmtId="0" fontId="24" fillId="48" borderId="0" applyNumberFormat="0" applyBorder="0" applyAlignment="0" applyProtection="0"/>
    <xf numFmtId="0" fontId="24" fillId="48" borderId="0" applyNumberFormat="0" applyBorder="0" applyAlignment="0" applyProtection="0"/>
    <xf numFmtId="0" fontId="24" fillId="48" borderId="0" applyNumberFormat="0" applyBorder="0" applyAlignment="0" applyProtection="0"/>
    <xf numFmtId="0" fontId="24" fillId="48" borderId="0" applyNumberFormat="0" applyBorder="0" applyAlignment="0" applyProtection="0"/>
    <xf numFmtId="0" fontId="24" fillId="48" borderId="0" applyNumberFormat="0" applyBorder="0" applyAlignment="0" applyProtection="0"/>
    <xf numFmtId="0" fontId="24" fillId="48" borderId="0" applyNumberFormat="0" applyBorder="0" applyAlignment="0" applyProtection="0"/>
    <xf numFmtId="0" fontId="24" fillId="46" borderId="0" applyNumberFormat="0" applyBorder="0" applyProtection="0"/>
    <xf numFmtId="0" fontId="24" fillId="46" borderId="0" applyNumberFormat="0" applyBorder="0" applyProtection="0"/>
    <xf numFmtId="0" fontId="24" fillId="46" borderId="0" applyNumberFormat="0" applyBorder="0" applyProtection="0"/>
    <xf numFmtId="0" fontId="24" fillId="46" borderId="0" applyNumberFormat="0" applyBorder="0" applyProtection="0"/>
    <xf numFmtId="0" fontId="24" fillId="46" borderId="0" applyNumberFormat="0" applyBorder="0" applyProtection="0"/>
    <xf numFmtId="0" fontId="24" fillId="46" borderId="0" applyNumberFormat="0" applyBorder="0" applyProtection="0"/>
    <xf numFmtId="0" fontId="24" fillId="46" borderId="0" applyNumberFormat="0" applyBorder="0" applyProtection="0"/>
    <xf numFmtId="0" fontId="24" fillId="46" borderId="0" applyNumberFormat="0" applyBorder="0" applyProtection="0"/>
    <xf numFmtId="0" fontId="24" fillId="46" borderId="0" applyNumberFormat="0" applyBorder="0" applyProtection="0"/>
    <xf numFmtId="0" fontId="24" fillId="46" borderId="0" applyNumberFormat="0" applyBorder="0" applyProtection="0"/>
    <xf numFmtId="0" fontId="24" fillId="46" borderId="0" applyNumberFormat="0" applyBorder="0" applyProtection="0"/>
    <xf numFmtId="0" fontId="24" fillId="46" borderId="0" applyNumberFormat="0" applyBorder="0" applyProtection="0"/>
    <xf numFmtId="0" fontId="24" fillId="49" borderId="0" applyNumberFormat="0" applyBorder="0" applyProtection="0"/>
    <xf numFmtId="0" fontId="24" fillId="49" borderId="0" applyNumberFormat="0" applyBorder="0" applyProtection="0"/>
    <xf numFmtId="0" fontId="24" fillId="49" borderId="0" applyNumberFormat="0" applyBorder="0" applyProtection="0"/>
    <xf numFmtId="0" fontId="24" fillId="7" borderId="0" applyNumberFormat="0" applyBorder="0" applyAlignment="0" applyProtection="0"/>
    <xf numFmtId="0" fontId="24" fillId="7" borderId="0" applyNumberFormat="0" applyBorder="0" applyAlignment="0" applyProtection="0"/>
    <xf numFmtId="0" fontId="24" fillId="7" borderId="0" applyNumberFormat="0" applyBorder="0" applyAlignment="0" applyProtection="0"/>
    <xf numFmtId="0" fontId="24" fillId="7" borderId="0" applyNumberFormat="0" applyBorder="0" applyAlignment="0" applyProtection="0"/>
    <xf numFmtId="0" fontId="24" fillId="7" borderId="0" applyNumberFormat="0" applyBorder="0" applyAlignment="0" applyProtection="0"/>
    <xf numFmtId="0" fontId="24" fillId="7" borderId="0" applyNumberFormat="0" applyBorder="0" applyAlignment="0" applyProtection="0"/>
    <xf numFmtId="0" fontId="24" fillId="7" borderId="0" applyNumberFormat="0" applyBorder="0" applyAlignment="0" applyProtection="0"/>
    <xf numFmtId="0" fontId="24" fillId="7" borderId="0" applyNumberFormat="0" applyBorder="0" applyAlignment="0" applyProtection="0"/>
    <xf numFmtId="0" fontId="24" fillId="7" borderId="0" applyNumberFormat="0" applyBorder="0" applyAlignment="0" applyProtection="0"/>
    <xf numFmtId="0" fontId="24" fillId="7" borderId="0" applyNumberFormat="0" applyBorder="0" applyAlignment="0" applyProtection="0"/>
    <xf numFmtId="0" fontId="24" fillId="7" borderId="0" applyNumberFormat="0" applyBorder="0" applyAlignment="0" applyProtection="0"/>
    <xf numFmtId="0" fontId="24" fillId="7" borderId="0" applyNumberFormat="0" applyBorder="0" applyAlignment="0" applyProtection="0"/>
    <xf numFmtId="0" fontId="24" fillId="7" borderId="0" applyNumberFormat="0" applyBorder="0" applyAlignment="0" applyProtection="0"/>
    <xf numFmtId="0" fontId="24" fillId="7" borderId="0" applyNumberFormat="0" applyBorder="0" applyAlignment="0" applyProtection="0"/>
    <xf numFmtId="0" fontId="24" fillId="7" borderId="0" applyNumberFormat="0" applyBorder="0" applyAlignment="0" applyProtection="0"/>
    <xf numFmtId="0" fontId="24" fillId="7" borderId="0" applyNumberFormat="0" applyBorder="0" applyAlignment="0" applyProtection="0"/>
    <xf numFmtId="0" fontId="24" fillId="7" borderId="0" applyNumberFormat="0" applyBorder="0" applyAlignment="0" applyProtection="0"/>
    <xf numFmtId="0" fontId="24" fillId="7" borderId="0" applyNumberFormat="0" applyBorder="0" applyAlignment="0" applyProtection="0"/>
    <xf numFmtId="0" fontId="24" fillId="7" borderId="0" applyNumberFormat="0" applyBorder="0" applyAlignment="0" applyProtection="0"/>
    <xf numFmtId="0" fontId="24" fillId="7" borderId="0" applyNumberFormat="0" applyBorder="0" applyAlignment="0" applyProtection="0"/>
    <xf numFmtId="0" fontId="24" fillId="7" borderId="0" applyNumberFormat="0" applyBorder="0" applyAlignment="0" applyProtection="0"/>
    <xf numFmtId="0" fontId="24" fillId="7" borderId="0" applyNumberFormat="0" applyBorder="0" applyAlignment="0" applyProtection="0"/>
    <xf numFmtId="0" fontId="24" fillId="7" borderId="0" applyNumberFormat="0" applyBorder="0" applyAlignment="0" applyProtection="0"/>
    <xf numFmtId="0" fontId="24" fillId="7" borderId="0" applyNumberFormat="0" applyBorder="0" applyAlignment="0" applyProtection="0"/>
    <xf numFmtId="0" fontId="24" fillId="7" borderId="0" applyNumberFormat="0" applyBorder="0" applyAlignment="0" applyProtection="0"/>
    <xf numFmtId="0" fontId="24" fillId="7" borderId="0" applyNumberFormat="0" applyBorder="0" applyAlignment="0" applyProtection="0"/>
    <xf numFmtId="0" fontId="24" fillId="7" borderId="0" applyNumberFormat="0" applyBorder="0" applyAlignment="0" applyProtection="0"/>
    <xf numFmtId="0" fontId="24" fillId="7" borderId="0" applyNumberFormat="0" applyBorder="0" applyAlignment="0" applyProtection="0"/>
    <xf numFmtId="0" fontId="24" fillId="7" borderId="0" applyNumberFormat="0" applyBorder="0" applyAlignment="0" applyProtection="0"/>
    <xf numFmtId="0" fontId="24" fillId="7" borderId="0" applyNumberFormat="0" applyBorder="0" applyAlignment="0" applyProtection="0"/>
    <xf numFmtId="0" fontId="24" fillId="7" borderId="0" applyNumberFormat="0" applyBorder="0" applyAlignment="0" applyProtection="0"/>
    <xf numFmtId="0" fontId="24" fillId="7" borderId="0" applyNumberFormat="0" applyBorder="0" applyAlignment="0" applyProtection="0"/>
    <xf numFmtId="0" fontId="24" fillId="7" borderId="0" applyNumberFormat="0" applyBorder="0" applyAlignment="0" applyProtection="0"/>
    <xf numFmtId="0" fontId="24" fillId="7" borderId="0" applyNumberFormat="0" applyBorder="0" applyAlignment="0" applyProtection="0"/>
    <xf numFmtId="0" fontId="24" fillId="7" borderId="0" applyNumberFormat="0" applyBorder="0" applyAlignment="0" applyProtection="0"/>
    <xf numFmtId="0" fontId="24" fillId="7" borderId="0" applyNumberFormat="0" applyBorder="0" applyAlignment="0" applyProtection="0"/>
    <xf numFmtId="0" fontId="24" fillId="7" borderId="0" applyNumberFormat="0" applyBorder="0" applyAlignment="0" applyProtection="0"/>
    <xf numFmtId="0" fontId="24" fillId="7" borderId="0" applyNumberFormat="0" applyBorder="0" applyAlignment="0" applyProtection="0"/>
    <xf numFmtId="0" fontId="24" fillId="7" borderId="0" applyNumberFormat="0" applyBorder="0" applyAlignment="0" applyProtection="0"/>
    <xf numFmtId="0" fontId="24" fillId="7" borderId="0" applyNumberFormat="0" applyBorder="0" applyAlignment="0" applyProtection="0"/>
    <xf numFmtId="0" fontId="24" fillId="7" borderId="0" applyNumberFormat="0" applyBorder="0" applyAlignment="0" applyProtection="0"/>
    <xf numFmtId="0" fontId="24" fillId="7" borderId="0" applyNumberFormat="0" applyBorder="0" applyAlignment="0" applyProtection="0"/>
    <xf numFmtId="0" fontId="24" fillId="7" borderId="0" applyNumberFormat="0" applyBorder="0" applyAlignment="0" applyProtection="0"/>
    <xf numFmtId="0" fontId="24" fillId="7" borderId="0" applyNumberFormat="0" applyBorder="0" applyAlignment="0" applyProtection="0"/>
    <xf numFmtId="0" fontId="24" fillId="7" borderId="0" applyNumberFormat="0" applyBorder="0" applyAlignment="0" applyProtection="0"/>
    <xf numFmtId="0" fontId="24" fillId="7" borderId="0" applyNumberFormat="0" applyBorder="0" applyAlignment="0" applyProtection="0"/>
    <xf numFmtId="0" fontId="24" fillId="7" borderId="0" applyNumberFormat="0" applyBorder="0" applyAlignment="0" applyProtection="0"/>
    <xf numFmtId="0" fontId="24" fillId="7" borderId="0" applyNumberFormat="0" applyBorder="0" applyAlignment="0" applyProtection="0"/>
    <xf numFmtId="0" fontId="24" fillId="7" borderId="0" applyNumberFormat="0" applyBorder="0" applyAlignment="0" applyProtection="0"/>
    <xf numFmtId="0" fontId="24" fillId="7" borderId="0" applyNumberFormat="0" applyBorder="0" applyAlignment="0" applyProtection="0"/>
    <xf numFmtId="0" fontId="24" fillId="7" borderId="0" applyNumberFormat="0" applyBorder="0" applyAlignment="0" applyProtection="0"/>
    <xf numFmtId="0" fontId="24" fillId="7" borderId="0" applyNumberFormat="0" applyBorder="0" applyAlignment="0" applyProtection="0"/>
    <xf numFmtId="0" fontId="24" fillId="7" borderId="0" applyNumberFormat="0" applyBorder="0" applyAlignment="0" applyProtection="0"/>
    <xf numFmtId="0" fontId="24" fillId="7" borderId="0" applyNumberFormat="0" applyBorder="0" applyAlignment="0" applyProtection="0"/>
    <xf numFmtId="0" fontId="24" fillId="7" borderId="0" applyNumberFormat="0" applyBorder="0" applyAlignment="0" applyProtection="0"/>
    <xf numFmtId="0" fontId="24" fillId="7" borderId="0" applyNumberFormat="0" applyBorder="0" applyAlignment="0" applyProtection="0"/>
    <xf numFmtId="0" fontId="24" fillId="49" borderId="0" applyNumberFormat="0" applyBorder="0" applyProtection="0"/>
    <xf numFmtId="0" fontId="24" fillId="49" borderId="0" applyNumberFormat="0" applyBorder="0" applyProtection="0"/>
    <xf numFmtId="0" fontId="24" fillId="49" borderId="0" applyNumberFormat="0" applyBorder="0" applyProtection="0"/>
    <xf numFmtId="0" fontId="24" fillId="49" borderId="0" applyNumberFormat="0" applyBorder="0" applyProtection="0"/>
    <xf numFmtId="0" fontId="24" fillId="49" borderId="0" applyNumberFormat="0" applyBorder="0" applyProtection="0"/>
    <xf numFmtId="0" fontId="24" fillId="49" borderId="0" applyNumberFormat="0" applyBorder="0" applyProtection="0"/>
    <xf numFmtId="0" fontId="24" fillId="49" borderId="0" applyNumberFormat="0" applyBorder="0" applyProtection="0"/>
    <xf numFmtId="0" fontId="24" fillId="49" borderId="0" applyNumberFormat="0" applyBorder="0" applyProtection="0"/>
    <xf numFmtId="0" fontId="24" fillId="49" borderId="0" applyNumberFormat="0" applyBorder="0" applyProtection="0"/>
    <xf numFmtId="0" fontId="24" fillId="49" borderId="0" applyNumberFormat="0" applyBorder="0" applyProtection="0"/>
    <xf numFmtId="0" fontId="24" fillId="49" borderId="0" applyNumberFormat="0" applyBorder="0" applyProtection="0"/>
    <xf numFmtId="0" fontId="24" fillId="49" borderId="0" applyNumberFormat="0" applyBorder="0" applyProtection="0"/>
    <xf numFmtId="0" fontId="24" fillId="49" borderId="0" applyNumberFormat="0" applyBorder="0" applyProtection="0"/>
    <xf numFmtId="0" fontId="24" fillId="50" borderId="0" applyNumberFormat="0" applyBorder="0" applyProtection="0"/>
    <xf numFmtId="0" fontId="24" fillId="50" borderId="0" applyNumberFormat="0" applyBorder="0" applyProtection="0"/>
    <xf numFmtId="0" fontId="24" fillId="50" borderId="0" applyNumberFormat="0" applyBorder="0" applyProtection="0"/>
    <xf numFmtId="0" fontId="24" fillId="51" borderId="0" applyNumberFormat="0" applyBorder="0" applyAlignment="0" applyProtection="0"/>
    <xf numFmtId="0" fontId="24" fillId="51" borderId="0" applyNumberFormat="0" applyBorder="0" applyAlignment="0" applyProtection="0"/>
    <xf numFmtId="0" fontId="24" fillId="51" borderId="0" applyNumberFormat="0" applyBorder="0" applyAlignment="0" applyProtection="0"/>
    <xf numFmtId="0" fontId="24" fillId="51" borderId="0" applyNumberFormat="0" applyBorder="0" applyAlignment="0" applyProtection="0"/>
    <xf numFmtId="0" fontId="24" fillId="51" borderId="0" applyNumberFormat="0" applyBorder="0" applyAlignment="0" applyProtection="0"/>
    <xf numFmtId="0" fontId="24" fillId="51" borderId="0" applyNumberFormat="0" applyBorder="0" applyAlignment="0" applyProtection="0"/>
    <xf numFmtId="0" fontId="24" fillId="51" borderId="0" applyNumberFormat="0" applyBorder="0" applyAlignment="0" applyProtection="0"/>
    <xf numFmtId="0" fontId="24" fillId="51" borderId="0" applyNumberFormat="0" applyBorder="0" applyAlignment="0" applyProtection="0"/>
    <xf numFmtId="0" fontId="24" fillId="51" borderId="0" applyNumberFormat="0" applyBorder="0" applyAlignment="0" applyProtection="0"/>
    <xf numFmtId="0" fontId="24" fillId="51" borderId="0" applyNumberFormat="0" applyBorder="0" applyAlignment="0" applyProtection="0"/>
    <xf numFmtId="0" fontId="24" fillId="51" borderId="0" applyNumberFormat="0" applyBorder="0" applyAlignment="0" applyProtection="0"/>
    <xf numFmtId="0" fontId="24" fillId="51" borderId="0" applyNumberFormat="0" applyBorder="0" applyAlignment="0" applyProtection="0"/>
    <xf numFmtId="0" fontId="24" fillId="51" borderId="0" applyNumberFormat="0" applyBorder="0" applyAlignment="0" applyProtection="0"/>
    <xf numFmtId="0" fontId="24" fillId="51" borderId="0" applyNumberFormat="0" applyBorder="0" applyAlignment="0" applyProtection="0"/>
    <xf numFmtId="0" fontId="24" fillId="51" borderId="0" applyNumberFormat="0" applyBorder="0" applyAlignment="0" applyProtection="0"/>
    <xf numFmtId="0" fontId="24" fillId="51" borderId="0" applyNumberFormat="0" applyBorder="0" applyAlignment="0" applyProtection="0"/>
    <xf numFmtId="0" fontId="24" fillId="51" borderId="0" applyNumberFormat="0" applyBorder="0" applyAlignment="0" applyProtection="0"/>
    <xf numFmtId="0" fontId="24" fillId="51" borderId="0" applyNumberFormat="0" applyBorder="0" applyAlignment="0" applyProtection="0"/>
    <xf numFmtId="0" fontId="24" fillId="51" borderId="0" applyNumberFormat="0" applyBorder="0" applyAlignment="0" applyProtection="0"/>
    <xf numFmtId="0" fontId="24" fillId="51" borderId="0" applyNumberFormat="0" applyBorder="0" applyAlignment="0" applyProtection="0"/>
    <xf numFmtId="0" fontId="24" fillId="51" borderId="0" applyNumberFormat="0" applyBorder="0" applyAlignment="0" applyProtection="0"/>
    <xf numFmtId="0" fontId="24" fillId="51" borderId="0" applyNumberFormat="0" applyBorder="0" applyAlignment="0" applyProtection="0"/>
    <xf numFmtId="0" fontId="24" fillId="51" borderId="0" applyNumberFormat="0" applyBorder="0" applyAlignment="0" applyProtection="0"/>
    <xf numFmtId="0" fontId="24" fillId="51" borderId="0" applyNumberFormat="0" applyBorder="0" applyAlignment="0" applyProtection="0"/>
    <xf numFmtId="0" fontId="24" fillId="51" borderId="0" applyNumberFormat="0" applyBorder="0" applyAlignment="0" applyProtection="0"/>
    <xf numFmtId="0" fontId="24" fillId="51" borderId="0" applyNumberFormat="0" applyBorder="0" applyAlignment="0" applyProtection="0"/>
    <xf numFmtId="0" fontId="24" fillId="51" borderId="0" applyNumberFormat="0" applyBorder="0" applyAlignment="0" applyProtection="0"/>
    <xf numFmtId="0" fontId="24" fillId="51" borderId="0" applyNumberFormat="0" applyBorder="0" applyAlignment="0" applyProtection="0"/>
    <xf numFmtId="0" fontId="24" fillId="51" borderId="0" applyNumberFormat="0" applyBorder="0" applyAlignment="0" applyProtection="0"/>
    <xf numFmtId="0" fontId="24" fillId="51" borderId="0" applyNumberFormat="0" applyBorder="0" applyAlignment="0" applyProtection="0"/>
    <xf numFmtId="0" fontId="24" fillId="51" borderId="0" applyNumberFormat="0" applyBorder="0" applyAlignment="0" applyProtection="0"/>
    <xf numFmtId="0" fontId="24" fillId="51" borderId="0" applyNumberFormat="0" applyBorder="0" applyAlignment="0" applyProtection="0"/>
    <xf numFmtId="0" fontId="24" fillId="51" borderId="0" applyNumberFormat="0" applyBorder="0" applyAlignment="0" applyProtection="0"/>
    <xf numFmtId="0" fontId="24" fillId="51" borderId="0" applyNumberFormat="0" applyBorder="0" applyAlignment="0" applyProtection="0"/>
    <xf numFmtId="0" fontId="24" fillId="51" borderId="0" applyNumberFormat="0" applyBorder="0" applyAlignment="0" applyProtection="0"/>
    <xf numFmtId="0" fontId="24" fillId="51" borderId="0" applyNumberFormat="0" applyBorder="0" applyAlignment="0" applyProtection="0"/>
    <xf numFmtId="0" fontId="24" fillId="51" borderId="0" applyNumberFormat="0" applyBorder="0" applyAlignment="0" applyProtection="0"/>
    <xf numFmtId="0" fontId="24" fillId="51" borderId="0" applyNumberFormat="0" applyBorder="0" applyAlignment="0" applyProtection="0"/>
    <xf numFmtId="0" fontId="24" fillId="51" borderId="0" applyNumberFormat="0" applyBorder="0" applyAlignment="0" applyProtection="0"/>
    <xf numFmtId="0" fontId="24" fillId="51" borderId="0" applyNumberFormat="0" applyBorder="0" applyAlignment="0" applyProtection="0"/>
    <xf numFmtId="0" fontId="24" fillId="51" borderId="0" applyNumberFormat="0" applyBorder="0" applyAlignment="0" applyProtection="0"/>
    <xf numFmtId="0" fontId="24" fillId="51" borderId="0" applyNumberFormat="0" applyBorder="0" applyAlignment="0" applyProtection="0"/>
    <xf numFmtId="0" fontId="24" fillId="51" borderId="0" applyNumberFormat="0" applyBorder="0" applyAlignment="0" applyProtection="0"/>
    <xf numFmtId="0" fontId="24" fillId="51" borderId="0" applyNumberFormat="0" applyBorder="0" applyAlignment="0" applyProtection="0"/>
    <xf numFmtId="0" fontId="24" fillId="51" borderId="0" applyNumberFormat="0" applyBorder="0" applyAlignment="0" applyProtection="0"/>
    <xf numFmtId="0" fontId="24" fillId="51" borderId="0" applyNumberFormat="0" applyBorder="0" applyAlignment="0" applyProtection="0"/>
    <xf numFmtId="0" fontId="24" fillId="51" borderId="0" applyNumberFormat="0" applyBorder="0" applyAlignment="0" applyProtection="0"/>
    <xf numFmtId="0" fontId="24" fillId="51" borderId="0" applyNumberFormat="0" applyBorder="0" applyAlignment="0" applyProtection="0"/>
    <xf numFmtId="0" fontId="24" fillId="51" borderId="0" applyNumberFormat="0" applyBorder="0" applyAlignment="0" applyProtection="0"/>
    <xf numFmtId="0" fontId="24" fillId="51" borderId="0" applyNumberFormat="0" applyBorder="0" applyAlignment="0" applyProtection="0"/>
    <xf numFmtId="0" fontId="24" fillId="51" borderId="0" applyNumberFormat="0" applyBorder="0" applyAlignment="0" applyProtection="0"/>
    <xf numFmtId="0" fontId="24" fillId="51" borderId="0" applyNumberFormat="0" applyBorder="0" applyAlignment="0" applyProtection="0"/>
    <xf numFmtId="0" fontId="24" fillId="51" borderId="0" applyNumberFormat="0" applyBorder="0" applyAlignment="0" applyProtection="0"/>
    <xf numFmtId="0" fontId="24" fillId="51" borderId="0" applyNumberFormat="0" applyBorder="0" applyAlignment="0" applyProtection="0"/>
    <xf numFmtId="0" fontId="24" fillId="51" borderId="0" applyNumberFormat="0" applyBorder="0" applyAlignment="0" applyProtection="0"/>
    <xf numFmtId="0" fontId="24" fillId="51" borderId="0" applyNumberFormat="0" applyBorder="0" applyAlignment="0" applyProtection="0"/>
    <xf numFmtId="0" fontId="24" fillId="50" borderId="0" applyNumberFormat="0" applyBorder="0" applyProtection="0"/>
    <xf numFmtId="0" fontId="24" fillId="50" borderId="0" applyNumberFormat="0" applyBorder="0" applyProtection="0"/>
    <xf numFmtId="0" fontId="24" fillId="50" borderId="0" applyNumberFormat="0" applyBorder="0" applyProtection="0"/>
    <xf numFmtId="0" fontId="24" fillId="50" borderId="0" applyNumberFormat="0" applyBorder="0" applyProtection="0"/>
    <xf numFmtId="0" fontId="24" fillId="50" borderId="0" applyNumberFormat="0" applyBorder="0" applyProtection="0"/>
    <xf numFmtId="0" fontId="24" fillId="50" borderId="0" applyNumberFormat="0" applyBorder="0" applyProtection="0"/>
    <xf numFmtId="0" fontId="24" fillId="50" borderId="0" applyNumberFormat="0" applyBorder="0" applyProtection="0"/>
    <xf numFmtId="0" fontId="24" fillId="50" borderId="0" applyNumberFormat="0" applyBorder="0" applyProtection="0"/>
    <xf numFmtId="0" fontId="24" fillId="50" borderId="0" applyNumberFormat="0" applyBorder="0" applyProtection="0"/>
    <xf numFmtId="0" fontId="24" fillId="50" borderId="0" applyNumberFormat="0" applyBorder="0" applyProtection="0"/>
    <xf numFmtId="0" fontId="24" fillId="50" borderId="0" applyNumberFormat="0" applyBorder="0" applyProtection="0"/>
    <xf numFmtId="0" fontId="24" fillId="50" borderId="0" applyNumberFormat="0" applyBorder="0" applyProtection="0"/>
    <xf numFmtId="0" fontId="24" fillId="50" borderId="0" applyNumberFormat="0" applyBorder="0" applyProtection="0"/>
    <xf numFmtId="0" fontId="24" fillId="52" borderId="0" applyNumberFormat="0" applyBorder="0" applyProtection="0"/>
    <xf numFmtId="0" fontId="24" fillId="52" borderId="0" applyNumberFormat="0" applyBorder="0" applyProtection="0"/>
    <xf numFmtId="0" fontId="24" fillId="52" borderId="0" applyNumberFormat="0" applyBorder="0" applyProtection="0"/>
    <xf numFmtId="0" fontId="24" fillId="53" borderId="0" applyNumberFormat="0" applyBorder="0" applyAlignment="0" applyProtection="0"/>
    <xf numFmtId="0" fontId="24" fillId="53" borderId="0" applyNumberFormat="0" applyBorder="0" applyAlignment="0" applyProtection="0"/>
    <xf numFmtId="0" fontId="24" fillId="53" borderId="0" applyNumberFormat="0" applyBorder="0" applyAlignment="0" applyProtection="0"/>
    <xf numFmtId="0" fontId="24" fillId="53" borderId="0" applyNumberFormat="0" applyBorder="0" applyAlignment="0" applyProtection="0"/>
    <xf numFmtId="0" fontId="24" fillId="53" borderId="0" applyNumberFormat="0" applyBorder="0" applyAlignment="0" applyProtection="0"/>
    <xf numFmtId="0" fontId="24" fillId="53" borderId="0" applyNumberFormat="0" applyBorder="0" applyAlignment="0" applyProtection="0"/>
    <xf numFmtId="0" fontId="24" fillId="53" borderId="0" applyNumberFormat="0" applyBorder="0" applyAlignment="0" applyProtection="0"/>
    <xf numFmtId="0" fontId="24" fillId="53" borderId="0" applyNumberFormat="0" applyBorder="0" applyAlignment="0" applyProtection="0"/>
    <xf numFmtId="0" fontId="24" fillId="53" borderId="0" applyNumberFormat="0" applyBorder="0" applyAlignment="0" applyProtection="0"/>
    <xf numFmtId="0" fontId="24" fillId="53" borderId="0" applyNumberFormat="0" applyBorder="0" applyAlignment="0" applyProtection="0"/>
    <xf numFmtId="0" fontId="24" fillId="53" borderId="0" applyNumberFormat="0" applyBorder="0" applyAlignment="0" applyProtection="0"/>
    <xf numFmtId="0" fontId="24" fillId="53" borderId="0" applyNumberFormat="0" applyBorder="0" applyAlignment="0" applyProtection="0"/>
    <xf numFmtId="0" fontId="24" fillId="53" borderId="0" applyNumberFormat="0" applyBorder="0" applyAlignment="0" applyProtection="0"/>
    <xf numFmtId="0" fontId="24" fillId="53" borderId="0" applyNumberFormat="0" applyBorder="0" applyAlignment="0" applyProtection="0"/>
    <xf numFmtId="0" fontId="24" fillId="53" borderId="0" applyNumberFormat="0" applyBorder="0" applyAlignment="0" applyProtection="0"/>
    <xf numFmtId="0" fontId="24" fillId="53" borderId="0" applyNumberFormat="0" applyBorder="0" applyAlignment="0" applyProtection="0"/>
    <xf numFmtId="0" fontId="24" fillId="53" borderId="0" applyNumberFormat="0" applyBorder="0" applyAlignment="0" applyProtection="0"/>
    <xf numFmtId="0" fontId="24" fillId="53" borderId="0" applyNumberFormat="0" applyBorder="0" applyAlignment="0" applyProtection="0"/>
    <xf numFmtId="0" fontId="24" fillId="53" borderId="0" applyNumberFormat="0" applyBorder="0" applyAlignment="0" applyProtection="0"/>
    <xf numFmtId="0" fontId="24" fillId="53" borderId="0" applyNumberFormat="0" applyBorder="0" applyAlignment="0" applyProtection="0"/>
    <xf numFmtId="0" fontId="24" fillId="53" borderId="0" applyNumberFormat="0" applyBorder="0" applyAlignment="0" applyProtection="0"/>
    <xf numFmtId="0" fontId="24" fillId="53" borderId="0" applyNumberFormat="0" applyBorder="0" applyAlignment="0" applyProtection="0"/>
    <xf numFmtId="0" fontId="24" fillId="53" borderId="0" applyNumberFormat="0" applyBorder="0" applyAlignment="0" applyProtection="0"/>
    <xf numFmtId="0" fontId="24" fillId="53" borderId="0" applyNumberFormat="0" applyBorder="0" applyAlignment="0" applyProtection="0"/>
    <xf numFmtId="0" fontId="24" fillId="53" borderId="0" applyNumberFormat="0" applyBorder="0" applyAlignment="0" applyProtection="0"/>
    <xf numFmtId="0" fontId="24" fillId="53" borderId="0" applyNumberFormat="0" applyBorder="0" applyAlignment="0" applyProtection="0"/>
    <xf numFmtId="0" fontId="24" fillId="53" borderId="0" applyNumberFormat="0" applyBorder="0" applyAlignment="0" applyProtection="0"/>
    <xf numFmtId="0" fontId="24" fillId="53" borderId="0" applyNumberFormat="0" applyBorder="0" applyAlignment="0" applyProtection="0"/>
    <xf numFmtId="0" fontId="24" fillId="53" borderId="0" applyNumberFormat="0" applyBorder="0" applyAlignment="0" applyProtection="0"/>
    <xf numFmtId="0" fontId="24" fillId="53" borderId="0" applyNumberFormat="0" applyBorder="0" applyAlignment="0" applyProtection="0"/>
    <xf numFmtId="0" fontId="24" fillId="53" borderId="0" applyNumberFormat="0" applyBorder="0" applyAlignment="0" applyProtection="0"/>
    <xf numFmtId="0" fontId="24" fillId="53" borderId="0" applyNumberFormat="0" applyBorder="0" applyAlignment="0" applyProtection="0"/>
    <xf numFmtId="0" fontId="24" fillId="53" borderId="0" applyNumberFormat="0" applyBorder="0" applyAlignment="0" applyProtection="0"/>
    <xf numFmtId="0" fontId="24" fillId="53" borderId="0" applyNumberFormat="0" applyBorder="0" applyAlignment="0" applyProtection="0"/>
    <xf numFmtId="0" fontId="24" fillId="53" borderId="0" applyNumberFormat="0" applyBorder="0" applyAlignment="0" applyProtection="0"/>
    <xf numFmtId="0" fontId="24" fillId="53" borderId="0" applyNumberFormat="0" applyBorder="0" applyAlignment="0" applyProtection="0"/>
    <xf numFmtId="0" fontId="24" fillId="53" borderId="0" applyNumberFormat="0" applyBorder="0" applyAlignment="0" applyProtection="0"/>
    <xf numFmtId="0" fontId="24" fillId="53" borderId="0" applyNumberFormat="0" applyBorder="0" applyAlignment="0" applyProtection="0"/>
    <xf numFmtId="0" fontId="24" fillId="53" borderId="0" applyNumberFormat="0" applyBorder="0" applyAlignment="0" applyProtection="0"/>
    <xf numFmtId="0" fontId="24" fillId="53" borderId="0" applyNumberFormat="0" applyBorder="0" applyAlignment="0" applyProtection="0"/>
    <xf numFmtId="0" fontId="24" fillId="53" borderId="0" applyNumberFormat="0" applyBorder="0" applyAlignment="0" applyProtection="0"/>
    <xf numFmtId="0" fontId="24" fillId="53" borderId="0" applyNumberFormat="0" applyBorder="0" applyAlignment="0" applyProtection="0"/>
    <xf numFmtId="0" fontId="24" fillId="53" borderId="0" applyNumberFormat="0" applyBorder="0" applyAlignment="0" applyProtection="0"/>
    <xf numFmtId="0" fontId="24" fillId="53" borderId="0" applyNumberFormat="0" applyBorder="0" applyAlignment="0" applyProtection="0"/>
    <xf numFmtId="0" fontId="24" fillId="53" borderId="0" applyNumberFormat="0" applyBorder="0" applyAlignment="0" applyProtection="0"/>
    <xf numFmtId="0" fontId="24" fillId="53" borderId="0" applyNumberFormat="0" applyBorder="0" applyAlignment="0" applyProtection="0"/>
    <xf numFmtId="0" fontId="24" fillId="53" borderId="0" applyNumberFormat="0" applyBorder="0" applyAlignment="0" applyProtection="0"/>
    <xf numFmtId="0" fontId="24" fillId="53" borderId="0" applyNumberFormat="0" applyBorder="0" applyAlignment="0" applyProtection="0"/>
    <xf numFmtId="0" fontId="24" fillId="53" borderId="0" applyNumberFormat="0" applyBorder="0" applyAlignment="0" applyProtection="0"/>
    <xf numFmtId="0" fontId="24" fillId="53" borderId="0" applyNumberFormat="0" applyBorder="0" applyAlignment="0" applyProtection="0"/>
    <xf numFmtId="0" fontId="24" fillId="53" borderId="0" applyNumberFormat="0" applyBorder="0" applyAlignment="0" applyProtection="0"/>
    <xf numFmtId="0" fontId="24" fillId="53" borderId="0" applyNumberFormat="0" applyBorder="0" applyAlignment="0" applyProtection="0"/>
    <xf numFmtId="0" fontId="24" fillId="53" borderId="0" applyNumberFormat="0" applyBorder="0" applyAlignment="0" applyProtection="0"/>
    <xf numFmtId="0" fontId="24" fillId="53" borderId="0" applyNumberFormat="0" applyBorder="0" applyAlignment="0" applyProtection="0"/>
    <xf numFmtId="0" fontId="24" fillId="53" borderId="0" applyNumberFormat="0" applyBorder="0" applyAlignment="0" applyProtection="0"/>
    <xf numFmtId="0" fontId="24" fillId="53" borderId="0" applyNumberFormat="0" applyBorder="0" applyAlignment="0" applyProtection="0"/>
    <xf numFmtId="0" fontId="24" fillId="52" borderId="0" applyNumberFormat="0" applyBorder="0" applyProtection="0"/>
    <xf numFmtId="0" fontId="24" fillId="52" borderId="0" applyNumberFormat="0" applyBorder="0" applyProtection="0"/>
    <xf numFmtId="0" fontId="24" fillId="52" borderId="0" applyNumberFormat="0" applyBorder="0" applyProtection="0"/>
    <xf numFmtId="0" fontId="24" fillId="52" borderId="0" applyNumberFormat="0" applyBorder="0" applyProtection="0"/>
    <xf numFmtId="0" fontId="24" fillId="52" borderId="0" applyNumberFormat="0" applyBorder="0" applyProtection="0"/>
    <xf numFmtId="0" fontId="24" fillId="52" borderId="0" applyNumberFormat="0" applyBorder="0" applyProtection="0"/>
    <xf numFmtId="0" fontId="24" fillId="52" borderId="0" applyNumberFormat="0" applyBorder="0" applyProtection="0"/>
    <xf numFmtId="0" fontId="24" fillId="52" borderId="0" applyNumberFormat="0" applyBorder="0" applyProtection="0"/>
    <xf numFmtId="0" fontId="24" fillId="52" borderId="0" applyNumberFormat="0" applyBorder="0" applyProtection="0"/>
    <xf numFmtId="0" fontId="24" fillId="52" borderId="0" applyNumberFormat="0" applyBorder="0" applyProtection="0"/>
    <xf numFmtId="0" fontId="24" fillId="52" borderId="0" applyNumberFormat="0" applyBorder="0" applyProtection="0"/>
    <xf numFmtId="0" fontId="24" fillId="52" borderId="0" applyNumberFormat="0" applyBorder="0" applyProtection="0"/>
    <xf numFmtId="0" fontId="24" fillId="52" borderId="0" applyNumberFormat="0" applyBorder="0" applyProtection="0"/>
    <xf numFmtId="0" fontId="59" fillId="54" borderId="0" applyNumberFormat="0" applyBorder="0" applyProtection="0"/>
    <xf numFmtId="0" fontId="59" fillId="54" borderId="0" applyNumberFormat="0" applyBorder="0" applyProtection="0"/>
    <xf numFmtId="0" fontId="59" fillId="54" borderId="0" applyNumberFormat="0" applyBorder="0" applyProtection="0"/>
    <xf numFmtId="0" fontId="59" fillId="54" borderId="0" applyNumberFormat="0" applyBorder="0" applyProtection="0"/>
    <xf numFmtId="0" fontId="59" fillId="54" borderId="0" applyNumberFormat="0" applyBorder="0" applyProtection="0"/>
    <xf numFmtId="0" fontId="59" fillId="54" borderId="0" applyNumberFormat="0" applyBorder="0" applyProtection="0"/>
    <xf numFmtId="0" fontId="59" fillId="54" borderId="0" applyNumberFormat="0" applyBorder="0" applyProtection="0"/>
    <xf numFmtId="0" fontId="59" fillId="54" borderId="0" applyNumberFormat="0" applyBorder="0" applyProtection="0"/>
    <xf numFmtId="0" fontId="59" fillId="54" borderId="0" applyNumberFormat="0" applyBorder="0" applyProtection="0"/>
    <xf numFmtId="0" fontId="59" fillId="54" borderId="0" applyNumberFormat="0" applyBorder="0" applyProtection="0"/>
    <xf numFmtId="0" fontId="59" fillId="54" borderId="0" applyNumberFormat="0" applyBorder="0" applyProtection="0"/>
    <xf numFmtId="0" fontId="59" fillId="54" borderId="0" applyNumberFormat="0" applyBorder="0" applyProtection="0"/>
    <xf numFmtId="0" fontId="59" fillId="54" borderId="0" applyNumberFormat="0" applyBorder="0" applyProtection="0"/>
    <xf numFmtId="0" fontId="59" fillId="54" borderId="0" applyNumberFormat="0" applyBorder="0" applyProtection="0"/>
    <xf numFmtId="0" fontId="59" fillId="54" borderId="0" applyNumberFormat="0" applyBorder="0" applyProtection="0"/>
    <xf numFmtId="0" fontId="59" fillId="54" borderId="0" applyNumberFormat="0" applyBorder="0" applyProtection="0"/>
    <xf numFmtId="0" fontId="59" fillId="56" borderId="0" applyNumberFormat="0" applyBorder="0" applyProtection="0"/>
    <xf numFmtId="0" fontId="59" fillId="56" borderId="0" applyNumberFormat="0" applyBorder="0" applyProtection="0"/>
    <xf numFmtId="0" fontId="59" fillId="56" borderId="0" applyNumberFormat="0" applyBorder="0" applyProtection="0"/>
    <xf numFmtId="0" fontId="59" fillId="56" borderId="0" applyNumberFormat="0" applyBorder="0" applyProtection="0"/>
    <xf numFmtId="0" fontId="59" fillId="56" borderId="0" applyNumberFormat="0" applyBorder="0" applyProtection="0"/>
    <xf numFmtId="0" fontId="59" fillId="56" borderId="0" applyNumberFormat="0" applyBorder="0" applyProtection="0"/>
    <xf numFmtId="0" fontId="59" fillId="56" borderId="0" applyNumberFormat="0" applyBorder="0" applyProtection="0"/>
    <xf numFmtId="0" fontId="59" fillId="56" borderId="0" applyNumberFormat="0" applyBorder="0" applyProtection="0"/>
    <xf numFmtId="0" fontId="59" fillId="56" borderId="0" applyNumberFormat="0" applyBorder="0" applyProtection="0"/>
    <xf numFmtId="0" fontId="59" fillId="56" borderId="0" applyNumberFormat="0" applyBorder="0" applyProtection="0"/>
    <xf numFmtId="0" fontId="59" fillId="56" borderId="0" applyNumberFormat="0" applyBorder="0" applyProtection="0"/>
    <xf numFmtId="0" fontId="59" fillId="56" borderId="0" applyNumberFormat="0" applyBorder="0" applyProtection="0"/>
    <xf numFmtId="0" fontId="59" fillId="56" borderId="0" applyNumberFormat="0" applyBorder="0" applyProtection="0"/>
    <xf numFmtId="0" fontId="59" fillId="56" borderId="0" applyNumberFormat="0" applyBorder="0" applyProtection="0"/>
    <xf numFmtId="0" fontId="59" fillId="56" borderId="0" applyNumberFormat="0" applyBorder="0" applyProtection="0"/>
    <xf numFmtId="0" fontId="59" fillId="56" borderId="0" applyNumberFormat="0" applyBorder="0" applyProtection="0"/>
    <xf numFmtId="0" fontId="59" fillId="46" borderId="0" applyNumberFormat="0" applyBorder="0" applyProtection="0"/>
    <xf numFmtId="0" fontId="59" fillId="46" borderId="0" applyNumberFormat="0" applyBorder="0" applyProtection="0"/>
    <xf numFmtId="0" fontId="59" fillId="46" borderId="0" applyNumberFormat="0" applyBorder="0" applyProtection="0"/>
    <xf numFmtId="0" fontId="59" fillId="46" borderId="0" applyNumberFormat="0" applyBorder="0" applyProtection="0"/>
    <xf numFmtId="0" fontId="59" fillId="46" borderId="0" applyNumberFormat="0" applyBorder="0" applyProtection="0"/>
    <xf numFmtId="0" fontId="59" fillId="46" borderId="0" applyNumberFormat="0" applyBorder="0" applyProtection="0"/>
    <xf numFmtId="0" fontId="59" fillId="46" borderId="0" applyNumberFormat="0" applyBorder="0" applyProtection="0"/>
    <xf numFmtId="0" fontId="59" fillId="46" borderId="0" applyNumberFormat="0" applyBorder="0" applyProtection="0"/>
    <xf numFmtId="0" fontId="59" fillId="46" borderId="0" applyNumberFormat="0" applyBorder="0" applyProtection="0"/>
    <xf numFmtId="0" fontId="59" fillId="46" borderId="0" applyNumberFormat="0" applyBorder="0" applyProtection="0"/>
    <xf numFmtId="0" fontId="59" fillId="46" borderId="0" applyNumberFormat="0" applyBorder="0" applyProtection="0"/>
    <xf numFmtId="0" fontId="59" fillId="46" borderId="0" applyNumberFormat="0" applyBorder="0" applyProtection="0"/>
    <xf numFmtId="0" fontId="59" fillId="46" borderId="0" applyNumberFormat="0" applyBorder="0" applyProtection="0"/>
    <xf numFmtId="0" fontId="59" fillId="46" borderId="0" applyNumberFormat="0" applyBorder="0" applyProtection="0"/>
    <xf numFmtId="0" fontId="59" fillId="46" borderId="0" applyNumberFormat="0" applyBorder="0" applyProtection="0"/>
    <xf numFmtId="0" fontId="59" fillId="46" borderId="0" applyNumberFormat="0" applyBorder="0" applyProtection="0"/>
    <xf numFmtId="0" fontId="59" fillId="37" borderId="0" applyNumberFormat="0" applyBorder="0" applyProtection="0"/>
    <xf numFmtId="0" fontId="59" fillId="37" borderId="0" applyNumberFormat="0" applyBorder="0" applyProtection="0"/>
    <xf numFmtId="0" fontId="59" fillId="37" borderId="0" applyNumberFormat="0" applyBorder="0" applyProtection="0"/>
    <xf numFmtId="0" fontId="59" fillId="37" borderId="0" applyNumberFormat="0" applyBorder="0" applyProtection="0"/>
    <xf numFmtId="0" fontId="59" fillId="37" borderId="0" applyNumberFormat="0" applyBorder="0" applyProtection="0"/>
    <xf numFmtId="0" fontId="59" fillId="37" borderId="0" applyNumberFormat="0" applyBorder="0" applyProtection="0"/>
    <xf numFmtId="0" fontId="59" fillId="37" borderId="0" applyNumberFormat="0" applyBorder="0" applyProtection="0"/>
    <xf numFmtId="0" fontId="59" fillId="37" borderId="0" applyNumberFormat="0" applyBorder="0" applyProtection="0"/>
    <xf numFmtId="0" fontId="59" fillId="37" borderId="0" applyNumberFormat="0" applyBorder="0" applyProtection="0"/>
    <xf numFmtId="0" fontId="59" fillId="37" borderId="0" applyNumberFormat="0" applyBorder="0" applyProtection="0"/>
    <xf numFmtId="0" fontId="59" fillId="37" borderId="0" applyNumberFormat="0" applyBorder="0" applyProtection="0"/>
    <xf numFmtId="0" fontId="59" fillId="37" borderId="0" applyNumberFormat="0" applyBorder="0" applyProtection="0"/>
    <xf numFmtId="0" fontId="59" fillId="37" borderId="0" applyNumberFormat="0" applyBorder="0" applyProtection="0"/>
    <xf numFmtId="0" fontId="59" fillId="37" borderId="0" applyNumberFormat="0" applyBorder="0" applyProtection="0"/>
    <xf numFmtId="0" fontId="59" fillId="37" borderId="0" applyNumberFormat="0" applyBorder="0" applyProtection="0"/>
    <xf numFmtId="0" fontId="59" fillId="37" borderId="0" applyNumberFormat="0" applyBorder="0" applyProtection="0"/>
    <xf numFmtId="0" fontId="59" fillId="54" borderId="0" applyNumberFormat="0" applyBorder="0" applyProtection="0"/>
    <xf numFmtId="0" fontId="59" fillId="54" borderId="0" applyNumberFormat="0" applyBorder="0" applyProtection="0"/>
    <xf numFmtId="0" fontId="59" fillId="54" borderId="0" applyNumberFormat="0" applyBorder="0" applyProtection="0"/>
    <xf numFmtId="0" fontId="59" fillId="54" borderId="0" applyNumberFormat="0" applyBorder="0" applyProtection="0"/>
    <xf numFmtId="0" fontId="59" fillId="54" borderId="0" applyNumberFormat="0" applyBorder="0" applyProtection="0"/>
    <xf numFmtId="0" fontId="59" fillId="54" borderId="0" applyNumberFormat="0" applyBorder="0" applyProtection="0"/>
    <xf numFmtId="0" fontId="59" fillId="54" borderId="0" applyNumberFormat="0" applyBorder="0" applyProtection="0"/>
    <xf numFmtId="0" fontId="59" fillId="54" borderId="0" applyNumberFormat="0" applyBorder="0" applyProtection="0"/>
    <xf numFmtId="0" fontId="59" fillId="54" borderId="0" applyNumberFormat="0" applyBorder="0" applyProtection="0"/>
    <xf numFmtId="0" fontId="59" fillId="54" borderId="0" applyNumberFormat="0" applyBorder="0" applyProtection="0"/>
    <xf numFmtId="0" fontId="59" fillId="54" borderId="0" applyNumberFormat="0" applyBorder="0" applyProtection="0"/>
    <xf numFmtId="0" fontId="59" fillId="54" borderId="0" applyNumberFormat="0" applyBorder="0" applyProtection="0"/>
    <xf numFmtId="0" fontId="59" fillId="54" borderId="0" applyNumberFormat="0" applyBorder="0" applyProtection="0"/>
    <xf numFmtId="0" fontId="59" fillId="54" borderId="0" applyNumberFormat="0" applyBorder="0" applyProtection="0"/>
    <xf numFmtId="0" fontId="59" fillId="54" borderId="0" applyNumberFormat="0" applyBorder="0" applyProtection="0"/>
    <xf numFmtId="0" fontId="59" fillId="54" borderId="0" applyNumberFormat="0" applyBorder="0" applyProtection="0"/>
    <xf numFmtId="0" fontId="59" fillId="59" borderId="0" applyNumberFormat="0" applyBorder="0" applyProtection="0"/>
    <xf numFmtId="0" fontId="59" fillId="59" borderId="0" applyNumberFormat="0" applyBorder="0" applyProtection="0"/>
    <xf numFmtId="0" fontId="59" fillId="59" borderId="0" applyNumberFormat="0" applyBorder="0" applyProtection="0"/>
    <xf numFmtId="0" fontId="59" fillId="59" borderId="0" applyNumberFormat="0" applyBorder="0" applyProtection="0"/>
    <xf numFmtId="0" fontId="59" fillId="59" borderId="0" applyNumberFormat="0" applyBorder="0" applyProtection="0"/>
    <xf numFmtId="0" fontId="59" fillId="59" borderId="0" applyNumberFormat="0" applyBorder="0" applyProtection="0"/>
    <xf numFmtId="0" fontId="59" fillId="59" borderId="0" applyNumberFormat="0" applyBorder="0" applyProtection="0"/>
    <xf numFmtId="0" fontId="59" fillId="59" borderId="0" applyNumberFormat="0" applyBorder="0" applyProtection="0"/>
    <xf numFmtId="0" fontId="59" fillId="59" borderId="0" applyNumberFormat="0" applyBorder="0" applyProtection="0"/>
    <xf numFmtId="0" fontId="59" fillId="59" borderId="0" applyNumberFormat="0" applyBorder="0" applyProtection="0"/>
    <xf numFmtId="0" fontId="59" fillId="59" borderId="0" applyNumberFormat="0" applyBorder="0" applyProtection="0"/>
    <xf numFmtId="0" fontId="59" fillId="59" borderId="0" applyNumberFormat="0" applyBorder="0" applyProtection="0"/>
    <xf numFmtId="0" fontId="59" fillId="59" borderId="0" applyNumberFormat="0" applyBorder="0" applyProtection="0"/>
    <xf numFmtId="0" fontId="59" fillId="59" borderId="0" applyNumberFormat="0" applyBorder="0" applyProtection="0"/>
    <xf numFmtId="0" fontId="59" fillId="59" borderId="0" applyNumberFormat="0" applyBorder="0" applyProtection="0"/>
    <xf numFmtId="0" fontId="59" fillId="59" borderId="0" applyNumberFormat="0" applyBorder="0" applyProtection="0"/>
    <xf numFmtId="0" fontId="54" fillId="62" borderId="0" applyNumberFormat="0" applyBorder="0" applyAlignment="0" applyProtection="0"/>
    <xf numFmtId="0" fontId="54" fillId="62" borderId="0" applyNumberFormat="0" applyBorder="0" applyAlignment="0" applyProtection="0"/>
    <xf numFmtId="0" fontId="54" fillId="62" borderId="0" applyNumberFormat="0" applyBorder="0" applyAlignment="0" applyProtection="0"/>
    <xf numFmtId="0" fontId="54" fillId="62" borderId="0" applyNumberFormat="0" applyBorder="0" applyAlignment="0" applyProtection="0"/>
    <xf numFmtId="0" fontId="54" fillId="62" borderId="0" applyNumberFormat="0" applyBorder="0" applyAlignment="0" applyProtection="0"/>
    <xf numFmtId="0" fontId="54" fillId="62" borderId="0" applyNumberFormat="0" applyBorder="0" applyAlignment="0" applyProtection="0"/>
    <xf numFmtId="0" fontId="54" fillId="62" borderId="0" applyNumberFormat="0" applyBorder="0" applyAlignment="0" applyProtection="0"/>
    <xf numFmtId="0" fontId="54" fillId="62" borderId="0" applyNumberFormat="0" applyBorder="0" applyAlignment="0" applyProtection="0"/>
    <xf numFmtId="0" fontId="54" fillId="62" borderId="0" applyNumberFormat="0" applyBorder="0" applyAlignment="0" applyProtection="0"/>
    <xf numFmtId="0" fontId="54" fillId="62" borderId="0" applyNumberFormat="0" applyBorder="0" applyAlignment="0" applyProtection="0"/>
    <xf numFmtId="0" fontId="54" fillId="62" borderId="0" applyNumberFormat="0" applyBorder="0" applyAlignment="0" applyProtection="0"/>
    <xf numFmtId="0" fontId="54" fillId="62" borderId="0" applyNumberFormat="0" applyBorder="0" applyAlignment="0" applyProtection="0"/>
    <xf numFmtId="0" fontId="54" fillId="62" borderId="0" applyNumberFormat="0" applyBorder="0" applyAlignment="0" applyProtection="0"/>
    <xf numFmtId="0" fontId="54" fillId="62" borderId="0" applyNumberFormat="0" applyBorder="0" applyAlignment="0" applyProtection="0"/>
    <xf numFmtId="0" fontId="54" fillId="62" borderId="0" applyNumberFormat="0" applyBorder="0" applyAlignment="0" applyProtection="0"/>
    <xf numFmtId="0" fontId="54" fillId="62" borderId="0" applyNumberFormat="0" applyBorder="0" applyAlignment="0" applyProtection="0"/>
    <xf numFmtId="0" fontId="54" fillId="62" borderId="0" applyNumberFormat="0" applyBorder="0" applyAlignment="0" applyProtection="0"/>
    <xf numFmtId="0" fontId="54" fillId="62" borderId="0" applyNumberFormat="0" applyBorder="0" applyAlignment="0" applyProtection="0"/>
    <xf numFmtId="0" fontId="54" fillId="62" borderId="0" applyNumberFormat="0" applyBorder="0" applyAlignment="0" applyProtection="0"/>
    <xf numFmtId="0" fontId="54" fillId="62" borderId="0" applyNumberFormat="0" applyBorder="0" applyAlignment="0" applyProtection="0"/>
    <xf numFmtId="0" fontId="54" fillId="61" borderId="0" applyNumberFormat="0" applyBorder="0" applyProtection="0"/>
    <xf numFmtId="0" fontId="54" fillId="61" borderId="0" applyNumberFormat="0" applyBorder="0" applyProtection="0"/>
    <xf numFmtId="0" fontId="54" fillId="61" borderId="0" applyNumberFormat="0" applyBorder="0" applyProtection="0"/>
    <xf numFmtId="0" fontId="54" fillId="61" borderId="0" applyNumberFormat="0" applyBorder="0" applyProtection="0"/>
    <xf numFmtId="0" fontId="54" fillId="61" borderId="0" applyNumberFormat="0" applyBorder="0" applyProtection="0"/>
    <xf numFmtId="0" fontId="54" fillId="61" borderId="0" applyNumberFormat="0" applyBorder="0" applyProtection="0"/>
    <xf numFmtId="0" fontId="54" fillId="61" borderId="0" applyNumberFormat="0" applyBorder="0" applyProtection="0"/>
    <xf numFmtId="0" fontId="54" fillId="61" borderId="0" applyNumberFormat="0" applyBorder="0" applyProtection="0"/>
    <xf numFmtId="0" fontId="54" fillId="64" borderId="0" applyNumberFormat="0" applyBorder="0" applyAlignment="0" applyProtection="0"/>
    <xf numFmtId="0" fontId="54" fillId="64" borderId="0" applyNumberFormat="0" applyBorder="0" applyAlignment="0" applyProtection="0"/>
    <xf numFmtId="0" fontId="54" fillId="64" borderId="0" applyNumberFormat="0" applyBorder="0" applyAlignment="0" applyProtection="0"/>
    <xf numFmtId="0" fontId="54" fillId="64" borderId="0" applyNumberFormat="0" applyBorder="0" applyAlignment="0" applyProtection="0"/>
    <xf numFmtId="0" fontId="54" fillId="64" borderId="0" applyNumberFormat="0" applyBorder="0" applyAlignment="0" applyProtection="0"/>
    <xf numFmtId="0" fontId="54" fillId="64" borderId="0" applyNumberFormat="0" applyBorder="0" applyAlignment="0" applyProtection="0"/>
    <xf numFmtId="0" fontId="54" fillId="64" borderId="0" applyNumberFormat="0" applyBorder="0" applyAlignment="0" applyProtection="0"/>
    <xf numFmtId="0" fontId="54" fillId="64" borderId="0" applyNumberFormat="0" applyBorder="0" applyAlignment="0" applyProtection="0"/>
    <xf numFmtId="0" fontId="54" fillId="64" borderId="0" applyNumberFormat="0" applyBorder="0" applyAlignment="0" applyProtection="0"/>
    <xf numFmtId="0" fontId="54" fillId="64" borderId="0" applyNumberFormat="0" applyBorder="0" applyAlignment="0" applyProtection="0"/>
    <xf numFmtId="0" fontId="54" fillId="64" borderId="0" applyNumberFormat="0" applyBorder="0" applyAlignment="0" applyProtection="0"/>
    <xf numFmtId="0" fontId="54" fillId="64" borderId="0" applyNumberFormat="0" applyBorder="0" applyAlignment="0" applyProtection="0"/>
    <xf numFmtId="0" fontId="54" fillId="64" borderId="0" applyNumberFormat="0" applyBorder="0" applyAlignment="0" applyProtection="0"/>
    <xf numFmtId="0" fontId="54" fillId="64" borderId="0" applyNumberFormat="0" applyBorder="0" applyAlignment="0" applyProtection="0"/>
    <xf numFmtId="0" fontId="54" fillId="64" borderId="0" applyNumberFormat="0" applyBorder="0" applyAlignment="0" applyProtection="0"/>
    <xf numFmtId="0" fontId="54" fillId="64" borderId="0" applyNumberFormat="0" applyBorder="0" applyAlignment="0" applyProtection="0"/>
    <xf numFmtId="0" fontId="54" fillId="64" borderId="0" applyNumberFormat="0" applyBorder="0" applyAlignment="0" applyProtection="0"/>
    <xf numFmtId="0" fontId="54" fillId="64" borderId="0" applyNumberFormat="0" applyBorder="0" applyAlignment="0" applyProtection="0"/>
    <xf numFmtId="0" fontId="54" fillId="64" borderId="0" applyNumberFormat="0" applyBorder="0" applyAlignment="0" applyProtection="0"/>
    <xf numFmtId="0" fontId="54" fillId="64" borderId="0" applyNumberFormat="0" applyBorder="0" applyAlignment="0" applyProtection="0"/>
    <xf numFmtId="0" fontId="54" fillId="63" borderId="0" applyNumberFormat="0" applyBorder="0" applyProtection="0"/>
    <xf numFmtId="0" fontId="54" fillId="63" borderId="0" applyNumberFormat="0" applyBorder="0" applyProtection="0"/>
    <xf numFmtId="0" fontId="54" fillId="63" borderId="0" applyNumberFormat="0" applyBorder="0" applyProtection="0"/>
    <xf numFmtId="0" fontId="54" fillId="63" borderId="0" applyNumberFormat="0" applyBorder="0" applyProtection="0"/>
    <xf numFmtId="0" fontId="54" fillId="63" borderId="0" applyNumberFormat="0" applyBorder="0" applyProtection="0"/>
    <xf numFmtId="0" fontId="54" fillId="63" borderId="0" applyNumberFormat="0" applyBorder="0" applyProtection="0"/>
    <xf numFmtId="0" fontId="54" fillId="63" borderId="0" applyNumberFormat="0" applyBorder="0" applyProtection="0"/>
    <xf numFmtId="0" fontId="54" fillId="63" borderId="0" applyNumberFormat="0" applyBorder="0" applyProtection="0"/>
    <xf numFmtId="0" fontId="54" fillId="66" borderId="0" applyNumberFormat="0" applyBorder="0" applyAlignment="0" applyProtection="0"/>
    <xf numFmtId="0" fontId="54" fillId="66" borderId="0" applyNumberFormat="0" applyBorder="0" applyAlignment="0" applyProtection="0"/>
    <xf numFmtId="0" fontId="54" fillId="66" borderId="0" applyNumberFormat="0" applyBorder="0" applyAlignment="0" applyProtection="0"/>
    <xf numFmtId="0" fontId="54" fillId="66" borderId="0" applyNumberFormat="0" applyBorder="0" applyAlignment="0" applyProtection="0"/>
    <xf numFmtId="0" fontId="54" fillId="66" borderId="0" applyNumberFormat="0" applyBorder="0" applyAlignment="0" applyProtection="0"/>
    <xf numFmtId="0" fontId="54" fillId="66" borderId="0" applyNumberFormat="0" applyBorder="0" applyAlignment="0" applyProtection="0"/>
    <xf numFmtId="0" fontId="54" fillId="66" borderId="0" applyNumberFormat="0" applyBorder="0" applyAlignment="0" applyProtection="0"/>
    <xf numFmtId="0" fontId="54" fillId="66" borderId="0" applyNumberFormat="0" applyBorder="0" applyAlignment="0" applyProtection="0"/>
    <xf numFmtId="0" fontId="54" fillId="66" borderId="0" applyNumberFormat="0" applyBorder="0" applyAlignment="0" applyProtection="0"/>
    <xf numFmtId="0" fontId="54" fillId="66" borderId="0" applyNumberFormat="0" applyBorder="0" applyAlignment="0" applyProtection="0"/>
    <xf numFmtId="0" fontId="54" fillId="66" borderId="0" applyNumberFormat="0" applyBorder="0" applyAlignment="0" applyProtection="0"/>
    <xf numFmtId="0" fontId="54" fillId="66" borderId="0" applyNumberFormat="0" applyBorder="0" applyAlignment="0" applyProtection="0"/>
    <xf numFmtId="0" fontId="54" fillId="66" borderId="0" applyNumberFormat="0" applyBorder="0" applyAlignment="0" applyProtection="0"/>
    <xf numFmtId="0" fontId="54" fillId="66" borderId="0" applyNumberFormat="0" applyBorder="0" applyAlignment="0" applyProtection="0"/>
    <xf numFmtId="0" fontId="54" fillId="66" borderId="0" applyNumberFormat="0" applyBorder="0" applyAlignment="0" applyProtection="0"/>
    <xf numFmtId="0" fontId="54" fillId="66" borderId="0" applyNumberFormat="0" applyBorder="0" applyAlignment="0" applyProtection="0"/>
    <xf numFmtId="0" fontId="54" fillId="66" borderId="0" applyNumberFormat="0" applyBorder="0" applyAlignment="0" applyProtection="0"/>
    <xf numFmtId="0" fontId="54" fillId="66" borderId="0" applyNumberFormat="0" applyBorder="0" applyAlignment="0" applyProtection="0"/>
    <xf numFmtId="0" fontId="54" fillId="66" borderId="0" applyNumberFormat="0" applyBorder="0" applyAlignment="0" applyProtection="0"/>
    <xf numFmtId="0" fontId="54" fillId="66" borderId="0" applyNumberFormat="0" applyBorder="0" applyAlignment="0" applyProtection="0"/>
    <xf numFmtId="0" fontId="54" fillId="65" borderId="0" applyNumberFormat="0" applyBorder="0" applyProtection="0"/>
    <xf numFmtId="0" fontId="54" fillId="65" borderId="0" applyNumberFormat="0" applyBorder="0" applyProtection="0"/>
    <xf numFmtId="0" fontId="54" fillId="65" borderId="0" applyNumberFormat="0" applyBorder="0" applyProtection="0"/>
    <xf numFmtId="0" fontId="54" fillId="65" borderId="0" applyNumberFormat="0" applyBorder="0" applyProtection="0"/>
    <xf numFmtId="0" fontId="54" fillId="65" borderId="0" applyNumberFormat="0" applyBorder="0" applyProtection="0"/>
    <xf numFmtId="0" fontId="54" fillId="65" borderId="0" applyNumberFormat="0" applyBorder="0" applyProtection="0"/>
    <xf numFmtId="0" fontId="54" fillId="65" borderId="0" applyNumberFormat="0" applyBorder="0" applyProtection="0"/>
    <xf numFmtId="0" fontId="54" fillId="65" borderId="0" applyNumberFormat="0" applyBorder="0" applyProtection="0"/>
    <xf numFmtId="0" fontId="54" fillId="68" borderId="0" applyNumberFormat="0" applyBorder="0" applyAlignment="0" applyProtection="0"/>
    <xf numFmtId="0" fontId="54" fillId="68" borderId="0" applyNumberFormat="0" applyBorder="0" applyAlignment="0" applyProtection="0"/>
    <xf numFmtId="0" fontId="54" fillId="68" borderId="0" applyNumberFormat="0" applyBorder="0" applyAlignment="0" applyProtection="0"/>
    <xf numFmtId="0" fontId="54" fillId="68" borderId="0" applyNumberFormat="0" applyBorder="0" applyAlignment="0" applyProtection="0"/>
    <xf numFmtId="0" fontId="54" fillId="68" borderId="0" applyNumberFormat="0" applyBorder="0" applyAlignment="0" applyProtection="0"/>
    <xf numFmtId="0" fontId="54" fillId="68" borderId="0" applyNumberFormat="0" applyBorder="0" applyAlignment="0" applyProtection="0"/>
    <xf numFmtId="0" fontId="54" fillId="68" borderId="0" applyNumberFormat="0" applyBorder="0" applyAlignment="0" applyProtection="0"/>
    <xf numFmtId="0" fontId="54" fillId="68" borderId="0" applyNumberFormat="0" applyBorder="0" applyAlignment="0" applyProtection="0"/>
    <xf numFmtId="0" fontId="54" fillId="68" borderId="0" applyNumberFormat="0" applyBorder="0" applyAlignment="0" applyProtection="0"/>
    <xf numFmtId="0" fontId="54" fillId="68" borderId="0" applyNumberFormat="0" applyBorder="0" applyAlignment="0" applyProtection="0"/>
    <xf numFmtId="0" fontId="54" fillId="68" borderId="0" applyNumberFormat="0" applyBorder="0" applyAlignment="0" applyProtection="0"/>
    <xf numFmtId="0" fontId="54" fillId="68" borderId="0" applyNumberFormat="0" applyBorder="0" applyAlignment="0" applyProtection="0"/>
    <xf numFmtId="0" fontId="54" fillId="68" borderId="0" applyNumberFormat="0" applyBorder="0" applyAlignment="0" applyProtection="0"/>
    <xf numFmtId="0" fontId="54" fillId="68" borderId="0" applyNumberFormat="0" applyBorder="0" applyAlignment="0" applyProtection="0"/>
    <xf numFmtId="0" fontId="54" fillId="68" borderId="0" applyNumberFormat="0" applyBorder="0" applyAlignment="0" applyProtection="0"/>
    <xf numFmtId="0" fontId="54" fillId="68" borderId="0" applyNumberFormat="0" applyBorder="0" applyAlignment="0" applyProtection="0"/>
    <xf numFmtId="0" fontId="54" fillId="68" borderId="0" applyNumberFormat="0" applyBorder="0" applyAlignment="0" applyProtection="0"/>
    <xf numFmtId="0" fontId="54" fillId="68" borderId="0" applyNumberFormat="0" applyBorder="0" applyAlignment="0" applyProtection="0"/>
    <xf numFmtId="0" fontId="54" fillId="68" borderId="0" applyNumberFormat="0" applyBorder="0" applyAlignment="0" applyProtection="0"/>
    <xf numFmtId="0" fontId="54" fillId="68" borderId="0" applyNumberFormat="0" applyBorder="0" applyAlignment="0" applyProtection="0"/>
    <xf numFmtId="0" fontId="54" fillId="67" borderId="0" applyNumberFormat="0" applyBorder="0" applyProtection="0"/>
    <xf numFmtId="0" fontId="54" fillId="67" borderId="0" applyNumberFormat="0" applyBorder="0" applyProtection="0"/>
    <xf numFmtId="0" fontId="54" fillId="67" borderId="0" applyNumberFormat="0" applyBorder="0" applyProtection="0"/>
    <xf numFmtId="0" fontId="54" fillId="67" borderId="0" applyNumberFormat="0" applyBorder="0" applyProtection="0"/>
    <xf numFmtId="0" fontId="54" fillId="67" borderId="0" applyNumberFormat="0" applyBorder="0" applyProtection="0"/>
    <xf numFmtId="0" fontId="54" fillId="67" borderId="0" applyNumberFormat="0" applyBorder="0" applyProtection="0"/>
    <xf numFmtId="0" fontId="54" fillId="67" borderId="0" applyNumberFormat="0" applyBorder="0" applyProtection="0"/>
    <xf numFmtId="0" fontId="54" fillId="67" borderId="0" applyNumberFormat="0" applyBorder="0" applyProtection="0"/>
    <xf numFmtId="0" fontId="54" fillId="70" borderId="0" applyNumberFormat="0" applyBorder="0" applyAlignment="0" applyProtection="0"/>
    <xf numFmtId="0" fontId="54" fillId="70" borderId="0" applyNumberFormat="0" applyBorder="0" applyAlignment="0" applyProtection="0"/>
    <xf numFmtId="0" fontId="54" fillId="70" borderId="0" applyNumberFormat="0" applyBorder="0" applyAlignment="0" applyProtection="0"/>
    <xf numFmtId="0" fontId="54" fillId="70" borderId="0" applyNumberFormat="0" applyBorder="0" applyAlignment="0" applyProtection="0"/>
    <xf numFmtId="0" fontId="54" fillId="70" borderId="0" applyNumberFormat="0" applyBorder="0" applyAlignment="0" applyProtection="0"/>
    <xf numFmtId="0" fontId="54" fillId="70" borderId="0" applyNumberFormat="0" applyBorder="0" applyAlignment="0" applyProtection="0"/>
    <xf numFmtId="0" fontId="54" fillId="70" borderId="0" applyNumberFormat="0" applyBorder="0" applyAlignment="0" applyProtection="0"/>
    <xf numFmtId="0" fontId="54" fillId="70" borderId="0" applyNumberFormat="0" applyBorder="0" applyAlignment="0" applyProtection="0"/>
    <xf numFmtId="0" fontId="54" fillId="70" borderId="0" applyNumberFormat="0" applyBorder="0" applyAlignment="0" applyProtection="0"/>
    <xf numFmtId="0" fontId="54" fillId="70" borderId="0" applyNumberFormat="0" applyBorder="0" applyAlignment="0" applyProtection="0"/>
    <xf numFmtId="0" fontId="54" fillId="70" borderId="0" applyNumberFormat="0" applyBorder="0" applyAlignment="0" applyProtection="0"/>
    <xf numFmtId="0" fontId="54" fillId="70" borderId="0" applyNumberFormat="0" applyBorder="0" applyAlignment="0" applyProtection="0"/>
    <xf numFmtId="0" fontId="54" fillId="70" borderId="0" applyNumberFormat="0" applyBorder="0" applyAlignment="0" applyProtection="0"/>
    <xf numFmtId="0" fontId="54" fillId="70" borderId="0" applyNumberFormat="0" applyBorder="0" applyAlignment="0" applyProtection="0"/>
    <xf numFmtId="0" fontId="54" fillId="70" borderId="0" applyNumberFormat="0" applyBorder="0" applyAlignment="0" applyProtection="0"/>
    <xf numFmtId="0" fontId="54" fillId="70" borderId="0" applyNumberFormat="0" applyBorder="0" applyAlignment="0" applyProtection="0"/>
    <xf numFmtId="0" fontId="54" fillId="70" borderId="0" applyNumberFormat="0" applyBorder="0" applyAlignment="0" applyProtection="0"/>
    <xf numFmtId="0" fontId="54" fillId="70" borderId="0" applyNumberFormat="0" applyBorder="0" applyAlignment="0" applyProtection="0"/>
    <xf numFmtId="0" fontId="54" fillId="70" borderId="0" applyNumberFormat="0" applyBorder="0" applyAlignment="0" applyProtection="0"/>
    <xf numFmtId="0" fontId="54" fillId="70" borderId="0" applyNumberFormat="0" applyBorder="0" applyAlignment="0" applyProtection="0"/>
    <xf numFmtId="0" fontId="54" fillId="69" borderId="0" applyNumberFormat="0" applyBorder="0" applyProtection="0"/>
    <xf numFmtId="0" fontId="54" fillId="69" borderId="0" applyNumberFormat="0" applyBorder="0" applyProtection="0"/>
    <xf numFmtId="0" fontId="54" fillId="69" borderId="0" applyNumberFormat="0" applyBorder="0" applyProtection="0"/>
    <xf numFmtId="0" fontId="54" fillId="69" borderId="0" applyNumberFormat="0" applyBorder="0" applyProtection="0"/>
    <xf numFmtId="0" fontId="54" fillId="69" borderId="0" applyNumberFormat="0" applyBorder="0" applyProtection="0"/>
    <xf numFmtId="0" fontId="54" fillId="69" borderId="0" applyNumberFormat="0" applyBorder="0" applyProtection="0"/>
    <xf numFmtId="0" fontId="54" fillId="69" borderId="0" applyNumberFormat="0" applyBorder="0" applyProtection="0"/>
    <xf numFmtId="0" fontId="54" fillId="69" borderId="0" applyNumberFormat="0" applyBorder="0" applyProtection="0"/>
    <xf numFmtId="0" fontId="54" fillId="72" borderId="0" applyNumberFormat="0" applyBorder="0" applyAlignment="0" applyProtection="0"/>
    <xf numFmtId="0" fontId="54" fillId="72" borderId="0" applyNumberFormat="0" applyBorder="0" applyAlignment="0" applyProtection="0"/>
    <xf numFmtId="0" fontId="54" fillId="72" borderId="0" applyNumberFormat="0" applyBorder="0" applyAlignment="0" applyProtection="0"/>
    <xf numFmtId="0" fontId="54" fillId="72" borderId="0" applyNumberFormat="0" applyBorder="0" applyAlignment="0" applyProtection="0"/>
    <xf numFmtId="0" fontId="54" fillId="72" borderId="0" applyNumberFormat="0" applyBorder="0" applyAlignment="0" applyProtection="0"/>
    <xf numFmtId="0" fontId="54" fillId="72" borderId="0" applyNumberFormat="0" applyBorder="0" applyAlignment="0" applyProtection="0"/>
    <xf numFmtId="0" fontId="54" fillId="72" borderId="0" applyNumberFormat="0" applyBorder="0" applyAlignment="0" applyProtection="0"/>
    <xf numFmtId="0" fontId="54" fillId="72" borderId="0" applyNumberFormat="0" applyBorder="0" applyAlignment="0" applyProtection="0"/>
    <xf numFmtId="0" fontId="54" fillId="72" borderId="0" applyNumberFormat="0" applyBorder="0" applyAlignment="0" applyProtection="0"/>
    <xf numFmtId="0" fontId="54" fillId="72" borderId="0" applyNumberFormat="0" applyBorder="0" applyAlignment="0" applyProtection="0"/>
    <xf numFmtId="0" fontId="54" fillId="72" borderId="0" applyNumberFormat="0" applyBorder="0" applyAlignment="0" applyProtection="0"/>
    <xf numFmtId="0" fontId="54" fillId="72" borderId="0" applyNumberFormat="0" applyBorder="0" applyAlignment="0" applyProtection="0"/>
    <xf numFmtId="0" fontId="54" fillId="72" borderId="0" applyNumberFormat="0" applyBorder="0" applyAlignment="0" applyProtection="0"/>
    <xf numFmtId="0" fontId="54" fillId="72" borderId="0" applyNumberFormat="0" applyBorder="0" applyAlignment="0" applyProtection="0"/>
    <xf numFmtId="0" fontId="54" fillId="72" borderId="0" applyNumberFormat="0" applyBorder="0" applyAlignment="0" applyProtection="0"/>
    <xf numFmtId="0" fontId="54" fillId="72" borderId="0" applyNumberFormat="0" applyBorder="0" applyAlignment="0" applyProtection="0"/>
    <xf numFmtId="0" fontId="54" fillId="72" borderId="0" applyNumberFormat="0" applyBorder="0" applyAlignment="0" applyProtection="0"/>
    <xf numFmtId="0" fontId="54" fillId="72" borderId="0" applyNumberFormat="0" applyBorder="0" applyAlignment="0" applyProtection="0"/>
    <xf numFmtId="0" fontId="54" fillId="72" borderId="0" applyNumberFormat="0" applyBorder="0" applyAlignment="0" applyProtection="0"/>
    <xf numFmtId="0" fontId="54" fillId="72" borderId="0" applyNumberFormat="0" applyBorder="0" applyAlignment="0" applyProtection="0"/>
    <xf numFmtId="0" fontId="54" fillId="71" borderId="0" applyNumberFormat="0" applyBorder="0" applyProtection="0"/>
    <xf numFmtId="0" fontId="54" fillId="71" borderId="0" applyNumberFormat="0" applyBorder="0" applyProtection="0"/>
    <xf numFmtId="0" fontId="54" fillId="71" borderId="0" applyNumberFormat="0" applyBorder="0" applyProtection="0"/>
    <xf numFmtId="0" fontId="54" fillId="71" borderId="0" applyNumberFormat="0" applyBorder="0" applyProtection="0"/>
    <xf numFmtId="0" fontId="54" fillId="71" borderId="0" applyNumberFormat="0" applyBorder="0" applyProtection="0"/>
    <xf numFmtId="0" fontId="54" fillId="71" borderId="0" applyNumberFormat="0" applyBorder="0" applyProtection="0"/>
    <xf numFmtId="0" fontId="54" fillId="71" borderId="0" applyNumberFormat="0" applyBorder="0" applyProtection="0"/>
    <xf numFmtId="0" fontId="54" fillId="71" borderId="0" applyNumberFormat="0" applyBorder="0" applyProtection="0"/>
    <xf numFmtId="0" fontId="60" fillId="73" borderId="0" applyNumberFormat="0" applyBorder="0" applyProtection="0"/>
    <xf numFmtId="0" fontId="60" fillId="73" borderId="0" applyNumberFormat="0" applyBorder="0" applyProtection="0"/>
    <xf numFmtId="0" fontId="60" fillId="73" borderId="0" applyNumberFormat="0" applyBorder="0" applyProtection="0"/>
    <xf numFmtId="0" fontId="60" fillId="73" borderId="0" applyNumberFormat="0" applyBorder="0" applyProtection="0"/>
    <xf numFmtId="0" fontId="60" fillId="73" borderId="0" applyNumberFormat="0" applyBorder="0" applyProtection="0"/>
    <xf numFmtId="0" fontId="60" fillId="73" borderId="0" applyNumberFormat="0" applyBorder="0" applyProtection="0"/>
    <xf numFmtId="0" fontId="60" fillId="73" borderId="0" applyNumberFormat="0" applyBorder="0" applyProtection="0"/>
    <xf numFmtId="0" fontId="60" fillId="73" borderId="0" applyNumberFormat="0" applyBorder="0" applyProtection="0"/>
    <xf numFmtId="0" fontId="60" fillId="56" borderId="0" applyNumberFormat="0" applyBorder="0" applyProtection="0"/>
    <xf numFmtId="0" fontId="60" fillId="56" borderId="0" applyNumberFormat="0" applyBorder="0" applyProtection="0"/>
    <xf numFmtId="0" fontId="60" fillId="56" borderId="0" applyNumberFormat="0" applyBorder="0" applyProtection="0"/>
    <xf numFmtId="0" fontId="60" fillId="56" borderId="0" applyNumberFormat="0" applyBorder="0" applyProtection="0"/>
    <xf numFmtId="0" fontId="60" fillId="56" borderId="0" applyNumberFormat="0" applyBorder="0" applyProtection="0"/>
    <xf numFmtId="0" fontId="60" fillId="56" borderId="0" applyNumberFormat="0" applyBorder="0" applyProtection="0"/>
    <xf numFmtId="0" fontId="60" fillId="56" borderId="0" applyNumberFormat="0" applyBorder="0" applyProtection="0"/>
    <xf numFmtId="0" fontId="60" fillId="56" borderId="0" applyNumberFormat="0" applyBorder="0" applyProtection="0"/>
    <xf numFmtId="0" fontId="60" fillId="46" borderId="0" applyNumberFormat="0" applyBorder="0" applyProtection="0"/>
    <xf numFmtId="0" fontId="60" fillId="46" borderId="0" applyNumberFormat="0" applyBorder="0" applyProtection="0"/>
    <xf numFmtId="0" fontId="60" fillId="46" borderId="0" applyNumberFormat="0" applyBorder="0" applyProtection="0"/>
    <xf numFmtId="0" fontId="60" fillId="46" borderId="0" applyNumberFormat="0" applyBorder="0" applyProtection="0"/>
    <xf numFmtId="0" fontId="60" fillId="46" borderId="0" applyNumberFormat="0" applyBorder="0" applyProtection="0"/>
    <xf numFmtId="0" fontId="60" fillId="46" borderId="0" applyNumberFormat="0" applyBorder="0" applyProtection="0"/>
    <xf numFmtId="0" fontId="60" fillId="46" borderId="0" applyNumberFormat="0" applyBorder="0" applyProtection="0"/>
    <xf numFmtId="0" fontId="60" fillId="46" borderId="0" applyNumberFormat="0" applyBorder="0" applyProtection="0"/>
    <xf numFmtId="0" fontId="60" fillId="75" borderId="0" applyNumberFormat="0" applyBorder="0" applyProtection="0"/>
    <xf numFmtId="0" fontId="60" fillId="75" borderId="0" applyNumberFormat="0" applyBorder="0" applyProtection="0"/>
    <xf numFmtId="0" fontId="60" fillId="75" borderId="0" applyNumberFormat="0" applyBorder="0" applyProtection="0"/>
    <xf numFmtId="0" fontId="60" fillId="75" borderId="0" applyNumberFormat="0" applyBorder="0" applyProtection="0"/>
    <xf numFmtId="0" fontId="60" fillId="75" borderId="0" applyNumberFormat="0" applyBorder="0" applyProtection="0"/>
    <xf numFmtId="0" fontId="60" fillId="75" borderId="0" applyNumberFormat="0" applyBorder="0" applyProtection="0"/>
    <xf numFmtId="0" fontId="60" fillId="75" borderId="0" applyNumberFormat="0" applyBorder="0" applyProtection="0"/>
    <xf numFmtId="0" fontId="60" fillId="75" borderId="0" applyNumberFormat="0" applyBorder="0" applyProtection="0"/>
    <xf numFmtId="0" fontId="60" fillId="75" borderId="0" applyNumberFormat="0" applyBorder="0" applyProtection="0"/>
    <xf numFmtId="0" fontId="60" fillId="75" borderId="0" applyNumberFormat="0" applyBorder="0" applyProtection="0"/>
    <xf numFmtId="0" fontId="60" fillId="75" borderId="0" applyNumberFormat="0" applyBorder="0" applyProtection="0"/>
    <xf numFmtId="0" fontId="60" fillId="75" borderId="0" applyNumberFormat="0" applyBorder="0" applyProtection="0"/>
    <xf numFmtId="0" fontId="60" fillId="75" borderId="0" applyNumberFormat="0" applyBorder="0" applyProtection="0"/>
    <xf numFmtId="0" fontId="60" fillId="75" borderId="0" applyNumberFormat="0" applyBorder="0" applyProtection="0"/>
    <xf numFmtId="0" fontId="60" fillId="75" borderId="0" applyNumberFormat="0" applyBorder="0" applyProtection="0"/>
    <xf numFmtId="0" fontId="60" fillId="75" borderId="0" applyNumberFormat="0" applyBorder="0" applyProtection="0"/>
    <xf numFmtId="0" fontId="60" fillId="75" borderId="0" applyNumberFormat="0" applyBorder="0" applyProtection="0"/>
    <xf numFmtId="0" fontId="60" fillId="75" borderId="0" applyNumberFormat="0" applyBorder="0" applyProtection="0"/>
    <xf numFmtId="0" fontId="60" fillId="75" borderId="0" applyNumberFormat="0" applyBorder="0" applyProtection="0"/>
    <xf numFmtId="0" fontId="60" fillId="75" borderId="0" applyNumberFormat="0" applyBorder="0" applyProtection="0"/>
    <xf numFmtId="0" fontId="60" fillId="75" borderId="0" applyNumberFormat="0" applyBorder="0" applyProtection="0"/>
    <xf numFmtId="0" fontId="60" fillId="75" borderId="0" applyNumberFormat="0" applyBorder="0" applyProtection="0"/>
    <xf numFmtId="0" fontId="60" fillId="75" borderId="0" applyNumberFormat="0" applyBorder="0" applyProtection="0"/>
    <xf numFmtId="0" fontId="60" fillId="75" borderId="0" applyNumberFormat="0" applyBorder="0" applyProtection="0"/>
    <xf numFmtId="0" fontId="60" fillId="75" borderId="0" applyNumberFormat="0" applyBorder="0" applyProtection="0"/>
    <xf numFmtId="0" fontId="60" fillId="75" borderId="0" applyNumberFormat="0" applyBorder="0" applyProtection="0"/>
    <xf numFmtId="0" fontId="60" fillId="75" borderId="0" applyNumberFormat="0" applyBorder="0" applyProtection="0"/>
    <xf numFmtId="0" fontId="60" fillId="75" borderId="0" applyNumberFormat="0" applyBorder="0" applyProtection="0"/>
    <xf numFmtId="0" fontId="60" fillId="75" borderId="0" applyNumberFormat="0" applyBorder="0" applyProtection="0"/>
    <xf numFmtId="0" fontId="60" fillId="75" borderId="0" applyNumberFormat="0" applyBorder="0" applyProtection="0"/>
    <xf numFmtId="0" fontId="60" fillId="75" borderId="0" applyNumberFormat="0" applyBorder="0" applyProtection="0"/>
    <xf numFmtId="0" fontId="60" fillId="75" borderId="0" applyNumberFormat="0" applyBorder="0" applyProtection="0"/>
    <xf numFmtId="0" fontId="60" fillId="77" borderId="0" applyNumberFormat="0" applyBorder="0" applyProtection="0"/>
    <xf numFmtId="0" fontId="60" fillId="77" borderId="0" applyNumberFormat="0" applyBorder="0" applyProtection="0"/>
    <xf numFmtId="0" fontId="60" fillId="77" borderId="0" applyNumberFormat="0" applyBorder="0" applyProtection="0"/>
    <xf numFmtId="0" fontId="60" fillId="77" borderId="0" applyNumberFormat="0" applyBorder="0" applyProtection="0"/>
    <xf numFmtId="0" fontId="60" fillId="77" borderId="0" applyNumberFormat="0" applyBorder="0" applyProtection="0"/>
    <xf numFmtId="0" fontId="60" fillId="77" borderId="0" applyNumberFormat="0" applyBorder="0" applyProtection="0"/>
    <xf numFmtId="0" fontId="60" fillId="77" borderId="0" applyNumberFormat="0" applyBorder="0" applyProtection="0"/>
    <xf numFmtId="0" fontId="60" fillId="77" borderId="0" applyNumberFormat="0" applyBorder="0" applyProtection="0"/>
    <xf numFmtId="0" fontId="60" fillId="79" borderId="0" applyNumberFormat="0" applyBorder="0" applyProtection="0"/>
    <xf numFmtId="0" fontId="60" fillId="79" borderId="0" applyNumberFormat="0" applyBorder="0" applyProtection="0"/>
    <xf numFmtId="0" fontId="60" fillId="79" borderId="0" applyNumberFormat="0" applyBorder="0" applyProtection="0"/>
    <xf numFmtId="0" fontId="60" fillId="79" borderId="0" applyNumberFormat="0" applyBorder="0" applyProtection="0"/>
    <xf numFmtId="0" fontId="60" fillId="79" borderId="0" applyNumberFormat="0" applyBorder="0" applyProtection="0"/>
    <xf numFmtId="0" fontId="60" fillId="79" borderId="0" applyNumberFormat="0" applyBorder="0" applyProtection="0"/>
    <xf numFmtId="0" fontId="60" fillId="79" borderId="0" applyNumberFormat="0" applyBorder="0" applyProtection="0"/>
    <xf numFmtId="0" fontId="60" fillId="79" borderId="0" applyNumberFormat="0" applyBorder="0" applyProtection="0"/>
    <xf numFmtId="0" fontId="54" fillId="82" borderId="0" applyNumberFormat="0" applyBorder="0" applyAlignment="0" applyProtection="0"/>
    <xf numFmtId="0" fontId="54" fillId="82" borderId="0" applyNumberFormat="0" applyBorder="0" applyAlignment="0" applyProtection="0"/>
    <xf numFmtId="0" fontId="54" fillId="82" borderId="0" applyNumberFormat="0" applyBorder="0" applyAlignment="0" applyProtection="0"/>
    <xf numFmtId="0" fontId="54" fillId="82" borderId="0" applyNumberFormat="0" applyBorder="0" applyAlignment="0" applyProtection="0"/>
    <xf numFmtId="0" fontId="54" fillId="82" borderId="0" applyNumberFormat="0" applyBorder="0" applyAlignment="0" applyProtection="0"/>
    <xf numFmtId="0" fontId="54" fillId="82" borderId="0" applyNumberFormat="0" applyBorder="0" applyAlignment="0" applyProtection="0"/>
    <xf numFmtId="0" fontId="54" fillId="82" borderId="0" applyNumberFormat="0" applyBorder="0" applyAlignment="0" applyProtection="0"/>
    <xf numFmtId="0" fontId="54" fillId="82" borderId="0" applyNumberFormat="0" applyBorder="0" applyAlignment="0" applyProtection="0"/>
    <xf numFmtId="0" fontId="54" fillId="82" borderId="0" applyNumberFormat="0" applyBorder="0" applyAlignment="0" applyProtection="0"/>
    <xf numFmtId="0" fontId="54" fillId="82" borderId="0" applyNumberFormat="0" applyBorder="0" applyAlignment="0" applyProtection="0"/>
    <xf numFmtId="0" fontId="54" fillId="82" borderId="0" applyNumberFormat="0" applyBorder="0" applyAlignment="0" applyProtection="0"/>
    <xf numFmtId="0" fontId="54" fillId="82" borderId="0" applyNumberFormat="0" applyBorder="0" applyAlignment="0" applyProtection="0"/>
    <xf numFmtId="0" fontId="54" fillId="82" borderId="0" applyNumberFormat="0" applyBorder="0" applyAlignment="0" applyProtection="0"/>
    <xf numFmtId="0" fontId="54" fillId="82" borderId="0" applyNumberFormat="0" applyBorder="0" applyAlignment="0" applyProtection="0"/>
    <xf numFmtId="0" fontId="54" fillId="82" borderId="0" applyNumberFormat="0" applyBorder="0" applyAlignment="0" applyProtection="0"/>
    <xf numFmtId="0" fontId="54" fillId="82" borderId="0" applyNumberFormat="0" applyBorder="0" applyAlignment="0" applyProtection="0"/>
    <xf numFmtId="0" fontId="54" fillId="82" borderId="0" applyNumberFormat="0" applyBorder="0" applyAlignment="0" applyProtection="0"/>
    <xf numFmtId="0" fontId="54" fillId="82" borderId="0" applyNumberFormat="0" applyBorder="0" applyAlignment="0" applyProtection="0"/>
    <xf numFmtId="0" fontId="54" fillId="82" borderId="0" applyNumberFormat="0" applyBorder="0" applyAlignment="0" applyProtection="0"/>
    <xf numFmtId="0" fontId="54" fillId="82" borderId="0" applyNumberFormat="0" applyBorder="0" applyAlignment="0" applyProtection="0"/>
    <xf numFmtId="0" fontId="54" fillId="81" borderId="0" applyNumberFormat="0" applyBorder="0" applyProtection="0"/>
    <xf numFmtId="0" fontId="54" fillId="81" borderId="0" applyNumberFormat="0" applyBorder="0" applyProtection="0"/>
    <xf numFmtId="0" fontId="54" fillId="81" borderId="0" applyNumberFormat="0" applyBorder="0" applyProtection="0"/>
    <xf numFmtId="0" fontId="54" fillId="81" borderId="0" applyNumberFormat="0" applyBorder="0" applyProtection="0"/>
    <xf numFmtId="0" fontId="54" fillId="81" borderId="0" applyNumberFormat="0" applyBorder="0" applyProtection="0"/>
    <xf numFmtId="0" fontId="54" fillId="81" borderId="0" applyNumberFormat="0" applyBorder="0" applyProtection="0"/>
    <xf numFmtId="0" fontId="54" fillId="81" borderId="0" applyNumberFormat="0" applyBorder="0" applyProtection="0"/>
    <xf numFmtId="0" fontId="54" fillId="81" borderId="0" applyNumberFormat="0" applyBorder="0" applyProtection="0"/>
    <xf numFmtId="0" fontId="54" fillId="84" borderId="0" applyNumberFormat="0" applyBorder="0" applyAlignment="0" applyProtection="0"/>
    <xf numFmtId="0" fontId="54" fillId="84" borderId="0" applyNumberFormat="0" applyBorder="0" applyAlignment="0" applyProtection="0"/>
    <xf numFmtId="0" fontId="54" fillId="84" borderId="0" applyNumberFormat="0" applyBorder="0" applyAlignment="0" applyProtection="0"/>
    <xf numFmtId="0" fontId="54" fillId="84" borderId="0" applyNumberFormat="0" applyBorder="0" applyAlignment="0" applyProtection="0"/>
    <xf numFmtId="0" fontId="54" fillId="84" borderId="0" applyNumberFormat="0" applyBorder="0" applyAlignment="0" applyProtection="0"/>
    <xf numFmtId="0" fontId="54" fillId="84" borderId="0" applyNumberFormat="0" applyBorder="0" applyAlignment="0" applyProtection="0"/>
    <xf numFmtId="0" fontId="54" fillId="84" borderId="0" applyNumberFormat="0" applyBorder="0" applyAlignment="0" applyProtection="0"/>
    <xf numFmtId="0" fontId="54" fillId="84" borderId="0" applyNumberFormat="0" applyBorder="0" applyAlignment="0" applyProtection="0"/>
    <xf numFmtId="0" fontId="54" fillId="84" borderId="0" applyNumberFormat="0" applyBorder="0" applyAlignment="0" applyProtection="0"/>
    <xf numFmtId="0" fontId="54" fillId="84" borderId="0" applyNumberFormat="0" applyBorder="0" applyAlignment="0" applyProtection="0"/>
    <xf numFmtId="0" fontId="54" fillId="84" borderId="0" applyNumberFormat="0" applyBorder="0" applyAlignment="0" applyProtection="0"/>
    <xf numFmtId="0" fontId="54" fillId="84" borderId="0" applyNumberFormat="0" applyBorder="0" applyAlignment="0" applyProtection="0"/>
    <xf numFmtId="0" fontId="54" fillId="84" borderId="0" applyNumberFormat="0" applyBorder="0" applyAlignment="0" applyProtection="0"/>
    <xf numFmtId="0" fontId="54" fillId="84" borderId="0" applyNumberFormat="0" applyBorder="0" applyAlignment="0" applyProtection="0"/>
    <xf numFmtId="0" fontId="54" fillId="84" borderId="0" applyNumberFormat="0" applyBorder="0" applyAlignment="0" applyProtection="0"/>
    <xf numFmtId="0" fontId="54" fillId="84" borderId="0" applyNumberFormat="0" applyBorder="0" applyAlignment="0" applyProtection="0"/>
    <xf numFmtId="0" fontId="54" fillId="84" borderId="0" applyNumberFormat="0" applyBorder="0" applyAlignment="0" applyProtection="0"/>
    <xf numFmtId="0" fontId="54" fillId="84" borderId="0" applyNumberFormat="0" applyBorder="0" applyAlignment="0" applyProtection="0"/>
    <xf numFmtId="0" fontId="54" fillId="84" borderId="0" applyNumberFormat="0" applyBorder="0" applyAlignment="0" applyProtection="0"/>
    <xf numFmtId="0" fontId="54" fillId="84" borderId="0" applyNumberFormat="0" applyBorder="0" applyAlignment="0" applyProtection="0"/>
    <xf numFmtId="0" fontId="54" fillId="83" borderId="0" applyNumberFormat="0" applyBorder="0" applyProtection="0"/>
    <xf numFmtId="0" fontId="54" fillId="83" borderId="0" applyNumberFormat="0" applyBorder="0" applyProtection="0"/>
    <xf numFmtId="0" fontId="54" fillId="83" borderId="0" applyNumberFormat="0" applyBorder="0" applyProtection="0"/>
    <xf numFmtId="0" fontId="54" fillId="83" borderId="0" applyNumberFormat="0" applyBorder="0" applyProtection="0"/>
    <xf numFmtId="0" fontId="54" fillId="83" borderId="0" applyNumberFormat="0" applyBorder="0" applyProtection="0"/>
    <xf numFmtId="0" fontId="54" fillId="83" borderId="0" applyNumberFormat="0" applyBorder="0" applyProtection="0"/>
    <xf numFmtId="0" fontId="54" fillId="83" borderId="0" applyNumberFormat="0" applyBorder="0" applyProtection="0"/>
    <xf numFmtId="0" fontId="54" fillId="83" borderId="0" applyNumberFormat="0" applyBorder="0" applyProtection="0"/>
    <xf numFmtId="0" fontId="54" fillId="86" borderId="0" applyNumberFormat="0" applyBorder="0" applyAlignment="0" applyProtection="0"/>
    <xf numFmtId="0" fontId="54" fillId="86" borderId="0" applyNumberFormat="0" applyBorder="0" applyAlignment="0" applyProtection="0"/>
    <xf numFmtId="0" fontId="54" fillId="86" borderId="0" applyNumberFormat="0" applyBorder="0" applyAlignment="0" applyProtection="0"/>
    <xf numFmtId="0" fontId="54" fillId="86" borderId="0" applyNumberFormat="0" applyBorder="0" applyAlignment="0" applyProtection="0"/>
    <xf numFmtId="0" fontId="54" fillId="86" borderId="0" applyNumberFormat="0" applyBorder="0" applyAlignment="0" applyProtection="0"/>
    <xf numFmtId="0" fontId="54" fillId="86" borderId="0" applyNumberFormat="0" applyBorder="0" applyAlignment="0" applyProtection="0"/>
    <xf numFmtId="0" fontId="54" fillId="86" borderId="0" applyNumberFormat="0" applyBorder="0" applyAlignment="0" applyProtection="0"/>
    <xf numFmtId="0" fontId="54" fillId="86" borderId="0" applyNumberFormat="0" applyBorder="0" applyAlignment="0" applyProtection="0"/>
    <xf numFmtId="0" fontId="54" fillId="86" borderId="0" applyNumberFormat="0" applyBorder="0" applyAlignment="0" applyProtection="0"/>
    <xf numFmtId="0" fontId="54" fillId="86" borderId="0" applyNumberFormat="0" applyBorder="0" applyAlignment="0" applyProtection="0"/>
    <xf numFmtId="0" fontId="54" fillId="86" borderId="0" applyNumberFormat="0" applyBorder="0" applyAlignment="0" applyProtection="0"/>
    <xf numFmtId="0" fontId="54" fillId="86" borderId="0" applyNumberFormat="0" applyBorder="0" applyAlignment="0" applyProtection="0"/>
    <xf numFmtId="0" fontId="54" fillId="86" borderId="0" applyNumberFormat="0" applyBorder="0" applyAlignment="0" applyProtection="0"/>
    <xf numFmtId="0" fontId="54" fillId="86" borderId="0" applyNumberFormat="0" applyBorder="0" applyAlignment="0" applyProtection="0"/>
    <xf numFmtId="0" fontId="54" fillId="86" borderId="0" applyNumberFormat="0" applyBorder="0" applyAlignment="0" applyProtection="0"/>
    <xf numFmtId="0" fontId="54" fillId="86" borderId="0" applyNumberFormat="0" applyBorder="0" applyAlignment="0" applyProtection="0"/>
    <xf numFmtId="0" fontId="54" fillId="86" borderId="0" applyNumberFormat="0" applyBorder="0" applyAlignment="0" applyProtection="0"/>
    <xf numFmtId="0" fontId="54" fillId="86" borderId="0" applyNumberFormat="0" applyBorder="0" applyAlignment="0" applyProtection="0"/>
    <xf numFmtId="0" fontId="54" fillId="86" borderId="0" applyNumberFormat="0" applyBorder="0" applyAlignment="0" applyProtection="0"/>
    <xf numFmtId="0" fontId="54" fillId="86" borderId="0" applyNumberFormat="0" applyBorder="0" applyAlignment="0" applyProtection="0"/>
    <xf numFmtId="0" fontId="54" fillId="85" borderId="0" applyNumberFormat="0" applyBorder="0" applyProtection="0"/>
    <xf numFmtId="0" fontId="54" fillId="85" borderId="0" applyNumberFormat="0" applyBorder="0" applyProtection="0"/>
    <xf numFmtId="0" fontId="54" fillId="85" borderId="0" applyNumberFormat="0" applyBorder="0" applyProtection="0"/>
    <xf numFmtId="0" fontId="54" fillId="85" borderId="0" applyNumberFormat="0" applyBorder="0" applyProtection="0"/>
    <xf numFmtId="0" fontId="54" fillId="85" borderId="0" applyNumberFormat="0" applyBorder="0" applyProtection="0"/>
    <xf numFmtId="0" fontId="54" fillId="85" borderId="0" applyNumberFormat="0" applyBorder="0" applyProtection="0"/>
    <xf numFmtId="0" fontId="54" fillId="85" borderId="0" applyNumberFormat="0" applyBorder="0" applyProtection="0"/>
    <xf numFmtId="0" fontId="54" fillId="85" borderId="0" applyNumberFormat="0" applyBorder="0" applyProtection="0"/>
    <xf numFmtId="0" fontId="54" fillId="88" borderId="0" applyNumberFormat="0" applyBorder="0" applyAlignment="0" applyProtection="0"/>
    <xf numFmtId="0" fontId="54" fillId="88" borderId="0" applyNumberFormat="0" applyBorder="0" applyAlignment="0" applyProtection="0"/>
    <xf numFmtId="0" fontId="54" fillId="88" borderId="0" applyNumberFormat="0" applyBorder="0" applyAlignment="0" applyProtection="0"/>
    <xf numFmtId="0" fontId="54" fillId="88" borderId="0" applyNumberFormat="0" applyBorder="0" applyAlignment="0" applyProtection="0"/>
    <xf numFmtId="0" fontId="54" fillId="88" borderId="0" applyNumberFormat="0" applyBorder="0" applyAlignment="0" applyProtection="0"/>
    <xf numFmtId="0" fontId="54" fillId="88" borderId="0" applyNumberFormat="0" applyBorder="0" applyAlignment="0" applyProtection="0"/>
    <xf numFmtId="0" fontId="54" fillId="88" borderId="0" applyNumberFormat="0" applyBorder="0" applyAlignment="0" applyProtection="0"/>
    <xf numFmtId="0" fontId="54" fillId="88" borderId="0" applyNumberFormat="0" applyBorder="0" applyAlignment="0" applyProtection="0"/>
    <xf numFmtId="0" fontId="54" fillId="88" borderId="0" applyNumberFormat="0" applyBorder="0" applyAlignment="0" applyProtection="0"/>
    <xf numFmtId="0" fontId="54" fillId="88" borderId="0" applyNumberFormat="0" applyBorder="0" applyAlignment="0" applyProtection="0"/>
    <xf numFmtId="0" fontId="54" fillId="88" borderId="0" applyNumberFormat="0" applyBorder="0" applyAlignment="0" applyProtection="0"/>
    <xf numFmtId="0" fontId="54" fillId="88" borderId="0" applyNumberFormat="0" applyBorder="0" applyAlignment="0" applyProtection="0"/>
    <xf numFmtId="0" fontId="54" fillId="88" borderId="0" applyNumberFormat="0" applyBorder="0" applyAlignment="0" applyProtection="0"/>
    <xf numFmtId="0" fontId="54" fillId="88" borderId="0" applyNumberFormat="0" applyBorder="0" applyAlignment="0" applyProtection="0"/>
    <xf numFmtId="0" fontId="54" fillId="88" borderId="0" applyNumberFormat="0" applyBorder="0" applyAlignment="0" applyProtection="0"/>
    <xf numFmtId="0" fontId="54" fillId="88" borderId="0" applyNumberFormat="0" applyBorder="0" applyAlignment="0" applyProtection="0"/>
    <xf numFmtId="0" fontId="54" fillId="88" borderId="0" applyNumberFormat="0" applyBorder="0" applyAlignment="0" applyProtection="0"/>
    <xf numFmtId="0" fontId="54" fillId="88" borderId="0" applyNumberFormat="0" applyBorder="0" applyAlignment="0" applyProtection="0"/>
    <xf numFmtId="0" fontId="54" fillId="88" borderId="0" applyNumberFormat="0" applyBorder="0" applyAlignment="0" applyProtection="0"/>
    <xf numFmtId="0" fontId="54" fillId="88" borderId="0" applyNumberFormat="0" applyBorder="0" applyAlignment="0" applyProtection="0"/>
    <xf numFmtId="0" fontId="54" fillId="87" borderId="0" applyNumberFormat="0" applyBorder="0" applyProtection="0"/>
    <xf numFmtId="0" fontId="54" fillId="87" borderId="0" applyNumberFormat="0" applyBorder="0" applyProtection="0"/>
    <xf numFmtId="0" fontId="54" fillId="87" borderId="0" applyNumberFormat="0" applyBorder="0" applyProtection="0"/>
    <xf numFmtId="0" fontId="54" fillId="87" borderId="0" applyNumberFormat="0" applyBorder="0" applyProtection="0"/>
    <xf numFmtId="0" fontId="54" fillId="87" borderId="0" applyNumberFormat="0" applyBorder="0" applyProtection="0"/>
    <xf numFmtId="0" fontId="54" fillId="87" borderId="0" applyNumberFormat="0" applyBorder="0" applyProtection="0"/>
    <xf numFmtId="0" fontId="54" fillId="87" borderId="0" applyNumberFormat="0" applyBorder="0" applyProtection="0"/>
    <xf numFmtId="0" fontId="54" fillId="87" borderId="0" applyNumberFormat="0" applyBorder="0" applyProtection="0"/>
    <xf numFmtId="0" fontId="54" fillId="90" borderId="0" applyNumberFormat="0" applyBorder="0" applyAlignment="0" applyProtection="0"/>
    <xf numFmtId="0" fontId="54" fillId="90" borderId="0" applyNumberFormat="0" applyBorder="0" applyAlignment="0" applyProtection="0"/>
    <xf numFmtId="0" fontId="54" fillId="90" borderId="0" applyNumberFormat="0" applyBorder="0" applyAlignment="0" applyProtection="0"/>
    <xf numFmtId="0" fontId="54" fillId="90" borderId="0" applyNumberFormat="0" applyBorder="0" applyAlignment="0" applyProtection="0"/>
    <xf numFmtId="0" fontId="54" fillId="90" borderId="0" applyNumberFormat="0" applyBorder="0" applyAlignment="0" applyProtection="0"/>
    <xf numFmtId="0" fontId="54" fillId="90" borderId="0" applyNumberFormat="0" applyBorder="0" applyAlignment="0" applyProtection="0"/>
    <xf numFmtId="0" fontId="54" fillId="90" borderId="0" applyNumberFormat="0" applyBorder="0" applyAlignment="0" applyProtection="0"/>
    <xf numFmtId="0" fontId="54" fillId="90" borderId="0" applyNumberFormat="0" applyBorder="0" applyAlignment="0" applyProtection="0"/>
    <xf numFmtId="0" fontId="54" fillId="90" borderId="0" applyNumberFormat="0" applyBorder="0" applyAlignment="0" applyProtection="0"/>
    <xf numFmtId="0" fontId="54" fillId="90" borderId="0" applyNumberFormat="0" applyBorder="0" applyAlignment="0" applyProtection="0"/>
    <xf numFmtId="0" fontId="54" fillId="90" borderId="0" applyNumberFormat="0" applyBorder="0" applyAlignment="0" applyProtection="0"/>
    <xf numFmtId="0" fontId="54" fillId="90" borderId="0" applyNumberFormat="0" applyBorder="0" applyAlignment="0" applyProtection="0"/>
    <xf numFmtId="0" fontId="54" fillId="90" borderId="0" applyNumberFormat="0" applyBorder="0" applyAlignment="0" applyProtection="0"/>
    <xf numFmtId="0" fontId="54" fillId="90" borderId="0" applyNumberFormat="0" applyBorder="0" applyAlignment="0" applyProtection="0"/>
    <xf numFmtId="0" fontId="54" fillId="90" borderId="0" applyNumberFormat="0" applyBorder="0" applyAlignment="0" applyProtection="0"/>
    <xf numFmtId="0" fontId="54" fillId="90" borderId="0" applyNumberFormat="0" applyBorder="0" applyAlignment="0" applyProtection="0"/>
    <xf numFmtId="0" fontId="54" fillId="90" borderId="0" applyNumberFormat="0" applyBorder="0" applyAlignment="0" applyProtection="0"/>
    <xf numFmtId="0" fontId="54" fillId="90" borderId="0" applyNumberFormat="0" applyBorder="0" applyAlignment="0" applyProtection="0"/>
    <xf numFmtId="0" fontId="54" fillId="90" borderId="0" applyNumberFormat="0" applyBorder="0" applyAlignment="0" applyProtection="0"/>
    <xf numFmtId="0" fontId="54" fillId="90" borderId="0" applyNumberFormat="0" applyBorder="0" applyAlignment="0" applyProtection="0"/>
    <xf numFmtId="0" fontId="54" fillId="89" borderId="0" applyNumberFormat="0" applyBorder="0" applyProtection="0"/>
    <xf numFmtId="0" fontId="54" fillId="89" borderId="0" applyNumberFormat="0" applyBorder="0" applyProtection="0"/>
    <xf numFmtId="0" fontId="54" fillId="89" borderId="0" applyNumberFormat="0" applyBorder="0" applyProtection="0"/>
    <xf numFmtId="0" fontId="54" fillId="89" borderId="0" applyNumberFormat="0" applyBorder="0" applyProtection="0"/>
    <xf numFmtId="0" fontId="54" fillId="89" borderId="0" applyNumberFormat="0" applyBorder="0" applyProtection="0"/>
    <xf numFmtId="0" fontId="54" fillId="89" borderId="0" applyNumberFormat="0" applyBorder="0" applyProtection="0"/>
    <xf numFmtId="0" fontId="54" fillId="89" borderId="0" applyNumberFormat="0" applyBorder="0" applyProtection="0"/>
    <xf numFmtId="0" fontId="54" fillId="89" borderId="0" applyNumberFormat="0" applyBorder="0" applyProtection="0"/>
    <xf numFmtId="0" fontId="54" fillId="92" borderId="0" applyNumberFormat="0" applyBorder="0" applyAlignment="0" applyProtection="0"/>
    <xf numFmtId="0" fontId="54" fillId="92" borderId="0" applyNumberFormat="0" applyBorder="0" applyAlignment="0" applyProtection="0"/>
    <xf numFmtId="0" fontId="54" fillId="92" borderId="0" applyNumberFormat="0" applyBorder="0" applyAlignment="0" applyProtection="0"/>
    <xf numFmtId="0" fontId="54" fillId="92" borderId="0" applyNumberFormat="0" applyBorder="0" applyAlignment="0" applyProtection="0"/>
    <xf numFmtId="0" fontId="54" fillId="92" borderId="0" applyNumberFormat="0" applyBorder="0" applyAlignment="0" applyProtection="0"/>
    <xf numFmtId="0" fontId="54" fillId="92" borderId="0" applyNumberFormat="0" applyBorder="0" applyAlignment="0" applyProtection="0"/>
    <xf numFmtId="0" fontId="54" fillId="92" borderId="0" applyNumberFormat="0" applyBorder="0" applyAlignment="0" applyProtection="0"/>
    <xf numFmtId="0" fontId="54" fillId="92" borderId="0" applyNumberFormat="0" applyBorder="0" applyAlignment="0" applyProtection="0"/>
    <xf numFmtId="0" fontId="54" fillId="92" borderId="0" applyNumberFormat="0" applyBorder="0" applyAlignment="0" applyProtection="0"/>
    <xf numFmtId="0" fontId="54" fillId="92" borderId="0" applyNumberFormat="0" applyBorder="0" applyAlignment="0" applyProtection="0"/>
    <xf numFmtId="0" fontId="54" fillId="92" borderId="0" applyNumberFormat="0" applyBorder="0" applyAlignment="0" applyProtection="0"/>
    <xf numFmtId="0" fontId="54" fillId="92" borderId="0" applyNumberFormat="0" applyBorder="0" applyAlignment="0" applyProtection="0"/>
    <xf numFmtId="0" fontId="54" fillId="92" borderId="0" applyNumberFormat="0" applyBorder="0" applyAlignment="0" applyProtection="0"/>
    <xf numFmtId="0" fontId="54" fillId="92" borderId="0" applyNumberFormat="0" applyBorder="0" applyAlignment="0" applyProtection="0"/>
    <xf numFmtId="0" fontId="54" fillId="92" borderId="0" applyNumberFormat="0" applyBorder="0" applyAlignment="0" applyProtection="0"/>
    <xf numFmtId="0" fontId="54" fillId="92" borderId="0" applyNumberFormat="0" applyBorder="0" applyAlignment="0" applyProtection="0"/>
    <xf numFmtId="0" fontId="54" fillId="92" borderId="0" applyNumberFormat="0" applyBorder="0" applyAlignment="0" applyProtection="0"/>
    <xf numFmtId="0" fontId="54" fillId="92" borderId="0" applyNumberFormat="0" applyBorder="0" applyAlignment="0" applyProtection="0"/>
    <xf numFmtId="0" fontId="54" fillId="92" borderId="0" applyNumberFormat="0" applyBorder="0" applyAlignment="0" applyProtection="0"/>
    <xf numFmtId="0" fontId="54" fillId="92" borderId="0" applyNumberFormat="0" applyBorder="0" applyAlignment="0" applyProtection="0"/>
    <xf numFmtId="0" fontId="54" fillId="91" borderId="0" applyNumberFormat="0" applyBorder="0" applyProtection="0"/>
    <xf numFmtId="0" fontId="54" fillId="91" borderId="0" applyNumberFormat="0" applyBorder="0" applyProtection="0"/>
    <xf numFmtId="0" fontId="54" fillId="91" borderId="0" applyNumberFormat="0" applyBorder="0" applyProtection="0"/>
    <xf numFmtId="0" fontId="54" fillId="91" borderId="0" applyNumberFormat="0" applyBorder="0" applyProtection="0"/>
    <xf numFmtId="0" fontId="54" fillId="91" borderId="0" applyNumberFormat="0" applyBorder="0" applyProtection="0"/>
    <xf numFmtId="0" fontId="54" fillId="91" borderId="0" applyNumberFormat="0" applyBorder="0" applyProtection="0"/>
    <xf numFmtId="0" fontId="54" fillId="91" borderId="0" applyNumberFormat="0" applyBorder="0" applyProtection="0"/>
    <xf numFmtId="0" fontId="54" fillId="91" borderId="0" applyNumberFormat="0" applyBorder="0" applyProtection="0"/>
    <xf numFmtId="0" fontId="46" fillId="94" borderId="0" applyNumberFormat="0" applyBorder="0" applyAlignment="0" applyProtection="0"/>
    <xf numFmtId="0" fontId="46" fillId="94" borderId="0" applyNumberFormat="0" applyBorder="0" applyAlignment="0" applyProtection="0"/>
    <xf numFmtId="0" fontId="46" fillId="94" borderId="0" applyNumberFormat="0" applyBorder="0" applyAlignment="0" applyProtection="0"/>
    <xf numFmtId="0" fontId="46" fillId="94" borderId="0" applyNumberFormat="0" applyBorder="0" applyAlignment="0" applyProtection="0"/>
    <xf numFmtId="0" fontId="46" fillId="94" borderId="0" applyNumberFormat="0" applyBorder="0" applyAlignment="0" applyProtection="0"/>
    <xf numFmtId="0" fontId="46" fillId="94" borderId="0" applyNumberFormat="0" applyBorder="0" applyAlignment="0" applyProtection="0"/>
    <xf numFmtId="0" fontId="46" fillId="94" borderId="0" applyNumberFormat="0" applyBorder="0" applyAlignment="0" applyProtection="0"/>
    <xf numFmtId="0" fontId="46" fillId="94" borderId="0" applyNumberFormat="0" applyBorder="0" applyAlignment="0" applyProtection="0"/>
    <xf numFmtId="0" fontId="46" fillId="94" borderId="0" applyNumberFormat="0" applyBorder="0" applyAlignment="0" applyProtection="0"/>
    <xf numFmtId="0" fontId="46" fillId="94" borderId="0" applyNumberFormat="0" applyBorder="0" applyAlignment="0" applyProtection="0"/>
    <xf numFmtId="0" fontId="46" fillId="94" borderId="0" applyNumberFormat="0" applyBorder="0" applyAlignment="0" applyProtection="0"/>
    <xf numFmtId="0" fontId="46" fillId="94" borderId="0" applyNumberFormat="0" applyBorder="0" applyAlignment="0" applyProtection="0"/>
    <xf numFmtId="0" fontId="46" fillId="94" borderId="0" applyNumberFormat="0" applyBorder="0" applyAlignment="0" applyProtection="0"/>
    <xf numFmtId="0" fontId="46" fillId="94" borderId="0" applyNumberFormat="0" applyBorder="0" applyAlignment="0" applyProtection="0"/>
    <xf numFmtId="0" fontId="46" fillId="94" borderId="0" applyNumberFormat="0" applyBorder="0" applyAlignment="0" applyProtection="0"/>
    <xf numFmtId="0" fontId="46" fillId="94" borderId="0" applyNumberFormat="0" applyBorder="0" applyAlignment="0" applyProtection="0"/>
    <xf numFmtId="0" fontId="46" fillId="94" borderId="0" applyNumberFormat="0" applyBorder="0" applyAlignment="0" applyProtection="0"/>
    <xf numFmtId="0" fontId="46" fillId="94" borderId="0" applyNumberFormat="0" applyBorder="0" applyAlignment="0" applyProtection="0"/>
    <xf numFmtId="0" fontId="46" fillId="94" borderId="0" applyNumberFormat="0" applyBorder="0" applyAlignment="0" applyProtection="0"/>
    <xf numFmtId="0" fontId="46" fillId="94" borderId="0" applyNumberFormat="0" applyBorder="0" applyAlignment="0" applyProtection="0"/>
    <xf numFmtId="0" fontId="46" fillId="93" borderId="0" applyNumberFormat="0" applyBorder="0" applyProtection="0"/>
    <xf numFmtId="0" fontId="46" fillId="93" borderId="0" applyNumberFormat="0" applyBorder="0" applyProtection="0"/>
    <xf numFmtId="0" fontId="46" fillId="93" borderId="0" applyNumberFormat="0" applyBorder="0" applyProtection="0"/>
    <xf numFmtId="0" fontId="46" fillId="93" borderId="0" applyNumberFormat="0" applyBorder="0" applyProtection="0"/>
    <xf numFmtId="0" fontId="46" fillId="93" borderId="0" applyNumberFormat="0" applyBorder="0" applyProtection="0"/>
    <xf numFmtId="0" fontId="46" fillId="93" borderId="0" applyNumberFormat="0" applyBorder="0" applyProtection="0"/>
    <xf numFmtId="0" fontId="46" fillId="93" borderId="0" applyNumberFormat="0" applyBorder="0" applyProtection="0"/>
    <xf numFmtId="0" fontId="46" fillId="93" borderId="0" applyNumberFormat="0" applyBorder="0" applyProtection="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50" fillId="96" borderId="30" applyNumberFormat="0" applyAlignment="0" applyProtection="0"/>
    <xf numFmtId="0" fontId="50" fillId="96" borderId="30" applyNumberFormat="0" applyAlignment="0" applyProtection="0"/>
    <xf numFmtId="0" fontId="50" fillId="96" borderId="30" applyNumberFormat="0" applyAlignment="0" applyProtection="0"/>
    <xf numFmtId="0" fontId="50" fillId="96" borderId="30" applyNumberFormat="0" applyAlignment="0" applyProtection="0"/>
    <xf numFmtId="0" fontId="50" fillId="96" borderId="30" applyNumberFormat="0" applyAlignment="0" applyProtection="0"/>
    <xf numFmtId="0" fontId="50" fillId="96" borderId="30" applyNumberFormat="0" applyAlignment="0" applyProtection="0"/>
    <xf numFmtId="0" fontId="50" fillId="96" borderId="30" applyNumberFormat="0" applyAlignment="0" applyProtection="0"/>
    <xf numFmtId="0" fontId="50" fillId="96" borderId="30" applyNumberFormat="0" applyAlignment="0" applyProtection="0"/>
    <xf numFmtId="0" fontId="50" fillId="96" borderId="30" applyNumberFormat="0" applyAlignment="0" applyProtection="0"/>
    <xf numFmtId="0" fontId="50" fillId="96" borderId="30" applyNumberFormat="0" applyAlignment="0" applyProtection="0"/>
    <xf numFmtId="0" fontId="50" fillId="96" borderId="30" applyNumberFormat="0" applyAlignment="0" applyProtection="0"/>
    <xf numFmtId="0" fontId="50" fillId="96" borderId="30" applyNumberFormat="0" applyAlignment="0" applyProtection="0"/>
    <xf numFmtId="0" fontId="50" fillId="96" borderId="30" applyNumberFormat="0" applyAlignment="0" applyProtection="0"/>
    <xf numFmtId="0" fontId="50" fillId="96" borderId="30" applyNumberFormat="0" applyAlignment="0" applyProtection="0"/>
    <xf numFmtId="0" fontId="50" fillId="96" borderId="30" applyNumberFormat="0" applyAlignment="0" applyProtection="0"/>
    <xf numFmtId="0" fontId="50" fillId="96" borderId="30" applyNumberFormat="0" applyAlignment="0" applyProtection="0"/>
    <xf numFmtId="0" fontId="50" fillId="96" borderId="30" applyNumberFormat="0" applyAlignment="0" applyProtection="0"/>
    <xf numFmtId="0" fontId="50" fillId="96" borderId="30" applyNumberFormat="0" applyAlignment="0" applyProtection="0"/>
    <xf numFmtId="0" fontId="50" fillId="96" borderId="30" applyNumberFormat="0" applyAlignment="0" applyProtection="0"/>
    <xf numFmtId="0" fontId="50" fillId="96" borderId="30" applyNumberFormat="0" applyAlignment="0" applyProtection="0"/>
    <xf numFmtId="0" fontId="50" fillId="95" borderId="30" applyNumberFormat="0" applyProtection="0"/>
    <xf numFmtId="0" fontId="50" fillId="95" borderId="30" applyNumberFormat="0" applyProtection="0"/>
    <xf numFmtId="0" fontId="50" fillId="95" borderId="30" applyNumberFormat="0" applyProtection="0"/>
    <xf numFmtId="0" fontId="50" fillId="95" borderId="30" applyNumberFormat="0" applyProtection="0"/>
    <xf numFmtId="0" fontId="50" fillId="95" borderId="30" applyNumberFormat="0" applyProtection="0"/>
    <xf numFmtId="0" fontId="50" fillId="95" borderId="30" applyNumberFormat="0" applyProtection="0"/>
    <xf numFmtId="0" fontId="50" fillId="95" borderId="30" applyNumberFormat="0" applyProtection="0"/>
    <xf numFmtId="0" fontId="50" fillId="95" borderId="30" applyNumberFormat="0" applyProtection="0"/>
    <xf numFmtId="0" fontId="52" fillId="98" borderId="33" applyNumberFormat="0" applyAlignment="0" applyProtection="0"/>
    <xf numFmtId="0" fontId="52" fillId="98" borderId="33" applyNumberFormat="0" applyAlignment="0" applyProtection="0"/>
    <xf numFmtId="0" fontId="52" fillId="98" borderId="33" applyNumberFormat="0" applyAlignment="0" applyProtection="0"/>
    <xf numFmtId="0" fontId="52" fillId="98" borderId="33" applyNumberFormat="0" applyAlignment="0" applyProtection="0"/>
    <xf numFmtId="0" fontId="52" fillId="98" borderId="33" applyNumberFormat="0" applyAlignment="0" applyProtection="0"/>
    <xf numFmtId="0" fontId="52" fillId="98" borderId="33" applyNumberFormat="0" applyAlignment="0" applyProtection="0"/>
    <xf numFmtId="0" fontId="52" fillId="98" borderId="33" applyNumberFormat="0" applyAlignment="0" applyProtection="0"/>
    <xf numFmtId="0" fontId="52" fillId="98" borderId="33" applyNumberFormat="0" applyAlignment="0" applyProtection="0"/>
    <xf numFmtId="0" fontId="52" fillId="98" borderId="33" applyNumberFormat="0" applyAlignment="0" applyProtection="0"/>
    <xf numFmtId="0" fontId="52" fillId="98" borderId="33" applyNumberFormat="0" applyAlignment="0" applyProtection="0"/>
    <xf numFmtId="0" fontId="52" fillId="98" borderId="33" applyNumberFormat="0" applyAlignment="0" applyProtection="0"/>
    <xf numFmtId="0" fontId="52" fillId="98" borderId="33" applyNumberFormat="0" applyAlignment="0" applyProtection="0"/>
    <xf numFmtId="0" fontId="52" fillId="98" borderId="33" applyNumberFormat="0" applyAlignment="0" applyProtection="0"/>
    <xf numFmtId="0" fontId="52" fillId="98" borderId="33" applyNumberFormat="0" applyAlignment="0" applyProtection="0"/>
    <xf numFmtId="0" fontId="52" fillId="98" borderId="33" applyNumberFormat="0" applyAlignment="0" applyProtection="0"/>
    <xf numFmtId="0" fontId="52" fillId="98" borderId="33" applyNumberFormat="0" applyAlignment="0" applyProtection="0"/>
    <xf numFmtId="0" fontId="52" fillId="98" borderId="33" applyNumberFormat="0" applyAlignment="0" applyProtection="0"/>
    <xf numFmtId="0" fontId="52" fillId="98" borderId="33" applyNumberFormat="0" applyAlignment="0" applyProtection="0"/>
    <xf numFmtId="0" fontId="52" fillId="98" borderId="33" applyNumberFormat="0" applyAlignment="0" applyProtection="0"/>
    <xf numFmtId="0" fontId="52" fillId="98" borderId="33" applyNumberFormat="0" applyAlignment="0" applyProtection="0"/>
    <xf numFmtId="0" fontId="52" fillId="97" borderId="33" applyNumberFormat="0" applyProtection="0"/>
    <xf numFmtId="0" fontId="52" fillId="97" borderId="33" applyNumberFormat="0" applyProtection="0"/>
    <xf numFmtId="0" fontId="52" fillId="97" borderId="33" applyNumberFormat="0" applyProtection="0"/>
    <xf numFmtId="0" fontId="52" fillId="97" borderId="33" applyNumberFormat="0" applyProtection="0"/>
    <xf numFmtId="0" fontId="52" fillId="97" borderId="33" applyNumberFormat="0" applyProtection="0"/>
    <xf numFmtId="0" fontId="52" fillId="97" borderId="33" applyNumberFormat="0" applyProtection="0"/>
    <xf numFmtId="0" fontId="52" fillId="97" borderId="33" applyNumberFormat="0" applyProtection="0"/>
    <xf numFmtId="0" fontId="52" fillId="97" borderId="33" applyNumberFormat="0" applyProtection="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4" fontId="67" fillId="99" borderId="24">
      <alignment horizontal="right" shrinkToFit="1"/>
    </xf>
    <xf numFmtId="4" fontId="67" fillId="99" borderId="24">
      <alignment horizontal="right" shrinkToFit="1"/>
    </xf>
    <xf numFmtId="4" fontId="67" fillId="99" borderId="24">
      <alignment horizontal="right" shrinkToFit="1"/>
    </xf>
    <xf numFmtId="4" fontId="67" fillId="99" borderId="24">
      <alignment horizontal="right" shrinkToFit="1"/>
    </xf>
    <xf numFmtId="4" fontId="67" fillId="99" borderId="24">
      <alignment horizontal="right" shrinkToFit="1"/>
    </xf>
    <xf numFmtId="4" fontId="67" fillId="99" borderId="24">
      <alignment horizontal="right" shrinkToFit="1"/>
    </xf>
    <xf numFmtId="4" fontId="67" fillId="99" borderId="24">
      <alignment horizontal="right" shrinkToFit="1"/>
    </xf>
    <xf numFmtId="4" fontId="67" fillId="99" borderId="24">
      <alignment horizontal="right" shrinkToFit="1"/>
    </xf>
    <xf numFmtId="4" fontId="67" fillId="99" borderId="24">
      <alignment horizontal="right" shrinkToFit="1"/>
    </xf>
    <xf numFmtId="4" fontId="67" fillId="99" borderId="24">
      <alignment horizontal="right" shrinkToFit="1"/>
    </xf>
    <xf numFmtId="4" fontId="67" fillId="99" borderId="24">
      <alignment horizontal="right" shrinkToFit="1"/>
    </xf>
    <xf numFmtId="4" fontId="67" fillId="99" borderId="24">
      <alignment horizontal="right" shrinkToFit="1"/>
    </xf>
    <xf numFmtId="4" fontId="67" fillId="99" borderId="24">
      <alignment horizontal="right" shrinkToFit="1"/>
    </xf>
    <xf numFmtId="4" fontId="67" fillId="99" borderId="24">
      <alignment horizontal="right" shrinkToFit="1"/>
    </xf>
    <xf numFmtId="4" fontId="67" fillId="99" borderId="24">
      <alignment horizontal="right" shrinkToFit="1"/>
    </xf>
    <xf numFmtId="4" fontId="67" fillId="99" borderId="24">
      <alignment horizontal="right" shrinkToFit="1"/>
    </xf>
    <xf numFmtId="169" fontId="67" fillId="99" borderId="25">
      <alignment horizontal="right" shrinkToFit="1"/>
    </xf>
    <xf numFmtId="169" fontId="67" fillId="99" borderId="25">
      <alignment horizontal="right" shrinkToFit="1"/>
    </xf>
    <xf numFmtId="169" fontId="67" fillId="99" borderId="25">
      <alignment horizontal="right" shrinkToFit="1"/>
    </xf>
    <xf numFmtId="169" fontId="67" fillId="99" borderId="25">
      <alignment horizontal="right" shrinkToFit="1"/>
    </xf>
    <xf numFmtId="169" fontId="67" fillId="99" borderId="25">
      <alignment horizontal="right" shrinkToFit="1"/>
    </xf>
    <xf numFmtId="169" fontId="67" fillId="99" borderId="25">
      <alignment horizontal="right" shrinkToFit="1"/>
    </xf>
    <xf numFmtId="169" fontId="67" fillId="99" borderId="25">
      <alignment horizontal="right" shrinkToFit="1"/>
    </xf>
    <xf numFmtId="169" fontId="67" fillId="99" borderId="25">
      <alignment horizontal="right" shrinkToFit="1"/>
    </xf>
    <xf numFmtId="4" fontId="67" fillId="99" borderId="25">
      <alignment horizontal="right" shrinkToFit="1"/>
    </xf>
    <xf numFmtId="4" fontId="67" fillId="99" borderId="25">
      <alignment horizontal="right" shrinkToFit="1"/>
    </xf>
    <xf numFmtId="4" fontId="67" fillId="99" borderId="25">
      <alignment horizontal="right" shrinkToFit="1"/>
    </xf>
    <xf numFmtId="4" fontId="67" fillId="99" borderId="25">
      <alignment horizontal="right" shrinkToFit="1"/>
    </xf>
    <xf numFmtId="4" fontId="67" fillId="99" borderId="25">
      <alignment horizontal="right" shrinkToFit="1"/>
    </xf>
    <xf numFmtId="4" fontId="67" fillId="99" borderId="25">
      <alignment horizontal="right" shrinkToFit="1"/>
    </xf>
    <xf numFmtId="4" fontId="67" fillId="99" borderId="25">
      <alignment horizontal="right" shrinkToFit="1"/>
    </xf>
    <xf numFmtId="4" fontId="67" fillId="99" borderId="25">
      <alignment horizontal="right" shrinkToFit="1"/>
    </xf>
    <xf numFmtId="4" fontId="67" fillId="99" borderId="25">
      <alignment horizontal="right" shrinkToFit="1"/>
    </xf>
    <xf numFmtId="4" fontId="67" fillId="99" borderId="25">
      <alignment horizontal="right" shrinkToFit="1"/>
    </xf>
    <xf numFmtId="4" fontId="67" fillId="99" borderId="25">
      <alignment horizontal="right" shrinkToFit="1"/>
    </xf>
    <xf numFmtId="4" fontId="67" fillId="99" borderId="25">
      <alignment horizontal="right" shrinkToFit="1"/>
    </xf>
    <xf numFmtId="4" fontId="67" fillId="99" borderId="25">
      <alignment horizontal="right" shrinkToFit="1"/>
    </xf>
    <xf numFmtId="4" fontId="67" fillId="99" borderId="25">
      <alignment horizontal="right" shrinkToFit="1"/>
    </xf>
    <xf numFmtId="4" fontId="67" fillId="99" borderId="25">
      <alignment horizontal="right" shrinkToFit="1"/>
    </xf>
    <xf numFmtId="4" fontId="67" fillId="99" borderId="25">
      <alignment horizontal="right" shrinkToFit="1"/>
    </xf>
    <xf numFmtId="4" fontId="67" fillId="99" borderId="24">
      <alignment horizontal="right" shrinkToFit="1"/>
    </xf>
    <xf numFmtId="4" fontId="67" fillId="99" borderId="24">
      <alignment horizontal="right" shrinkToFit="1"/>
    </xf>
    <xf numFmtId="4" fontId="67" fillId="99" borderId="24">
      <alignment horizontal="right" shrinkToFit="1"/>
    </xf>
    <xf numFmtId="4" fontId="67" fillId="99" borderId="24">
      <alignment horizontal="right" shrinkToFit="1"/>
    </xf>
    <xf numFmtId="4" fontId="67" fillId="99" borderId="24">
      <alignment horizontal="right" shrinkToFit="1"/>
    </xf>
    <xf numFmtId="4" fontId="67" fillId="99" borderId="24">
      <alignment horizontal="right" shrinkToFit="1"/>
    </xf>
    <xf numFmtId="4" fontId="67" fillId="99" borderId="24">
      <alignment horizontal="right" shrinkToFit="1"/>
    </xf>
    <xf numFmtId="4" fontId="67" fillId="99" borderId="24">
      <alignment horizontal="right" shrinkToFit="1"/>
    </xf>
    <xf numFmtId="4" fontId="67" fillId="99" borderId="25">
      <alignment horizontal="right" shrinkToFit="1"/>
    </xf>
    <xf numFmtId="4" fontId="67" fillId="99" borderId="25">
      <alignment horizontal="right" shrinkToFit="1"/>
    </xf>
    <xf numFmtId="4" fontId="67" fillId="99" borderId="25">
      <alignment horizontal="right" shrinkToFit="1"/>
    </xf>
    <xf numFmtId="4" fontId="67" fillId="99" borderId="25">
      <alignment horizontal="right" shrinkToFit="1"/>
    </xf>
    <xf numFmtId="4" fontId="67" fillId="99" borderId="25">
      <alignment horizontal="right" shrinkToFit="1"/>
    </xf>
    <xf numFmtId="4" fontId="67" fillId="99" borderId="25">
      <alignment horizontal="right" shrinkToFit="1"/>
    </xf>
    <xf numFmtId="4" fontId="67" fillId="99" borderId="25">
      <alignment horizontal="right" shrinkToFit="1"/>
    </xf>
    <xf numFmtId="4" fontId="67" fillId="99" borderId="25">
      <alignment horizontal="right" shrinkToFit="1"/>
    </xf>
    <xf numFmtId="4" fontId="67" fillId="99" borderId="25">
      <alignment horizontal="right" shrinkToFit="1"/>
    </xf>
    <xf numFmtId="4" fontId="67" fillId="99" borderId="25">
      <alignment horizontal="right" shrinkToFit="1"/>
    </xf>
    <xf numFmtId="4" fontId="67" fillId="99" borderId="25">
      <alignment horizontal="right" shrinkToFit="1"/>
    </xf>
    <xf numFmtId="4" fontId="67" fillId="99" borderId="25">
      <alignment horizontal="right" shrinkToFit="1"/>
    </xf>
    <xf numFmtId="4" fontId="67" fillId="99" borderId="25">
      <alignment horizontal="right" shrinkToFit="1"/>
    </xf>
    <xf numFmtId="4" fontId="67" fillId="99" borderId="25">
      <alignment horizontal="right" shrinkToFit="1"/>
    </xf>
    <xf numFmtId="4" fontId="67" fillId="99" borderId="25">
      <alignment horizontal="right" shrinkToFit="1"/>
    </xf>
    <xf numFmtId="4" fontId="67" fillId="99" borderId="25">
      <alignment horizontal="right" shrinkToFit="1"/>
    </xf>
    <xf numFmtId="4" fontId="67" fillId="99" borderId="25">
      <alignment horizontal="right" shrinkToFit="1"/>
    </xf>
    <xf numFmtId="4" fontId="67" fillId="99" borderId="25">
      <alignment horizontal="right" shrinkToFit="1"/>
    </xf>
    <xf numFmtId="4" fontId="67" fillId="99" borderId="25">
      <alignment horizontal="right" shrinkToFit="1"/>
    </xf>
    <xf numFmtId="4" fontId="67" fillId="99" borderId="25">
      <alignment horizontal="right" shrinkToFit="1"/>
    </xf>
    <xf numFmtId="4" fontId="67" fillId="99" borderId="25">
      <alignment horizontal="right" shrinkToFit="1"/>
    </xf>
    <xf numFmtId="4" fontId="67" fillId="99" borderId="25">
      <alignment horizontal="right" shrinkToFit="1"/>
    </xf>
    <xf numFmtId="4" fontId="67" fillId="99" borderId="25">
      <alignment horizontal="right" shrinkToFit="1"/>
    </xf>
    <xf numFmtId="4" fontId="67" fillId="99" borderId="25">
      <alignment horizontal="right" shrinkToFit="1"/>
    </xf>
    <xf numFmtId="4" fontId="67" fillId="99" borderId="25">
      <alignment horizontal="right" shrinkToFit="1"/>
    </xf>
    <xf numFmtId="4" fontId="67" fillId="99" borderId="25">
      <alignment horizontal="right" shrinkToFit="1"/>
    </xf>
    <xf numFmtId="4" fontId="67" fillId="99" borderId="25">
      <alignment horizontal="right" shrinkToFit="1"/>
    </xf>
    <xf numFmtId="4" fontId="67" fillId="99" borderId="25">
      <alignment horizontal="right" shrinkToFit="1"/>
    </xf>
    <xf numFmtId="4" fontId="67" fillId="99" borderId="25">
      <alignment horizontal="right" shrinkToFit="1"/>
    </xf>
    <xf numFmtId="4" fontId="67" fillId="99" borderId="25">
      <alignment horizontal="right" shrinkToFit="1"/>
    </xf>
    <xf numFmtId="4" fontId="67" fillId="99" borderId="25">
      <alignment horizontal="right" shrinkToFit="1"/>
    </xf>
    <xf numFmtId="4" fontId="67" fillId="99" borderId="25">
      <alignment horizontal="right" shrinkToFit="1"/>
    </xf>
    <xf numFmtId="4" fontId="67" fillId="99" borderId="25">
      <alignment horizontal="right" shrinkToFit="1"/>
    </xf>
    <xf numFmtId="4" fontId="67" fillId="99" borderId="25">
      <alignment horizontal="right" shrinkToFit="1"/>
    </xf>
    <xf numFmtId="4" fontId="67" fillId="99" borderId="25">
      <alignment horizontal="right" shrinkToFit="1"/>
    </xf>
    <xf numFmtId="4" fontId="67" fillId="99" borderId="25">
      <alignment horizontal="right" shrinkToFit="1"/>
    </xf>
    <xf numFmtId="4" fontId="67" fillId="99" borderId="25">
      <alignment horizontal="right" shrinkToFit="1"/>
    </xf>
    <xf numFmtId="4" fontId="67" fillId="99" borderId="25">
      <alignment horizontal="right" shrinkToFit="1"/>
    </xf>
    <xf numFmtId="4" fontId="67" fillId="99" borderId="25">
      <alignment horizontal="right" shrinkToFit="1"/>
    </xf>
    <xf numFmtId="4" fontId="67" fillId="99" borderId="25">
      <alignment horizontal="right" shrinkToFit="1"/>
    </xf>
    <xf numFmtId="4" fontId="67" fillId="99" borderId="25">
      <alignment horizontal="right" shrinkToFit="1"/>
    </xf>
    <xf numFmtId="4" fontId="67" fillId="99" borderId="25">
      <alignment horizontal="right" shrinkToFit="1"/>
    </xf>
    <xf numFmtId="4" fontId="67" fillId="99" borderId="25">
      <alignment horizontal="right" shrinkToFit="1"/>
    </xf>
    <xf numFmtId="4" fontId="67" fillId="99" borderId="25">
      <alignment horizontal="right" shrinkToFit="1"/>
    </xf>
    <xf numFmtId="4" fontId="67" fillId="99" borderId="25">
      <alignment horizontal="right" shrinkToFit="1"/>
    </xf>
    <xf numFmtId="4" fontId="67" fillId="99" borderId="25">
      <alignment horizontal="right" shrinkToFit="1"/>
    </xf>
    <xf numFmtId="4" fontId="67" fillId="99" borderId="25">
      <alignment horizontal="right" shrinkToFit="1"/>
    </xf>
    <xf numFmtId="4" fontId="67" fillId="99" borderId="25">
      <alignment horizontal="right" shrinkToFit="1"/>
    </xf>
    <xf numFmtId="4" fontId="67" fillId="99" borderId="25">
      <alignment horizontal="right" shrinkToFit="1"/>
    </xf>
    <xf numFmtId="4" fontId="67" fillId="99" borderId="25">
      <alignment horizontal="right" shrinkToFit="1"/>
    </xf>
    <xf numFmtId="4" fontId="67" fillId="99" borderId="25">
      <alignment horizontal="right" shrinkToFit="1"/>
    </xf>
    <xf numFmtId="4" fontId="67" fillId="99" borderId="25">
      <alignment horizontal="right" shrinkToFit="1"/>
    </xf>
    <xf numFmtId="4" fontId="67" fillId="99" borderId="25">
      <alignment horizontal="right" shrinkToFit="1"/>
    </xf>
    <xf numFmtId="4" fontId="67" fillId="99" borderId="25">
      <alignment horizontal="right" shrinkToFit="1"/>
    </xf>
    <xf numFmtId="4" fontId="67" fillId="99" borderId="25">
      <alignment horizontal="right" shrinkToFit="1"/>
    </xf>
    <xf numFmtId="4" fontId="67" fillId="99" borderId="25">
      <alignment horizontal="right" shrinkToFit="1"/>
    </xf>
    <xf numFmtId="4" fontId="67" fillId="99" borderId="25">
      <alignment horizontal="right" shrinkToFit="1"/>
    </xf>
    <xf numFmtId="4" fontId="67" fillId="99" borderId="25">
      <alignment horizontal="right" shrinkToFit="1"/>
    </xf>
    <xf numFmtId="4" fontId="67" fillId="99" borderId="25">
      <alignment horizontal="right" shrinkToFit="1"/>
    </xf>
    <xf numFmtId="4" fontId="67" fillId="99" borderId="25">
      <alignment horizontal="right" shrinkToFit="1"/>
    </xf>
    <xf numFmtId="4" fontId="67" fillId="99" borderId="25">
      <alignment horizontal="right" shrinkToFit="1"/>
    </xf>
    <xf numFmtId="4" fontId="67" fillId="99" borderId="25">
      <alignment horizontal="right" shrinkToFit="1"/>
    </xf>
    <xf numFmtId="4" fontId="67" fillId="99" borderId="25">
      <alignment horizontal="right" shrinkToFit="1"/>
    </xf>
    <xf numFmtId="4" fontId="67" fillId="99" borderId="25">
      <alignment horizontal="right" shrinkToFit="1"/>
    </xf>
    <xf numFmtId="4" fontId="67" fillId="99" borderId="24">
      <alignment horizontal="right" shrinkToFit="1"/>
    </xf>
    <xf numFmtId="4" fontId="67" fillId="99" borderId="24">
      <alignment horizontal="right" shrinkToFit="1"/>
    </xf>
    <xf numFmtId="4" fontId="67" fillId="99" borderId="24">
      <alignment horizontal="right" shrinkToFit="1"/>
    </xf>
    <xf numFmtId="4" fontId="67" fillId="99" borderId="24">
      <alignment horizontal="right" shrinkToFit="1"/>
    </xf>
    <xf numFmtId="4" fontId="67" fillId="99" borderId="24">
      <alignment horizontal="right" shrinkToFit="1"/>
    </xf>
    <xf numFmtId="4" fontId="67" fillId="99" borderId="24">
      <alignment horizontal="right" shrinkToFit="1"/>
    </xf>
    <xf numFmtId="4" fontId="67" fillId="99" borderId="24">
      <alignment horizontal="right" shrinkToFit="1"/>
    </xf>
    <xf numFmtId="4" fontId="67" fillId="99" borderId="24">
      <alignment horizontal="right" shrinkToFit="1"/>
    </xf>
    <xf numFmtId="4" fontId="67" fillId="99" borderId="24">
      <alignment horizontal="right" shrinkToFit="1"/>
    </xf>
    <xf numFmtId="4" fontId="67" fillId="99" borderId="24">
      <alignment horizontal="right" shrinkToFit="1"/>
    </xf>
    <xf numFmtId="4" fontId="67" fillId="99" borderId="24">
      <alignment horizontal="right" shrinkToFit="1"/>
    </xf>
    <xf numFmtId="4" fontId="67" fillId="99" borderId="24">
      <alignment horizontal="right" shrinkToFit="1"/>
    </xf>
    <xf numFmtId="4" fontId="67" fillId="99" borderId="24">
      <alignment horizontal="right" shrinkToFit="1"/>
    </xf>
    <xf numFmtId="4" fontId="67" fillId="99" borderId="24">
      <alignment horizontal="right" shrinkToFit="1"/>
    </xf>
    <xf numFmtId="4" fontId="67" fillId="99" borderId="24">
      <alignment horizontal="right" shrinkToFit="1"/>
    </xf>
    <xf numFmtId="4" fontId="67" fillId="99" borderId="24">
      <alignment horizontal="right" shrinkToFit="1"/>
    </xf>
    <xf numFmtId="4" fontId="67" fillId="99" borderId="24">
      <alignment horizontal="right" shrinkToFit="1"/>
    </xf>
    <xf numFmtId="4" fontId="67" fillId="99" borderId="24">
      <alignment horizontal="right" shrinkToFit="1"/>
    </xf>
    <xf numFmtId="4" fontId="67" fillId="99" borderId="24">
      <alignment horizontal="right" shrinkToFit="1"/>
    </xf>
    <xf numFmtId="4" fontId="67" fillId="99" borderId="24">
      <alignment horizontal="right" shrinkToFit="1"/>
    </xf>
    <xf numFmtId="4" fontId="67" fillId="99" borderId="24">
      <alignment horizontal="right" shrinkToFit="1"/>
    </xf>
    <xf numFmtId="4" fontId="67" fillId="99" borderId="24">
      <alignment horizontal="right" shrinkToFit="1"/>
    </xf>
    <xf numFmtId="4" fontId="67" fillId="99" borderId="24">
      <alignment horizontal="right" shrinkToFit="1"/>
    </xf>
    <xf numFmtId="4" fontId="67" fillId="99" borderId="24">
      <alignment horizontal="right" shrinkToFit="1"/>
    </xf>
    <xf numFmtId="4" fontId="67" fillId="99" borderId="24">
      <alignment horizontal="right" shrinkToFit="1"/>
    </xf>
    <xf numFmtId="4" fontId="67" fillId="99" borderId="24">
      <alignment horizontal="right" shrinkToFit="1"/>
    </xf>
    <xf numFmtId="4" fontId="67" fillId="99" borderId="24">
      <alignment horizontal="right" shrinkToFit="1"/>
    </xf>
    <xf numFmtId="4" fontId="67" fillId="99" borderId="24">
      <alignment horizontal="right" shrinkToFit="1"/>
    </xf>
    <xf numFmtId="4" fontId="67" fillId="99" borderId="24">
      <alignment horizontal="right" shrinkToFit="1"/>
    </xf>
    <xf numFmtId="4" fontId="67" fillId="99" borderId="24">
      <alignment horizontal="right" shrinkToFit="1"/>
    </xf>
    <xf numFmtId="4" fontId="67" fillId="99" borderId="24">
      <alignment horizontal="right" shrinkToFit="1"/>
    </xf>
    <xf numFmtId="4" fontId="67" fillId="99" borderId="24">
      <alignment horizontal="right" shrinkToFit="1"/>
    </xf>
    <xf numFmtId="4" fontId="67" fillId="99" borderId="24">
      <alignment horizontal="right" shrinkToFit="1"/>
    </xf>
    <xf numFmtId="4" fontId="67" fillId="99" borderId="24">
      <alignment horizontal="right" shrinkToFit="1"/>
    </xf>
    <xf numFmtId="4" fontId="67" fillId="99" borderId="24">
      <alignment horizontal="right" shrinkToFit="1"/>
    </xf>
    <xf numFmtId="4" fontId="67" fillId="99" borderId="24">
      <alignment horizontal="right" shrinkToFit="1"/>
    </xf>
    <xf numFmtId="4" fontId="67" fillId="99" borderId="24">
      <alignment horizontal="right" shrinkToFit="1"/>
    </xf>
    <xf numFmtId="4" fontId="67" fillId="99" borderId="24">
      <alignment horizontal="right" shrinkToFit="1"/>
    </xf>
    <xf numFmtId="4" fontId="67" fillId="99" borderId="24">
      <alignment horizontal="right" shrinkToFit="1"/>
    </xf>
    <xf numFmtId="4" fontId="67" fillId="99" borderId="24">
      <alignment horizontal="right" shrinkToFit="1"/>
    </xf>
    <xf numFmtId="4" fontId="67" fillId="99" borderId="24">
      <alignment horizontal="right" shrinkToFit="1"/>
    </xf>
    <xf numFmtId="4" fontId="67" fillId="99" borderId="24">
      <alignment horizontal="right" shrinkToFit="1"/>
    </xf>
    <xf numFmtId="4" fontId="67" fillId="99" borderId="24">
      <alignment horizontal="right" shrinkToFit="1"/>
    </xf>
    <xf numFmtId="4" fontId="67" fillId="99" borderId="24">
      <alignment horizontal="right" shrinkToFit="1"/>
    </xf>
    <xf numFmtId="4" fontId="67" fillId="99" borderId="24">
      <alignment horizontal="right" shrinkToFit="1"/>
    </xf>
    <xf numFmtId="4" fontId="67" fillId="99" borderId="24">
      <alignment horizontal="right" shrinkToFit="1"/>
    </xf>
    <xf numFmtId="4" fontId="67" fillId="99" borderId="24">
      <alignment horizontal="right" shrinkToFit="1"/>
    </xf>
    <xf numFmtId="4" fontId="67" fillId="99" borderId="24">
      <alignment horizontal="right" shrinkToFit="1"/>
    </xf>
    <xf numFmtId="4" fontId="67" fillId="99" borderId="24">
      <alignment horizontal="right" shrinkToFit="1"/>
    </xf>
    <xf numFmtId="4" fontId="67" fillId="99" borderId="24">
      <alignment horizontal="right" shrinkToFit="1"/>
    </xf>
    <xf numFmtId="4" fontId="67" fillId="99" borderId="24">
      <alignment horizontal="right" shrinkToFit="1"/>
    </xf>
    <xf numFmtId="4" fontId="67" fillId="99" borderId="24">
      <alignment horizontal="right" shrinkToFit="1"/>
    </xf>
    <xf numFmtId="4" fontId="67" fillId="99" borderId="24">
      <alignment horizontal="right" shrinkToFit="1"/>
    </xf>
    <xf numFmtId="4" fontId="67" fillId="99" borderId="24">
      <alignment horizontal="right" shrinkToFit="1"/>
    </xf>
    <xf numFmtId="4" fontId="67" fillId="99" borderId="24">
      <alignment horizontal="right" shrinkToFit="1"/>
    </xf>
    <xf numFmtId="4" fontId="67" fillId="99" borderId="24">
      <alignment horizontal="right" shrinkToFit="1"/>
    </xf>
    <xf numFmtId="0" fontId="67" fillId="100" borderId="15">
      <alignment horizontal="left" vertical="top" wrapText="1"/>
    </xf>
    <xf numFmtId="0" fontId="67" fillId="100" borderId="15">
      <alignment horizontal="left" vertical="top" wrapText="1"/>
    </xf>
    <xf numFmtId="0" fontId="67" fillId="100" borderId="15">
      <alignment horizontal="left" vertical="top" wrapText="1"/>
    </xf>
    <xf numFmtId="0" fontId="67" fillId="100" borderId="15">
      <alignment horizontal="left" vertical="top" wrapText="1"/>
    </xf>
    <xf numFmtId="0" fontId="67" fillId="100" borderId="15">
      <alignment horizontal="left" vertical="top" wrapText="1"/>
    </xf>
    <xf numFmtId="0" fontId="67" fillId="100" borderId="15">
      <alignment horizontal="left" vertical="top" wrapText="1"/>
    </xf>
    <xf numFmtId="0" fontId="67" fillId="100" borderId="15">
      <alignment horizontal="left" vertical="top" wrapText="1"/>
    </xf>
    <xf numFmtId="0" fontId="67" fillId="100" borderId="15">
      <alignment horizontal="left" vertical="top" wrapText="1"/>
    </xf>
    <xf numFmtId="49" fontId="68" fillId="101" borderId="21">
      <alignment horizontal="center" vertical="top" shrinkToFit="1"/>
    </xf>
    <xf numFmtId="49" fontId="68" fillId="101" borderId="21">
      <alignment horizontal="center" vertical="top" shrinkToFit="1"/>
    </xf>
    <xf numFmtId="49" fontId="68" fillId="101" borderId="21">
      <alignment horizontal="center" vertical="top" shrinkToFit="1"/>
    </xf>
    <xf numFmtId="49" fontId="68" fillId="101" borderId="21">
      <alignment horizontal="center" vertical="top" shrinkToFit="1"/>
    </xf>
    <xf numFmtId="49" fontId="68" fillId="101" borderId="21">
      <alignment horizontal="center" vertical="top" shrinkToFit="1"/>
    </xf>
    <xf numFmtId="49" fontId="68" fillId="101" borderId="21">
      <alignment horizontal="center" vertical="top" shrinkToFit="1"/>
    </xf>
    <xf numFmtId="49" fontId="68" fillId="101" borderId="21">
      <alignment horizontal="center" vertical="top" shrinkToFit="1"/>
    </xf>
    <xf numFmtId="49" fontId="68" fillId="101" borderId="21">
      <alignment horizontal="center" vertical="top" shrinkToFit="1"/>
    </xf>
    <xf numFmtId="49" fontId="67" fillId="100" borderId="15">
      <alignment horizontal="center" vertical="top" shrinkToFit="1"/>
    </xf>
    <xf numFmtId="49" fontId="67" fillId="100" borderId="15">
      <alignment horizontal="center" vertical="top" shrinkToFit="1"/>
    </xf>
    <xf numFmtId="49" fontId="67" fillId="100" borderId="15">
      <alignment horizontal="center" vertical="top" shrinkToFit="1"/>
    </xf>
    <xf numFmtId="49" fontId="67" fillId="100" borderId="15">
      <alignment horizontal="center" vertical="top" shrinkToFit="1"/>
    </xf>
    <xf numFmtId="49" fontId="67" fillId="100" borderId="15">
      <alignment horizontal="center" vertical="top" shrinkToFit="1"/>
    </xf>
    <xf numFmtId="49" fontId="67" fillId="100" borderId="15">
      <alignment horizontal="center" vertical="top" shrinkToFit="1"/>
    </xf>
    <xf numFmtId="49" fontId="67" fillId="100" borderId="15">
      <alignment horizontal="center" vertical="top" shrinkToFit="1"/>
    </xf>
    <xf numFmtId="49" fontId="67" fillId="100" borderId="15">
      <alignment horizontal="center" vertical="top" shrinkToFit="1"/>
    </xf>
    <xf numFmtId="0" fontId="67" fillId="100" borderId="15">
      <alignment horizontal="left" vertical="top" wrapText="1"/>
    </xf>
    <xf numFmtId="0" fontId="67" fillId="100" borderId="15">
      <alignment horizontal="left" vertical="top" wrapText="1"/>
    </xf>
    <xf numFmtId="0" fontId="67" fillId="100" borderId="15">
      <alignment horizontal="left" vertical="top" wrapText="1"/>
    </xf>
    <xf numFmtId="0" fontId="67" fillId="100" borderId="15">
      <alignment horizontal="left" vertical="top" wrapText="1"/>
    </xf>
    <xf numFmtId="0" fontId="67" fillId="100" borderId="15">
      <alignment horizontal="left" vertical="top" wrapText="1"/>
    </xf>
    <xf numFmtId="0" fontId="67" fillId="100" borderId="15">
      <alignment horizontal="left" vertical="top" wrapText="1"/>
    </xf>
    <xf numFmtId="0" fontId="67" fillId="100" borderId="15">
      <alignment horizontal="left" vertical="top" wrapText="1"/>
    </xf>
    <xf numFmtId="0" fontId="67" fillId="100" borderId="15">
      <alignment horizontal="left" vertical="top" wrapText="1"/>
    </xf>
    <xf numFmtId="49" fontId="67" fillId="100" borderId="15">
      <alignment horizontal="center" vertical="top" shrinkToFit="1"/>
    </xf>
    <xf numFmtId="49" fontId="67" fillId="100" borderId="15">
      <alignment horizontal="center" vertical="top" shrinkToFit="1"/>
    </xf>
    <xf numFmtId="49" fontId="67" fillId="100" borderId="15">
      <alignment horizontal="center" vertical="top" shrinkToFit="1"/>
    </xf>
    <xf numFmtId="49" fontId="67" fillId="100" borderId="15">
      <alignment horizontal="center" vertical="top" shrinkToFit="1"/>
    </xf>
    <xf numFmtId="49" fontId="67" fillId="100" borderId="15">
      <alignment horizontal="center" vertical="top" shrinkToFit="1"/>
    </xf>
    <xf numFmtId="49" fontId="67" fillId="100" borderId="15">
      <alignment horizontal="center" vertical="top" shrinkToFit="1"/>
    </xf>
    <xf numFmtId="49" fontId="67" fillId="100" borderId="15">
      <alignment horizontal="center" vertical="top" shrinkToFit="1"/>
    </xf>
    <xf numFmtId="49" fontId="67" fillId="100" borderId="15">
      <alignment horizontal="center" vertical="top" shrinkToFit="1"/>
    </xf>
    <xf numFmtId="49" fontId="67" fillId="100" borderId="15">
      <alignment horizontal="center" vertical="top" shrinkToFit="1"/>
    </xf>
    <xf numFmtId="49" fontId="67" fillId="100" borderId="15">
      <alignment horizontal="center" vertical="top" shrinkToFit="1"/>
    </xf>
    <xf numFmtId="49" fontId="67" fillId="100" borderId="15">
      <alignment horizontal="center" vertical="top" shrinkToFit="1"/>
    </xf>
    <xf numFmtId="49" fontId="67" fillId="100" borderId="15">
      <alignment horizontal="center" vertical="top" shrinkToFit="1"/>
    </xf>
    <xf numFmtId="49" fontId="67" fillId="100" borderId="15">
      <alignment horizontal="center" vertical="top" shrinkToFit="1"/>
    </xf>
    <xf numFmtId="49" fontId="67" fillId="100" borderId="15">
      <alignment horizontal="center" vertical="top" shrinkToFit="1"/>
    </xf>
    <xf numFmtId="49" fontId="67" fillId="100" borderId="15">
      <alignment horizontal="center" vertical="top" shrinkToFit="1"/>
    </xf>
    <xf numFmtId="49" fontId="67" fillId="100" borderId="15">
      <alignment horizontal="center" vertical="top" shrinkToFit="1"/>
    </xf>
    <xf numFmtId="49" fontId="67" fillId="100" borderId="15">
      <alignment horizontal="center" vertical="top" shrinkToFit="1"/>
    </xf>
    <xf numFmtId="49" fontId="67" fillId="100" borderId="15">
      <alignment horizontal="center" vertical="top" shrinkToFit="1"/>
    </xf>
    <xf numFmtId="49" fontId="67" fillId="100" borderId="15">
      <alignment horizontal="center" vertical="top" shrinkToFit="1"/>
    </xf>
    <xf numFmtId="49" fontId="67" fillId="100" borderId="15">
      <alignment horizontal="center" vertical="top" shrinkToFit="1"/>
    </xf>
    <xf numFmtId="49" fontId="67" fillId="100" borderId="15">
      <alignment horizontal="center" vertical="top" shrinkToFit="1"/>
    </xf>
    <xf numFmtId="49" fontId="67" fillId="100" borderId="15">
      <alignment horizontal="center" vertical="top" shrinkToFit="1"/>
    </xf>
    <xf numFmtId="49" fontId="67" fillId="100" borderId="15">
      <alignment horizontal="center" vertical="top" shrinkToFit="1"/>
    </xf>
    <xf numFmtId="49" fontId="67" fillId="100" borderId="15">
      <alignment horizontal="center" vertical="top" shrinkToFit="1"/>
    </xf>
    <xf numFmtId="49" fontId="67" fillId="100" borderId="15">
      <alignment horizontal="center" vertical="top" shrinkToFit="1"/>
    </xf>
    <xf numFmtId="49" fontId="67" fillId="100" borderId="15">
      <alignment horizontal="center" vertical="top" shrinkToFit="1"/>
    </xf>
    <xf numFmtId="49" fontId="67" fillId="100" borderId="15">
      <alignment horizontal="center" vertical="top" shrinkToFit="1"/>
    </xf>
    <xf numFmtId="49" fontId="67" fillId="100" borderId="15">
      <alignment horizontal="center" vertical="top" shrinkToFit="1"/>
    </xf>
    <xf numFmtId="49" fontId="67" fillId="100" borderId="15">
      <alignment horizontal="center" vertical="top" shrinkToFit="1"/>
    </xf>
    <xf numFmtId="49" fontId="67" fillId="100" borderId="15">
      <alignment horizontal="center" vertical="top" shrinkToFit="1"/>
    </xf>
    <xf numFmtId="49" fontId="67" fillId="100" borderId="15">
      <alignment horizontal="center" vertical="top" shrinkToFit="1"/>
    </xf>
    <xf numFmtId="49" fontId="67" fillId="100" borderId="15">
      <alignment horizontal="center" vertical="top" shrinkToFit="1"/>
    </xf>
    <xf numFmtId="49" fontId="67" fillId="100" borderId="15">
      <alignment horizontal="center" vertical="top" shrinkToFit="1"/>
    </xf>
    <xf numFmtId="49" fontId="67" fillId="100" borderId="15">
      <alignment horizontal="center" vertical="top" shrinkToFit="1"/>
    </xf>
    <xf numFmtId="49" fontId="67" fillId="100" borderId="15">
      <alignment horizontal="center" vertical="top" shrinkToFit="1"/>
    </xf>
    <xf numFmtId="49" fontId="67" fillId="100" borderId="15">
      <alignment horizontal="center" vertical="top" shrinkToFit="1"/>
    </xf>
    <xf numFmtId="49" fontId="67" fillId="100" borderId="15">
      <alignment horizontal="center" vertical="top" shrinkToFit="1"/>
    </xf>
    <xf numFmtId="49" fontId="67" fillId="100" borderId="15">
      <alignment horizontal="center" vertical="top" shrinkToFit="1"/>
    </xf>
    <xf numFmtId="49" fontId="67" fillId="100" borderId="15">
      <alignment horizontal="center" vertical="top" shrinkToFit="1"/>
    </xf>
    <xf numFmtId="49" fontId="67" fillId="100" borderId="15">
      <alignment horizontal="center" vertical="top" shrinkToFit="1"/>
    </xf>
    <xf numFmtId="49" fontId="67" fillId="100" borderId="15">
      <alignment horizontal="center" vertical="top" shrinkToFit="1"/>
    </xf>
    <xf numFmtId="49" fontId="67" fillId="100" borderId="15">
      <alignment horizontal="center" vertical="top" shrinkToFit="1"/>
    </xf>
    <xf numFmtId="49" fontId="67" fillId="100" borderId="15">
      <alignment horizontal="center" vertical="top" shrinkToFit="1"/>
    </xf>
    <xf numFmtId="49" fontId="67" fillId="100" borderId="15">
      <alignment horizontal="center" vertical="top" shrinkToFit="1"/>
    </xf>
    <xf numFmtId="49" fontId="67" fillId="100" borderId="15">
      <alignment horizontal="center" vertical="top" shrinkToFit="1"/>
    </xf>
    <xf numFmtId="49" fontId="67" fillId="100" borderId="15">
      <alignment horizontal="center" vertical="top" shrinkToFit="1"/>
    </xf>
    <xf numFmtId="49" fontId="67" fillId="100" borderId="15">
      <alignment horizontal="center" vertical="top" shrinkToFit="1"/>
    </xf>
    <xf numFmtId="49" fontId="67" fillId="100" borderId="15">
      <alignment horizontal="center" vertical="top" shrinkToFit="1"/>
    </xf>
    <xf numFmtId="49" fontId="67" fillId="100" borderId="15">
      <alignment horizontal="center" vertical="top" shrinkToFit="1"/>
    </xf>
    <xf numFmtId="49" fontId="67" fillId="100" borderId="15">
      <alignment horizontal="center" vertical="top" shrinkToFit="1"/>
    </xf>
    <xf numFmtId="49" fontId="67" fillId="100" borderId="15">
      <alignment horizontal="center" vertical="top" shrinkToFit="1"/>
    </xf>
    <xf numFmtId="49" fontId="67" fillId="100" borderId="15">
      <alignment horizontal="center" vertical="top" shrinkToFit="1"/>
    </xf>
    <xf numFmtId="49" fontId="67" fillId="100" borderId="15">
      <alignment horizontal="center" vertical="top" shrinkToFit="1"/>
    </xf>
    <xf numFmtId="49" fontId="67" fillId="100" borderId="15">
      <alignment horizontal="center" vertical="top" shrinkToFit="1"/>
    </xf>
    <xf numFmtId="49" fontId="67" fillId="100" borderId="15">
      <alignment horizontal="center" vertical="top" shrinkToFit="1"/>
    </xf>
    <xf numFmtId="49" fontId="67" fillId="100" borderId="15">
      <alignment horizontal="center" vertical="top" shrinkToFit="1"/>
    </xf>
    <xf numFmtId="49" fontId="67" fillId="100" borderId="15">
      <alignment horizontal="center" vertical="top" shrinkToFit="1"/>
    </xf>
    <xf numFmtId="49" fontId="67" fillId="100" borderId="15">
      <alignment horizontal="center" vertical="top" shrinkToFit="1"/>
    </xf>
    <xf numFmtId="49" fontId="67" fillId="100" borderId="15">
      <alignment horizontal="center" vertical="top" shrinkToFit="1"/>
    </xf>
    <xf numFmtId="49" fontId="67" fillId="100" borderId="15">
      <alignment horizontal="center" vertical="top" shrinkToFit="1"/>
    </xf>
    <xf numFmtId="49" fontId="67" fillId="100" borderId="15">
      <alignment horizontal="center" vertical="top" shrinkToFit="1"/>
    </xf>
    <xf numFmtId="49" fontId="67" fillId="100" borderId="15">
      <alignment horizontal="center" vertical="top" shrinkToFit="1"/>
    </xf>
    <xf numFmtId="49" fontId="67" fillId="100" borderId="15">
      <alignment horizontal="center" vertical="top" shrinkToFit="1"/>
    </xf>
    <xf numFmtId="49" fontId="67" fillId="100" borderId="15">
      <alignment horizontal="center" vertical="top" shrinkToFit="1"/>
    </xf>
    <xf numFmtId="0" fontId="67" fillId="100" borderId="15">
      <alignment horizontal="left" vertical="top" wrapText="1"/>
    </xf>
    <xf numFmtId="0" fontId="67" fillId="100" borderId="15">
      <alignment horizontal="left" vertical="top" wrapText="1"/>
    </xf>
    <xf numFmtId="0" fontId="67" fillId="100" borderId="15">
      <alignment horizontal="left" vertical="top" wrapText="1"/>
    </xf>
    <xf numFmtId="0" fontId="67" fillId="100" borderId="15">
      <alignment horizontal="left" vertical="top" wrapText="1"/>
    </xf>
    <xf numFmtId="0" fontId="67" fillId="100" borderId="15">
      <alignment horizontal="left" vertical="top" wrapText="1"/>
    </xf>
    <xf numFmtId="0" fontId="67" fillId="100" borderId="15">
      <alignment horizontal="left" vertical="top" wrapText="1"/>
    </xf>
    <xf numFmtId="0" fontId="67" fillId="100" borderId="15">
      <alignment horizontal="left" vertical="top" wrapText="1"/>
    </xf>
    <xf numFmtId="0" fontId="67" fillId="100" borderId="15">
      <alignment horizontal="left" vertical="top" wrapText="1"/>
    </xf>
    <xf numFmtId="0" fontId="67" fillId="100" borderId="15">
      <alignment horizontal="left" vertical="top" wrapText="1"/>
    </xf>
    <xf numFmtId="0" fontId="67" fillId="100" borderId="15">
      <alignment horizontal="left" vertical="top" wrapText="1"/>
    </xf>
    <xf numFmtId="0" fontId="67" fillId="100" borderId="15">
      <alignment horizontal="left" vertical="top" wrapText="1"/>
    </xf>
    <xf numFmtId="0" fontId="67" fillId="100" borderId="15">
      <alignment horizontal="left" vertical="top" wrapText="1"/>
    </xf>
    <xf numFmtId="0" fontId="67" fillId="100" borderId="15">
      <alignment horizontal="left" vertical="top" wrapText="1"/>
    </xf>
    <xf numFmtId="0" fontId="67" fillId="100" borderId="15">
      <alignment horizontal="left" vertical="top" wrapText="1"/>
    </xf>
    <xf numFmtId="0" fontId="67" fillId="100" borderId="15">
      <alignment horizontal="left" vertical="top" wrapText="1"/>
    </xf>
    <xf numFmtId="0" fontId="67" fillId="100" borderId="15">
      <alignment horizontal="left" vertical="top" wrapText="1"/>
    </xf>
    <xf numFmtId="0" fontId="67" fillId="100" borderId="15">
      <alignment horizontal="left" vertical="top" wrapText="1"/>
    </xf>
    <xf numFmtId="0" fontId="67" fillId="100" borderId="15">
      <alignment horizontal="left" vertical="top" wrapText="1"/>
    </xf>
    <xf numFmtId="0" fontId="67" fillId="100" borderId="15">
      <alignment horizontal="left" vertical="top" wrapText="1"/>
    </xf>
    <xf numFmtId="0" fontId="67" fillId="100" borderId="15">
      <alignment horizontal="left" vertical="top" wrapText="1"/>
    </xf>
    <xf numFmtId="0" fontId="67" fillId="100" borderId="15">
      <alignment horizontal="left" vertical="top" wrapText="1"/>
    </xf>
    <xf numFmtId="0" fontId="67" fillId="100" borderId="15">
      <alignment horizontal="left" vertical="top" wrapText="1"/>
    </xf>
    <xf numFmtId="0" fontId="67" fillId="100" borderId="15">
      <alignment horizontal="left" vertical="top" wrapText="1"/>
    </xf>
    <xf numFmtId="0" fontId="67" fillId="100" borderId="15">
      <alignment horizontal="left" vertical="top" wrapText="1"/>
    </xf>
    <xf numFmtId="0" fontId="67" fillId="100" borderId="15">
      <alignment horizontal="left" vertical="top" wrapText="1"/>
    </xf>
    <xf numFmtId="0" fontId="67" fillId="100" borderId="15">
      <alignment horizontal="left" vertical="top" wrapText="1"/>
    </xf>
    <xf numFmtId="0" fontId="67" fillId="100" borderId="15">
      <alignment horizontal="left" vertical="top" wrapText="1"/>
    </xf>
    <xf numFmtId="0" fontId="67" fillId="100" borderId="15">
      <alignment horizontal="left" vertical="top" wrapText="1"/>
    </xf>
    <xf numFmtId="0" fontId="67" fillId="100" borderId="15">
      <alignment horizontal="left" vertical="top" wrapText="1"/>
    </xf>
    <xf numFmtId="0" fontId="67" fillId="100" borderId="15">
      <alignment horizontal="left" vertical="top" wrapText="1"/>
    </xf>
    <xf numFmtId="0" fontId="67" fillId="100" borderId="15">
      <alignment horizontal="left" vertical="top" wrapText="1"/>
    </xf>
    <xf numFmtId="0" fontId="67" fillId="100" borderId="15">
      <alignment horizontal="left" vertical="top" wrapText="1"/>
    </xf>
    <xf numFmtId="0" fontId="67" fillId="100" borderId="15">
      <alignment horizontal="left" vertical="top" wrapText="1"/>
    </xf>
    <xf numFmtId="0" fontId="67" fillId="100" borderId="15">
      <alignment horizontal="left" vertical="top" wrapText="1"/>
    </xf>
    <xf numFmtId="0" fontId="67" fillId="100" borderId="15">
      <alignment horizontal="left" vertical="top" wrapText="1"/>
    </xf>
    <xf numFmtId="0" fontId="67" fillId="100" borderId="15">
      <alignment horizontal="left" vertical="top" wrapText="1"/>
    </xf>
    <xf numFmtId="0" fontId="67" fillId="100" borderId="15">
      <alignment horizontal="left" vertical="top" wrapText="1"/>
    </xf>
    <xf numFmtId="0" fontId="67" fillId="100" borderId="15">
      <alignment horizontal="left" vertical="top" wrapText="1"/>
    </xf>
    <xf numFmtId="0" fontId="67" fillId="100" borderId="15">
      <alignment horizontal="left" vertical="top" wrapText="1"/>
    </xf>
    <xf numFmtId="0" fontId="67" fillId="100" borderId="15">
      <alignment horizontal="left" vertical="top" wrapText="1"/>
    </xf>
    <xf numFmtId="0" fontId="67" fillId="100" borderId="15">
      <alignment horizontal="left" vertical="top" wrapText="1"/>
    </xf>
    <xf numFmtId="0" fontId="67" fillId="100" borderId="15">
      <alignment horizontal="left" vertical="top" wrapText="1"/>
    </xf>
    <xf numFmtId="0" fontId="67" fillId="100" borderId="15">
      <alignment horizontal="left" vertical="top" wrapText="1"/>
    </xf>
    <xf numFmtId="0" fontId="67" fillId="100" borderId="15">
      <alignment horizontal="left" vertical="top" wrapText="1"/>
    </xf>
    <xf numFmtId="0" fontId="67" fillId="100" borderId="15">
      <alignment horizontal="left" vertical="top" wrapText="1"/>
    </xf>
    <xf numFmtId="0" fontId="67" fillId="100" borderId="15">
      <alignment horizontal="left" vertical="top" wrapText="1"/>
    </xf>
    <xf numFmtId="0" fontId="67" fillId="100" borderId="15">
      <alignment horizontal="left" vertical="top" wrapText="1"/>
    </xf>
    <xf numFmtId="0" fontId="67" fillId="100" borderId="15">
      <alignment horizontal="left" vertical="top" wrapText="1"/>
    </xf>
    <xf numFmtId="0" fontId="67" fillId="100" borderId="15">
      <alignment horizontal="left" vertical="top" wrapText="1"/>
    </xf>
    <xf numFmtId="0" fontId="67" fillId="100" borderId="15">
      <alignment horizontal="left" vertical="top" wrapText="1"/>
    </xf>
    <xf numFmtId="0" fontId="67" fillId="100" borderId="15">
      <alignment horizontal="left" vertical="top" wrapText="1"/>
    </xf>
    <xf numFmtId="0" fontId="67" fillId="100" borderId="15">
      <alignment horizontal="left" vertical="top" wrapText="1"/>
    </xf>
    <xf numFmtId="0" fontId="67" fillId="100" borderId="15">
      <alignment horizontal="left" vertical="top" wrapText="1"/>
    </xf>
    <xf numFmtId="0" fontId="67" fillId="100" borderId="15">
      <alignment horizontal="left" vertical="top" wrapText="1"/>
    </xf>
    <xf numFmtId="0" fontId="67" fillId="100" borderId="15">
      <alignment horizontal="left" vertical="top" wrapText="1"/>
    </xf>
    <xf numFmtId="0" fontId="67" fillId="100" borderId="15">
      <alignment horizontal="left" vertical="top" wrapText="1"/>
    </xf>
    <xf numFmtId="49" fontId="67" fillId="100" borderId="16">
      <alignment horizontal="center" vertical="top" wrapText="1" shrinkToFit="1"/>
    </xf>
    <xf numFmtId="49" fontId="67" fillId="100" borderId="16">
      <alignment horizontal="center" vertical="top" wrapText="1" shrinkToFit="1"/>
    </xf>
    <xf numFmtId="49" fontId="67" fillId="100" borderId="16">
      <alignment horizontal="center" vertical="top" wrapText="1" shrinkToFit="1"/>
    </xf>
    <xf numFmtId="49" fontId="67" fillId="100" borderId="16">
      <alignment horizontal="center" vertical="top" wrapText="1" shrinkToFit="1"/>
    </xf>
    <xf numFmtId="49" fontId="67" fillId="100" borderId="16">
      <alignment horizontal="center" vertical="top" wrapText="1" shrinkToFit="1"/>
    </xf>
    <xf numFmtId="49" fontId="67" fillId="100" borderId="16">
      <alignment horizontal="center" vertical="top" wrapText="1" shrinkToFit="1"/>
    </xf>
    <xf numFmtId="49" fontId="67" fillId="100" borderId="16">
      <alignment horizontal="center" vertical="top" wrapText="1" shrinkToFit="1"/>
    </xf>
    <xf numFmtId="49" fontId="67" fillId="100" borderId="16">
      <alignment horizontal="center" vertical="top" wrapText="1" shrinkToFit="1"/>
    </xf>
    <xf numFmtId="0" fontId="68" fillId="101" borderId="22">
      <alignment horizontal="left" vertical="top" wrapText="1"/>
    </xf>
    <xf numFmtId="0" fontId="68" fillId="101" borderId="22">
      <alignment horizontal="left" vertical="top" wrapText="1"/>
    </xf>
    <xf numFmtId="0" fontId="68" fillId="101" borderId="22">
      <alignment horizontal="left" vertical="top" wrapText="1"/>
    </xf>
    <xf numFmtId="0" fontId="68" fillId="101" borderId="22">
      <alignment horizontal="left" vertical="top" wrapText="1"/>
    </xf>
    <xf numFmtId="0" fontId="68" fillId="101" borderId="22">
      <alignment horizontal="left" vertical="top" wrapText="1"/>
    </xf>
    <xf numFmtId="0" fontId="68" fillId="101" borderId="22">
      <alignment horizontal="left" vertical="top" wrapText="1"/>
    </xf>
    <xf numFmtId="0" fontId="68" fillId="101" borderId="22">
      <alignment horizontal="left" vertical="top" wrapText="1"/>
    </xf>
    <xf numFmtId="0" fontId="67" fillId="100" borderId="16">
      <alignment horizontal="left" vertical="top" wrapText="1"/>
    </xf>
    <xf numFmtId="0" fontId="67" fillId="100" borderId="16">
      <alignment horizontal="left" vertical="top" wrapText="1"/>
    </xf>
    <xf numFmtId="0" fontId="67" fillId="100" borderId="16">
      <alignment horizontal="left" vertical="top" wrapText="1"/>
    </xf>
    <xf numFmtId="0" fontId="67" fillId="100" borderId="16">
      <alignment horizontal="left" vertical="top" wrapText="1"/>
    </xf>
    <xf numFmtId="0" fontId="67" fillId="100" borderId="16">
      <alignment horizontal="left" vertical="top" wrapText="1"/>
    </xf>
    <xf numFmtId="0" fontId="67" fillId="100" borderId="16">
      <alignment horizontal="left" vertical="top" wrapText="1"/>
    </xf>
    <xf numFmtId="0" fontId="67" fillId="100" borderId="16">
      <alignment horizontal="left" vertical="top" wrapText="1"/>
    </xf>
    <xf numFmtId="0" fontId="67" fillId="100" borderId="16">
      <alignment horizontal="left" vertical="top" wrapText="1"/>
    </xf>
    <xf numFmtId="49" fontId="67" fillId="100" borderId="16">
      <alignment horizontal="center" vertical="top" wrapText="1" shrinkToFit="1"/>
    </xf>
    <xf numFmtId="49" fontId="67" fillId="100" borderId="16">
      <alignment horizontal="center" vertical="top" wrapText="1" shrinkToFit="1"/>
    </xf>
    <xf numFmtId="49" fontId="67" fillId="100" borderId="16">
      <alignment horizontal="center" vertical="top" wrapText="1" shrinkToFit="1"/>
    </xf>
    <xf numFmtId="49" fontId="67" fillId="100" borderId="16">
      <alignment horizontal="center" vertical="top" wrapText="1" shrinkToFit="1"/>
    </xf>
    <xf numFmtId="49" fontId="67" fillId="100" borderId="16">
      <alignment horizontal="center" vertical="top" wrapText="1" shrinkToFit="1"/>
    </xf>
    <xf numFmtId="49" fontId="67" fillId="100" borderId="16">
      <alignment horizontal="center" vertical="top" wrapText="1" shrinkToFit="1"/>
    </xf>
    <xf numFmtId="49" fontId="67" fillId="100" borderId="16">
      <alignment horizontal="center" vertical="top" wrapText="1" shrinkToFit="1"/>
    </xf>
    <xf numFmtId="49" fontId="67" fillId="100" borderId="16">
      <alignment horizontal="center" vertical="top" wrapText="1" shrinkToFit="1"/>
    </xf>
    <xf numFmtId="49" fontId="67" fillId="100" borderId="16">
      <alignment horizontal="center" vertical="top" wrapText="1" shrinkToFit="1"/>
    </xf>
    <xf numFmtId="49" fontId="67" fillId="100" borderId="16">
      <alignment horizontal="center" vertical="top" wrapText="1" shrinkToFit="1"/>
    </xf>
    <xf numFmtId="49" fontId="67" fillId="100" borderId="16">
      <alignment horizontal="center" vertical="top" wrapText="1" shrinkToFit="1"/>
    </xf>
    <xf numFmtId="49" fontId="67" fillId="100" borderId="16">
      <alignment horizontal="center" vertical="top" wrapText="1" shrinkToFit="1"/>
    </xf>
    <xf numFmtId="49" fontId="67" fillId="100" borderId="16">
      <alignment horizontal="center" vertical="top" wrapText="1" shrinkToFit="1"/>
    </xf>
    <xf numFmtId="49" fontId="67" fillId="100" borderId="16">
      <alignment horizontal="center" vertical="top" wrapText="1" shrinkToFit="1"/>
    </xf>
    <xf numFmtId="49" fontId="67" fillId="100" borderId="16">
      <alignment horizontal="center" vertical="top" wrapText="1" shrinkToFit="1"/>
    </xf>
    <xf numFmtId="49" fontId="67" fillId="100" borderId="16">
      <alignment horizontal="center" vertical="top" wrapText="1" shrinkToFit="1"/>
    </xf>
    <xf numFmtId="49" fontId="67" fillId="100" borderId="16">
      <alignment horizontal="center" vertical="top" wrapText="1" shrinkToFit="1"/>
    </xf>
    <xf numFmtId="49" fontId="67" fillId="100" borderId="16">
      <alignment horizontal="center" vertical="top" wrapText="1" shrinkToFit="1"/>
    </xf>
    <xf numFmtId="49" fontId="67" fillId="100" borderId="16">
      <alignment horizontal="center" vertical="top" wrapText="1" shrinkToFit="1"/>
    </xf>
    <xf numFmtId="49" fontId="67" fillId="100" borderId="16">
      <alignment horizontal="center" vertical="top" wrapText="1" shrinkToFit="1"/>
    </xf>
    <xf numFmtId="49" fontId="67" fillId="100" borderId="16">
      <alignment horizontal="center" vertical="top" wrapText="1" shrinkToFit="1"/>
    </xf>
    <xf numFmtId="49" fontId="67" fillId="100" borderId="16">
      <alignment horizontal="center" vertical="top" wrapText="1" shrinkToFit="1"/>
    </xf>
    <xf numFmtId="49" fontId="67" fillId="100" borderId="16">
      <alignment horizontal="center" vertical="top" wrapText="1" shrinkToFit="1"/>
    </xf>
    <xf numFmtId="49" fontId="67" fillId="100" borderId="16">
      <alignment horizontal="center" vertical="top" wrapText="1" shrinkToFit="1"/>
    </xf>
    <xf numFmtId="49" fontId="67" fillId="100" borderId="16">
      <alignment horizontal="center" vertical="top" wrapText="1" shrinkToFit="1"/>
    </xf>
    <xf numFmtId="49" fontId="67" fillId="100" borderId="16">
      <alignment horizontal="center" vertical="top" wrapText="1" shrinkToFit="1"/>
    </xf>
    <xf numFmtId="49" fontId="67" fillId="100" borderId="16">
      <alignment horizontal="center" vertical="top" wrapText="1" shrinkToFit="1"/>
    </xf>
    <xf numFmtId="49" fontId="67" fillId="100" borderId="16">
      <alignment horizontal="center" vertical="top" wrapText="1" shrinkToFit="1"/>
    </xf>
    <xf numFmtId="49" fontId="67" fillId="100" borderId="16">
      <alignment horizontal="center" vertical="top" wrapText="1" shrinkToFit="1"/>
    </xf>
    <xf numFmtId="49" fontId="67" fillId="100" borderId="16">
      <alignment horizontal="center" vertical="top" wrapText="1" shrinkToFit="1"/>
    </xf>
    <xf numFmtId="49" fontId="67" fillId="100" borderId="16">
      <alignment horizontal="center" vertical="top" wrapText="1" shrinkToFit="1"/>
    </xf>
    <xf numFmtId="49" fontId="67" fillId="100" borderId="16">
      <alignment horizontal="center" vertical="top" wrapText="1" shrinkToFit="1"/>
    </xf>
    <xf numFmtId="49" fontId="67" fillId="100" borderId="16">
      <alignment horizontal="center" vertical="top" wrapText="1" shrinkToFit="1"/>
    </xf>
    <xf numFmtId="49" fontId="67" fillId="100" borderId="16">
      <alignment horizontal="center" vertical="top" wrapText="1" shrinkToFit="1"/>
    </xf>
    <xf numFmtId="49" fontId="67" fillId="100" borderId="16">
      <alignment horizontal="center" vertical="top" wrapText="1" shrinkToFit="1"/>
    </xf>
    <xf numFmtId="49" fontId="67" fillId="100" borderId="16">
      <alignment horizontal="center" vertical="top" wrapText="1" shrinkToFit="1"/>
    </xf>
    <xf numFmtId="49" fontId="67" fillId="100" borderId="16">
      <alignment horizontal="center" vertical="top" wrapText="1" shrinkToFit="1"/>
    </xf>
    <xf numFmtId="49" fontId="67" fillId="100" borderId="16">
      <alignment horizontal="center" vertical="top" wrapText="1" shrinkToFit="1"/>
    </xf>
    <xf numFmtId="49" fontId="67" fillId="100" borderId="16">
      <alignment horizontal="center" vertical="top" wrapText="1" shrinkToFit="1"/>
    </xf>
    <xf numFmtId="49" fontId="67" fillId="100" borderId="16">
      <alignment horizontal="center" vertical="top" wrapText="1" shrinkToFit="1"/>
    </xf>
    <xf numFmtId="49" fontId="67" fillId="100" borderId="16">
      <alignment horizontal="center" vertical="top" wrapText="1" shrinkToFit="1"/>
    </xf>
    <xf numFmtId="49" fontId="67" fillId="100" borderId="16">
      <alignment horizontal="center" vertical="top" wrapText="1" shrinkToFit="1"/>
    </xf>
    <xf numFmtId="49" fontId="67" fillId="100" borderId="16">
      <alignment horizontal="center" vertical="top" wrapText="1" shrinkToFit="1"/>
    </xf>
    <xf numFmtId="49" fontId="67" fillId="100" borderId="16">
      <alignment horizontal="center" vertical="top" wrapText="1" shrinkToFit="1"/>
    </xf>
    <xf numFmtId="49" fontId="67" fillId="100" borderId="16">
      <alignment horizontal="center" vertical="top" wrapText="1" shrinkToFit="1"/>
    </xf>
    <xf numFmtId="49" fontId="67" fillId="100" borderId="16">
      <alignment horizontal="center" vertical="top" wrapText="1" shrinkToFit="1"/>
    </xf>
    <xf numFmtId="49" fontId="67" fillId="100" borderId="16">
      <alignment horizontal="center" vertical="top" wrapText="1" shrinkToFit="1"/>
    </xf>
    <xf numFmtId="49" fontId="67" fillId="100" borderId="16">
      <alignment horizontal="center" vertical="top" wrapText="1" shrinkToFit="1"/>
    </xf>
    <xf numFmtId="49" fontId="67" fillId="100" borderId="16">
      <alignment horizontal="center" vertical="top" wrapText="1" shrinkToFit="1"/>
    </xf>
    <xf numFmtId="49" fontId="67" fillId="100" borderId="16">
      <alignment horizontal="center" vertical="top" wrapText="1" shrinkToFit="1"/>
    </xf>
    <xf numFmtId="49" fontId="67" fillId="100" borderId="16">
      <alignment horizontal="center" vertical="top" wrapText="1" shrinkToFit="1"/>
    </xf>
    <xf numFmtId="49" fontId="67" fillId="100" borderId="16">
      <alignment horizontal="center" vertical="top" wrapText="1" shrinkToFit="1"/>
    </xf>
    <xf numFmtId="49" fontId="67" fillId="100" borderId="16">
      <alignment horizontal="center" vertical="top" wrapText="1" shrinkToFit="1"/>
    </xf>
    <xf numFmtId="49" fontId="67" fillId="100" borderId="16">
      <alignment horizontal="center" vertical="top" wrapText="1" shrinkToFit="1"/>
    </xf>
    <xf numFmtId="49" fontId="67" fillId="100" borderId="16">
      <alignment horizontal="center" vertical="top" wrapText="1" shrinkToFit="1"/>
    </xf>
    <xf numFmtId="49" fontId="67" fillId="100" borderId="16">
      <alignment horizontal="center" vertical="top" wrapText="1" shrinkToFit="1"/>
    </xf>
    <xf numFmtId="49" fontId="67" fillId="100" borderId="16">
      <alignment horizontal="center" vertical="top" wrapText="1" shrinkToFit="1"/>
    </xf>
    <xf numFmtId="49" fontId="67" fillId="100" borderId="16">
      <alignment horizontal="center" vertical="top" wrapText="1" shrinkToFit="1"/>
    </xf>
    <xf numFmtId="49" fontId="67" fillId="100" borderId="16">
      <alignment horizontal="center" vertical="top" wrapText="1" shrinkToFit="1"/>
    </xf>
    <xf numFmtId="49" fontId="67" fillId="100" borderId="16">
      <alignment horizontal="center" vertical="top" wrapText="1" shrinkToFit="1"/>
    </xf>
    <xf numFmtId="49" fontId="67" fillId="100" borderId="16">
      <alignment horizontal="center" vertical="top" wrapText="1" shrinkToFit="1"/>
    </xf>
    <xf numFmtId="49" fontId="67" fillId="100" borderId="16">
      <alignment horizontal="center" vertical="top" wrapText="1" shrinkToFit="1"/>
    </xf>
    <xf numFmtId="49" fontId="67" fillId="100" borderId="16">
      <alignment horizontal="center" vertical="top" wrapText="1" shrinkToFit="1"/>
    </xf>
    <xf numFmtId="49" fontId="67" fillId="100" borderId="16">
      <alignment horizontal="center" vertical="top" wrapText="1" shrinkToFit="1"/>
    </xf>
    <xf numFmtId="0" fontId="67" fillId="100" borderId="16">
      <alignment horizontal="left" vertical="top" wrapText="1"/>
    </xf>
    <xf numFmtId="0" fontId="67" fillId="100" borderId="16">
      <alignment horizontal="left" vertical="top" wrapText="1"/>
    </xf>
    <xf numFmtId="0" fontId="67" fillId="100" borderId="16">
      <alignment horizontal="left" vertical="top" wrapText="1"/>
    </xf>
    <xf numFmtId="0" fontId="67" fillId="100" borderId="16">
      <alignment horizontal="left" vertical="top" wrapText="1"/>
    </xf>
    <xf numFmtId="0" fontId="67" fillId="100" borderId="16">
      <alignment horizontal="left" vertical="top" wrapText="1"/>
    </xf>
    <xf numFmtId="0" fontId="67" fillId="100" borderId="16">
      <alignment horizontal="left" vertical="top" wrapText="1"/>
    </xf>
    <xf numFmtId="0" fontId="67" fillId="100" borderId="16">
      <alignment horizontal="left" vertical="top" wrapText="1"/>
    </xf>
    <xf numFmtId="0" fontId="67" fillId="100" borderId="16">
      <alignment horizontal="left" vertical="top" wrapText="1"/>
    </xf>
    <xf numFmtId="49" fontId="68" fillId="101" borderId="22">
      <alignment horizontal="center" vertical="top" shrinkToFit="1"/>
    </xf>
    <xf numFmtId="49" fontId="68" fillId="101" borderId="22">
      <alignment horizontal="center" vertical="top" shrinkToFit="1"/>
    </xf>
    <xf numFmtId="49" fontId="68" fillId="101" borderId="22">
      <alignment horizontal="center" vertical="top" shrinkToFit="1"/>
    </xf>
    <xf numFmtId="49" fontId="68" fillId="101" borderId="22">
      <alignment horizontal="center" vertical="top" shrinkToFit="1"/>
    </xf>
    <xf numFmtId="49" fontId="68" fillId="101" borderId="22">
      <alignment horizontal="center" vertical="top" shrinkToFit="1"/>
    </xf>
    <xf numFmtId="49" fontId="68" fillId="101" borderId="22">
      <alignment horizontal="center" vertical="top" shrinkToFit="1"/>
    </xf>
    <xf numFmtId="49" fontId="68" fillId="101" borderId="22">
      <alignment horizontal="center" vertical="top" shrinkToFit="1"/>
    </xf>
    <xf numFmtId="49" fontId="68" fillId="101" borderId="22">
      <alignment horizontal="center" vertical="top" shrinkToFit="1"/>
    </xf>
    <xf numFmtId="49" fontId="67" fillId="100" borderId="16">
      <alignment horizontal="center" vertical="top" wrapText="1" shrinkToFit="1"/>
    </xf>
    <xf numFmtId="49" fontId="67" fillId="100" borderId="16">
      <alignment horizontal="center" vertical="top" wrapText="1" shrinkToFit="1"/>
    </xf>
    <xf numFmtId="49" fontId="67" fillId="100" borderId="16">
      <alignment horizontal="center" vertical="top" wrapText="1" shrinkToFit="1"/>
    </xf>
    <xf numFmtId="49" fontId="67" fillId="100" borderId="16">
      <alignment horizontal="center" vertical="top" wrapText="1" shrinkToFit="1"/>
    </xf>
    <xf numFmtId="49" fontId="67" fillId="100" borderId="16">
      <alignment horizontal="center" vertical="top" wrapText="1" shrinkToFit="1"/>
    </xf>
    <xf numFmtId="49" fontId="67" fillId="100" borderId="16">
      <alignment horizontal="center" vertical="top" wrapText="1" shrinkToFit="1"/>
    </xf>
    <xf numFmtId="49" fontId="67" fillId="100" borderId="16">
      <alignment horizontal="center" vertical="top" wrapText="1" shrinkToFit="1"/>
    </xf>
    <xf numFmtId="49" fontId="67" fillId="100" borderId="16">
      <alignment horizontal="center" vertical="top" wrapText="1" shrinkToFit="1"/>
    </xf>
    <xf numFmtId="0" fontId="67" fillId="100" borderId="16">
      <alignment horizontal="left" vertical="top" wrapText="1"/>
    </xf>
    <xf numFmtId="0" fontId="67" fillId="100" borderId="16">
      <alignment horizontal="left" vertical="top" wrapText="1"/>
    </xf>
    <xf numFmtId="0" fontId="67" fillId="100" borderId="16">
      <alignment horizontal="left" vertical="top" wrapText="1"/>
    </xf>
    <xf numFmtId="0" fontId="67" fillId="100" borderId="16">
      <alignment horizontal="left" vertical="top" wrapText="1"/>
    </xf>
    <xf numFmtId="0" fontId="67" fillId="100" borderId="16">
      <alignment horizontal="left" vertical="top" wrapText="1"/>
    </xf>
    <xf numFmtId="0" fontId="67" fillId="100" borderId="16">
      <alignment horizontal="left" vertical="top" wrapText="1"/>
    </xf>
    <xf numFmtId="0" fontId="67" fillId="100" borderId="16">
      <alignment horizontal="left" vertical="top" wrapText="1"/>
    </xf>
    <xf numFmtId="0" fontId="67" fillId="100" borderId="16">
      <alignment horizontal="left" vertical="top" wrapText="1"/>
    </xf>
    <xf numFmtId="0" fontId="67" fillId="100" borderId="16">
      <alignment horizontal="left" vertical="top" wrapText="1"/>
    </xf>
    <xf numFmtId="0" fontId="67" fillId="100" borderId="16">
      <alignment horizontal="left" vertical="top" wrapText="1"/>
    </xf>
    <xf numFmtId="0" fontId="67" fillId="100" borderId="16">
      <alignment horizontal="left" vertical="top" wrapText="1"/>
    </xf>
    <xf numFmtId="0" fontId="67" fillId="100" borderId="16">
      <alignment horizontal="left" vertical="top" wrapText="1"/>
    </xf>
    <xf numFmtId="0" fontId="67" fillId="100" borderId="16">
      <alignment horizontal="left" vertical="top" wrapText="1"/>
    </xf>
    <xf numFmtId="0" fontId="67" fillId="100" borderId="16">
      <alignment horizontal="left" vertical="top" wrapText="1"/>
    </xf>
    <xf numFmtId="0" fontId="67" fillId="100" borderId="16">
      <alignment horizontal="left" vertical="top" wrapText="1"/>
    </xf>
    <xf numFmtId="0" fontId="67" fillId="100" borderId="16">
      <alignment horizontal="left" vertical="top" wrapText="1"/>
    </xf>
    <xf numFmtId="0" fontId="67" fillId="100" borderId="16">
      <alignment horizontal="left" vertical="top" wrapText="1"/>
    </xf>
    <xf numFmtId="0" fontId="67" fillId="100" borderId="16">
      <alignment horizontal="left" vertical="top" wrapText="1"/>
    </xf>
    <xf numFmtId="0" fontId="67" fillId="100" borderId="16">
      <alignment horizontal="left" vertical="top" wrapText="1"/>
    </xf>
    <xf numFmtId="0" fontId="67" fillId="100" borderId="16">
      <alignment horizontal="left" vertical="top" wrapText="1"/>
    </xf>
    <xf numFmtId="0" fontId="67" fillId="100" borderId="16">
      <alignment horizontal="left" vertical="top" wrapText="1"/>
    </xf>
    <xf numFmtId="0" fontId="67" fillId="100" borderId="16">
      <alignment horizontal="left" vertical="top" wrapText="1"/>
    </xf>
    <xf numFmtId="0" fontId="67" fillId="100" borderId="16">
      <alignment horizontal="left" vertical="top" wrapText="1"/>
    </xf>
    <xf numFmtId="0" fontId="67" fillId="100" borderId="16">
      <alignment horizontal="left" vertical="top" wrapText="1"/>
    </xf>
    <xf numFmtId="0" fontId="67" fillId="100" borderId="16">
      <alignment horizontal="left" vertical="top" wrapText="1"/>
    </xf>
    <xf numFmtId="0" fontId="67" fillId="100" borderId="16">
      <alignment horizontal="left" vertical="top" wrapText="1"/>
    </xf>
    <xf numFmtId="0" fontId="67" fillId="100" borderId="16">
      <alignment horizontal="left" vertical="top" wrapText="1"/>
    </xf>
    <xf numFmtId="0" fontId="67" fillId="100" borderId="16">
      <alignment horizontal="left" vertical="top" wrapText="1"/>
    </xf>
    <xf numFmtId="0" fontId="67" fillId="100" borderId="16">
      <alignment horizontal="left" vertical="top" wrapText="1"/>
    </xf>
    <xf numFmtId="0" fontId="67" fillId="100" borderId="16">
      <alignment horizontal="left" vertical="top" wrapText="1"/>
    </xf>
    <xf numFmtId="0" fontId="67" fillId="100" borderId="16">
      <alignment horizontal="left" vertical="top" wrapText="1"/>
    </xf>
    <xf numFmtId="0" fontId="67" fillId="100" borderId="16">
      <alignment horizontal="left" vertical="top" wrapText="1"/>
    </xf>
    <xf numFmtId="0" fontId="67" fillId="100" borderId="16">
      <alignment horizontal="left" vertical="top" wrapText="1"/>
    </xf>
    <xf numFmtId="0" fontId="67" fillId="100" borderId="16">
      <alignment horizontal="left" vertical="top" wrapText="1"/>
    </xf>
    <xf numFmtId="0" fontId="67" fillId="100" borderId="16">
      <alignment horizontal="left" vertical="top" wrapText="1"/>
    </xf>
    <xf numFmtId="0" fontId="67" fillId="100" borderId="16">
      <alignment horizontal="left" vertical="top" wrapText="1"/>
    </xf>
    <xf numFmtId="0" fontId="67" fillId="100" borderId="16">
      <alignment horizontal="left" vertical="top" wrapText="1"/>
    </xf>
    <xf numFmtId="0" fontId="67" fillId="100" borderId="16">
      <alignment horizontal="left" vertical="top" wrapText="1"/>
    </xf>
    <xf numFmtId="0" fontId="67" fillId="100" borderId="16">
      <alignment horizontal="left" vertical="top" wrapText="1"/>
    </xf>
    <xf numFmtId="0" fontId="67" fillId="100" borderId="16">
      <alignment horizontal="left" vertical="top" wrapText="1"/>
    </xf>
    <xf numFmtId="0" fontId="67" fillId="100" borderId="16">
      <alignment horizontal="left" vertical="top" wrapText="1"/>
    </xf>
    <xf numFmtId="0" fontId="67" fillId="100" borderId="16">
      <alignment horizontal="left" vertical="top" wrapText="1"/>
    </xf>
    <xf numFmtId="0" fontId="67" fillId="100" borderId="16">
      <alignment horizontal="left" vertical="top" wrapText="1"/>
    </xf>
    <xf numFmtId="0" fontId="67" fillId="100" borderId="16">
      <alignment horizontal="left" vertical="top" wrapText="1"/>
    </xf>
    <xf numFmtId="0" fontId="67" fillId="100" borderId="16">
      <alignment horizontal="left" vertical="top" wrapText="1"/>
    </xf>
    <xf numFmtId="0" fontId="67" fillId="100" borderId="16">
      <alignment horizontal="left" vertical="top" wrapText="1"/>
    </xf>
    <xf numFmtId="0" fontId="67" fillId="100" borderId="16">
      <alignment horizontal="left" vertical="top" wrapText="1"/>
    </xf>
    <xf numFmtId="0" fontId="67" fillId="100" borderId="16">
      <alignment horizontal="left" vertical="top" wrapText="1"/>
    </xf>
    <xf numFmtId="0" fontId="67" fillId="100" borderId="16">
      <alignment horizontal="left" vertical="top" wrapText="1"/>
    </xf>
    <xf numFmtId="0" fontId="67" fillId="100" borderId="16">
      <alignment horizontal="left" vertical="top" wrapText="1"/>
    </xf>
    <xf numFmtId="0" fontId="67" fillId="100" borderId="16">
      <alignment horizontal="left" vertical="top" wrapText="1"/>
    </xf>
    <xf numFmtId="0" fontId="67" fillId="100" borderId="16">
      <alignment horizontal="left" vertical="top" wrapText="1"/>
    </xf>
    <xf numFmtId="0" fontId="67" fillId="100" borderId="16">
      <alignment horizontal="left" vertical="top" wrapText="1"/>
    </xf>
    <xf numFmtId="0" fontId="67" fillId="100" borderId="16">
      <alignment horizontal="left" vertical="top" wrapText="1"/>
    </xf>
    <xf numFmtId="0" fontId="67" fillId="100" borderId="16">
      <alignment horizontal="left" vertical="top" wrapText="1"/>
    </xf>
    <xf numFmtId="0" fontId="67" fillId="100" borderId="16">
      <alignment horizontal="left" vertical="top" wrapText="1"/>
    </xf>
    <xf numFmtId="0" fontId="67" fillId="100" borderId="16">
      <alignment horizontal="left" vertical="top" wrapText="1"/>
    </xf>
    <xf numFmtId="0" fontId="67" fillId="100" borderId="16">
      <alignment horizontal="left" vertical="top" wrapText="1"/>
    </xf>
    <xf numFmtId="0" fontId="67" fillId="100" borderId="16">
      <alignment horizontal="left" vertical="top" wrapText="1"/>
    </xf>
    <xf numFmtId="0" fontId="67" fillId="100" borderId="16">
      <alignment horizontal="left" vertical="top" wrapText="1"/>
    </xf>
    <xf numFmtId="0" fontId="67" fillId="100" borderId="16">
      <alignment horizontal="left" vertical="top" wrapText="1"/>
    </xf>
    <xf numFmtId="0" fontId="67" fillId="100" borderId="16">
      <alignment horizontal="left" vertical="top" wrapText="1"/>
    </xf>
    <xf numFmtId="0" fontId="67" fillId="100" borderId="16">
      <alignment horizontal="left" vertical="top" wrapText="1"/>
    </xf>
    <xf numFmtId="0" fontId="67" fillId="100" borderId="16">
      <alignment horizontal="left" vertical="top" wrapText="1"/>
    </xf>
    <xf numFmtId="4" fontId="67" fillId="100" borderId="16">
      <alignment horizontal="right" vertical="top" wrapText="1" shrinkToFit="1"/>
    </xf>
    <xf numFmtId="4" fontId="67" fillId="100" borderId="16">
      <alignment horizontal="right" vertical="top" wrapText="1" shrinkToFit="1"/>
    </xf>
    <xf numFmtId="4" fontId="67" fillId="100" borderId="16">
      <alignment horizontal="right" vertical="top" wrapText="1" shrinkToFit="1"/>
    </xf>
    <xf numFmtId="4" fontId="67" fillId="100" borderId="16">
      <alignment horizontal="right" vertical="top" wrapText="1" shrinkToFit="1"/>
    </xf>
    <xf numFmtId="4" fontId="67" fillId="100" borderId="16">
      <alignment horizontal="right" vertical="top" wrapText="1" shrinkToFit="1"/>
    </xf>
    <xf numFmtId="4" fontId="67" fillId="100" borderId="16">
      <alignment horizontal="right" vertical="top" wrapText="1" shrinkToFit="1"/>
    </xf>
    <xf numFmtId="4" fontId="67" fillId="100" borderId="16">
      <alignment horizontal="right" vertical="top" wrapText="1" shrinkToFit="1"/>
    </xf>
    <xf numFmtId="4" fontId="67" fillId="100" borderId="16">
      <alignment horizontal="right" vertical="top" wrapText="1" shrinkToFit="1"/>
    </xf>
    <xf numFmtId="4" fontId="68" fillId="101" borderId="22">
      <alignment horizontal="right" vertical="top" shrinkToFit="1"/>
    </xf>
    <xf numFmtId="4" fontId="68" fillId="101" borderId="22">
      <alignment horizontal="right" vertical="top" shrinkToFit="1"/>
    </xf>
    <xf numFmtId="4" fontId="68" fillId="101" borderId="22">
      <alignment horizontal="right" vertical="top" shrinkToFit="1"/>
    </xf>
    <xf numFmtId="4" fontId="68" fillId="101" borderId="22">
      <alignment horizontal="right" vertical="top" shrinkToFit="1"/>
    </xf>
    <xf numFmtId="4" fontId="68" fillId="101" borderId="22">
      <alignment horizontal="right" vertical="top" shrinkToFit="1"/>
    </xf>
    <xf numFmtId="4" fontId="68" fillId="101" borderId="22">
      <alignment horizontal="right" vertical="top" shrinkToFit="1"/>
    </xf>
    <xf numFmtId="4" fontId="68" fillId="101" borderId="22">
      <alignment horizontal="right" vertical="top" shrinkToFit="1"/>
    </xf>
    <xf numFmtId="4" fontId="67" fillId="100" borderId="16">
      <alignment horizontal="right" vertical="top" wrapText="1" shrinkToFit="1"/>
    </xf>
    <xf numFmtId="4" fontId="67" fillId="100" borderId="16">
      <alignment horizontal="right" vertical="top" wrapText="1" shrinkToFit="1"/>
    </xf>
    <xf numFmtId="4" fontId="67" fillId="100" borderId="16">
      <alignment horizontal="right" vertical="top" wrapText="1" shrinkToFit="1"/>
    </xf>
    <xf numFmtId="4" fontId="67" fillId="100" borderId="16">
      <alignment horizontal="right" vertical="top" wrapText="1" shrinkToFit="1"/>
    </xf>
    <xf numFmtId="4" fontId="67" fillId="100" borderId="16">
      <alignment horizontal="right" vertical="top" wrapText="1" shrinkToFit="1"/>
    </xf>
    <xf numFmtId="4" fontId="67" fillId="100" borderId="16">
      <alignment horizontal="right" vertical="top" wrapText="1" shrinkToFit="1"/>
    </xf>
    <xf numFmtId="4" fontId="67" fillId="100" borderId="16">
      <alignment horizontal="right" vertical="top" wrapText="1" shrinkToFit="1"/>
    </xf>
    <xf numFmtId="4" fontId="67" fillId="100" borderId="16">
      <alignment horizontal="right" vertical="top" wrapText="1" shrinkToFit="1"/>
    </xf>
    <xf numFmtId="4" fontId="67" fillId="100" borderId="16">
      <alignment horizontal="right" vertical="top" wrapText="1" shrinkToFit="1"/>
    </xf>
    <xf numFmtId="4" fontId="67" fillId="100" borderId="16">
      <alignment horizontal="right" vertical="top" wrapText="1" shrinkToFit="1"/>
    </xf>
    <xf numFmtId="4" fontId="67" fillId="100" borderId="16">
      <alignment horizontal="right" vertical="top" wrapText="1" shrinkToFit="1"/>
    </xf>
    <xf numFmtId="4" fontId="67" fillId="100" borderId="16">
      <alignment horizontal="right" vertical="top" wrapText="1" shrinkToFit="1"/>
    </xf>
    <xf numFmtId="4" fontId="67" fillId="100" borderId="16">
      <alignment horizontal="right" vertical="top" wrapText="1" shrinkToFit="1"/>
    </xf>
    <xf numFmtId="4" fontId="67" fillId="100" borderId="16">
      <alignment horizontal="right" vertical="top" wrapText="1" shrinkToFit="1"/>
    </xf>
    <xf numFmtId="4" fontId="67" fillId="100" borderId="16">
      <alignment horizontal="right" vertical="top" wrapText="1" shrinkToFit="1"/>
    </xf>
    <xf numFmtId="4" fontId="67" fillId="100" borderId="16">
      <alignment horizontal="right" vertical="top" wrapText="1" shrinkToFit="1"/>
    </xf>
    <xf numFmtId="4" fontId="67" fillId="100" borderId="16">
      <alignment horizontal="right" vertical="top" wrapText="1" shrinkToFit="1"/>
    </xf>
    <xf numFmtId="4" fontId="67" fillId="100" borderId="16">
      <alignment horizontal="right" vertical="top" wrapText="1" shrinkToFit="1"/>
    </xf>
    <xf numFmtId="4" fontId="67" fillId="100" borderId="16">
      <alignment horizontal="right" vertical="top" wrapText="1" shrinkToFit="1"/>
    </xf>
    <xf numFmtId="4" fontId="67" fillId="100" borderId="16">
      <alignment horizontal="right" vertical="top" wrapText="1" shrinkToFit="1"/>
    </xf>
    <xf numFmtId="4" fontId="67" fillId="100" borderId="16">
      <alignment horizontal="right" vertical="top" wrapText="1" shrinkToFit="1"/>
    </xf>
    <xf numFmtId="4" fontId="67" fillId="100" borderId="16">
      <alignment horizontal="right" vertical="top" wrapText="1" shrinkToFit="1"/>
    </xf>
    <xf numFmtId="4" fontId="67" fillId="100" borderId="16">
      <alignment horizontal="right" vertical="top" wrapText="1" shrinkToFit="1"/>
    </xf>
    <xf numFmtId="4" fontId="67" fillId="100" borderId="16">
      <alignment horizontal="right" vertical="top" wrapText="1" shrinkToFit="1"/>
    </xf>
    <xf numFmtId="4" fontId="67" fillId="100" borderId="16">
      <alignment horizontal="right" vertical="top" wrapText="1" shrinkToFit="1"/>
    </xf>
    <xf numFmtId="4" fontId="67" fillId="100" borderId="16">
      <alignment horizontal="right" vertical="top" wrapText="1" shrinkToFit="1"/>
    </xf>
    <xf numFmtId="4" fontId="67" fillId="100" borderId="16">
      <alignment horizontal="right" vertical="top" wrapText="1" shrinkToFit="1"/>
    </xf>
    <xf numFmtId="4" fontId="67" fillId="100" borderId="16">
      <alignment horizontal="right" vertical="top" wrapText="1" shrinkToFit="1"/>
    </xf>
    <xf numFmtId="4" fontId="67" fillId="100" borderId="16">
      <alignment horizontal="right" vertical="top" wrapText="1" shrinkToFit="1"/>
    </xf>
    <xf numFmtId="4" fontId="67" fillId="100" borderId="16">
      <alignment horizontal="right" vertical="top" wrapText="1" shrinkToFit="1"/>
    </xf>
    <xf numFmtId="4" fontId="67" fillId="100" borderId="16">
      <alignment horizontal="right" vertical="top" wrapText="1" shrinkToFit="1"/>
    </xf>
    <xf numFmtId="4" fontId="67" fillId="100" borderId="16">
      <alignment horizontal="right" vertical="top" wrapText="1" shrinkToFit="1"/>
    </xf>
    <xf numFmtId="4" fontId="67" fillId="100" borderId="16">
      <alignment horizontal="right" vertical="top" wrapText="1" shrinkToFit="1"/>
    </xf>
    <xf numFmtId="4" fontId="67" fillId="100" borderId="16">
      <alignment horizontal="right" vertical="top" wrapText="1" shrinkToFit="1"/>
    </xf>
    <xf numFmtId="4" fontId="67" fillId="100" borderId="16">
      <alignment horizontal="right" vertical="top" wrapText="1" shrinkToFit="1"/>
    </xf>
    <xf numFmtId="4" fontId="67" fillId="100" borderId="16">
      <alignment horizontal="right" vertical="top" wrapText="1" shrinkToFit="1"/>
    </xf>
    <xf numFmtId="4" fontId="67" fillId="100" borderId="16">
      <alignment horizontal="right" vertical="top" wrapText="1" shrinkToFit="1"/>
    </xf>
    <xf numFmtId="4" fontId="67" fillId="100" borderId="16">
      <alignment horizontal="right" vertical="top" wrapText="1" shrinkToFit="1"/>
    </xf>
    <xf numFmtId="4" fontId="67" fillId="100" borderId="16">
      <alignment horizontal="right" vertical="top" wrapText="1" shrinkToFit="1"/>
    </xf>
    <xf numFmtId="4" fontId="67" fillId="100" borderId="16">
      <alignment horizontal="right" vertical="top" wrapText="1" shrinkToFit="1"/>
    </xf>
    <xf numFmtId="4" fontId="67" fillId="100" borderId="16">
      <alignment horizontal="right" vertical="top" wrapText="1" shrinkToFit="1"/>
    </xf>
    <xf numFmtId="4" fontId="67" fillId="100" borderId="16">
      <alignment horizontal="right" vertical="top" wrapText="1" shrinkToFit="1"/>
    </xf>
    <xf numFmtId="4" fontId="67" fillId="100" borderId="16">
      <alignment horizontal="right" vertical="top" wrapText="1" shrinkToFit="1"/>
    </xf>
    <xf numFmtId="4" fontId="67" fillId="100" borderId="16">
      <alignment horizontal="right" vertical="top" wrapText="1" shrinkToFit="1"/>
    </xf>
    <xf numFmtId="4" fontId="67" fillId="100" borderId="16">
      <alignment horizontal="right" vertical="top" wrapText="1" shrinkToFit="1"/>
    </xf>
    <xf numFmtId="4" fontId="67" fillId="100" borderId="16">
      <alignment horizontal="right" vertical="top" wrapText="1" shrinkToFit="1"/>
    </xf>
    <xf numFmtId="4" fontId="67" fillId="100" borderId="16">
      <alignment horizontal="right" vertical="top" wrapText="1" shrinkToFit="1"/>
    </xf>
    <xf numFmtId="4" fontId="67" fillId="100" borderId="16">
      <alignment horizontal="right" vertical="top" wrapText="1" shrinkToFit="1"/>
    </xf>
    <xf numFmtId="4" fontId="67" fillId="100" borderId="16">
      <alignment horizontal="right" vertical="top" wrapText="1" shrinkToFit="1"/>
    </xf>
    <xf numFmtId="4" fontId="67" fillId="100" borderId="16">
      <alignment horizontal="right" vertical="top" wrapText="1" shrinkToFit="1"/>
    </xf>
    <xf numFmtId="4" fontId="67" fillId="100" borderId="16">
      <alignment horizontal="right" vertical="top" wrapText="1" shrinkToFit="1"/>
    </xf>
    <xf numFmtId="4" fontId="67" fillId="100" borderId="16">
      <alignment horizontal="right" vertical="top" wrapText="1" shrinkToFit="1"/>
    </xf>
    <xf numFmtId="4" fontId="67" fillId="100" borderId="16">
      <alignment horizontal="right" vertical="top" wrapText="1" shrinkToFit="1"/>
    </xf>
    <xf numFmtId="4" fontId="67" fillId="100" borderId="16">
      <alignment horizontal="right" vertical="top" wrapText="1" shrinkToFit="1"/>
    </xf>
    <xf numFmtId="4" fontId="67" fillId="100" borderId="16">
      <alignment horizontal="right" vertical="top" wrapText="1" shrinkToFit="1"/>
    </xf>
    <xf numFmtId="4" fontId="67" fillId="100" borderId="16">
      <alignment horizontal="right" vertical="top" wrapText="1" shrinkToFit="1"/>
    </xf>
    <xf numFmtId="4" fontId="67" fillId="100" borderId="16">
      <alignment horizontal="right" vertical="top" wrapText="1" shrinkToFit="1"/>
    </xf>
    <xf numFmtId="4" fontId="67" fillId="100" borderId="16">
      <alignment horizontal="right" vertical="top" wrapText="1" shrinkToFit="1"/>
    </xf>
    <xf numFmtId="4" fontId="67" fillId="100" borderId="16">
      <alignment horizontal="right" vertical="top" wrapText="1" shrinkToFit="1"/>
    </xf>
    <xf numFmtId="4" fontId="67" fillId="100" borderId="16">
      <alignment horizontal="right" vertical="top" wrapText="1" shrinkToFit="1"/>
    </xf>
    <xf numFmtId="4" fontId="67" fillId="100" borderId="16">
      <alignment horizontal="right" vertical="top" wrapText="1" shrinkToFit="1"/>
    </xf>
    <xf numFmtId="4" fontId="67" fillId="100" borderId="16">
      <alignment horizontal="right" vertical="top" wrapText="1" shrinkToFit="1"/>
    </xf>
    <xf numFmtId="4" fontId="67" fillId="100" borderId="16">
      <alignment horizontal="right" vertical="top" wrapText="1" shrinkToFit="1"/>
    </xf>
    <xf numFmtId="4" fontId="67" fillId="100" borderId="16">
      <alignment horizontal="right" vertical="top" wrapText="1" shrinkToFit="1"/>
    </xf>
    <xf numFmtId="0" fontId="67" fillId="100" borderId="17">
      <alignment vertical="top" shrinkToFit="1"/>
    </xf>
    <xf numFmtId="0" fontId="67" fillId="100" borderId="17">
      <alignment vertical="top" shrinkToFit="1"/>
    </xf>
    <xf numFmtId="0" fontId="67" fillId="100" borderId="17">
      <alignment vertical="top" shrinkToFit="1"/>
    </xf>
    <xf numFmtId="0" fontId="67" fillId="100" borderId="17">
      <alignment vertical="top" shrinkToFit="1"/>
    </xf>
    <xf numFmtId="0" fontId="67" fillId="100" borderId="17">
      <alignment vertical="top" shrinkToFit="1"/>
    </xf>
    <xf numFmtId="0" fontId="67" fillId="100" borderId="17">
      <alignment vertical="top" shrinkToFit="1"/>
    </xf>
    <xf numFmtId="0" fontId="67" fillId="100" borderId="17">
      <alignment vertical="top" shrinkToFit="1"/>
    </xf>
    <xf numFmtId="0" fontId="67" fillId="100" borderId="17">
      <alignment vertical="top" shrinkToFit="1"/>
    </xf>
    <xf numFmtId="169" fontId="67" fillId="100" borderId="17">
      <alignment horizontal="right" vertical="top" shrinkToFit="1"/>
    </xf>
    <xf numFmtId="169" fontId="67" fillId="100" borderId="17">
      <alignment horizontal="right" vertical="top" shrinkToFit="1"/>
    </xf>
    <xf numFmtId="169" fontId="67" fillId="100" borderId="17">
      <alignment horizontal="right" vertical="top" shrinkToFit="1"/>
    </xf>
    <xf numFmtId="169" fontId="67" fillId="100" borderId="17">
      <alignment horizontal="right" vertical="top" shrinkToFit="1"/>
    </xf>
    <xf numFmtId="169" fontId="67" fillId="100" borderId="17">
      <alignment horizontal="right" vertical="top" shrinkToFit="1"/>
    </xf>
    <xf numFmtId="169" fontId="67" fillId="100" borderId="17">
      <alignment horizontal="right" vertical="top" shrinkToFit="1"/>
    </xf>
    <xf numFmtId="169" fontId="67" fillId="100" borderId="17">
      <alignment horizontal="right" vertical="top" shrinkToFit="1"/>
    </xf>
    <xf numFmtId="169" fontId="67" fillId="100" borderId="17">
      <alignment horizontal="right" vertical="top" shrinkToFit="1"/>
    </xf>
    <xf numFmtId="4" fontId="68" fillId="101" borderId="23">
      <alignment horizontal="right" vertical="top" shrinkToFit="1"/>
    </xf>
    <xf numFmtId="4" fontId="68" fillId="101" borderId="23">
      <alignment horizontal="right" vertical="top" shrinkToFit="1"/>
    </xf>
    <xf numFmtId="4" fontId="68" fillId="101" borderId="23">
      <alignment horizontal="right" vertical="top" shrinkToFit="1"/>
    </xf>
    <xf numFmtId="4" fontId="68" fillId="101" borderId="23">
      <alignment horizontal="right" vertical="top" shrinkToFit="1"/>
    </xf>
    <xf numFmtId="4" fontId="68" fillId="101" borderId="23">
      <alignment horizontal="right" vertical="top" shrinkToFit="1"/>
    </xf>
    <xf numFmtId="4" fontId="68" fillId="101" borderId="23">
      <alignment horizontal="right" vertical="top" shrinkToFit="1"/>
    </xf>
    <xf numFmtId="4" fontId="68" fillId="101" borderId="23">
      <alignment horizontal="right" vertical="top" shrinkToFit="1"/>
    </xf>
    <xf numFmtId="4" fontId="68" fillId="101" borderId="23">
      <alignment horizontal="right" vertical="top" shrinkToFit="1"/>
    </xf>
    <xf numFmtId="4" fontId="67" fillId="100" borderId="17">
      <alignment horizontal="right" vertical="top" shrinkToFit="1"/>
    </xf>
    <xf numFmtId="4" fontId="67" fillId="100" borderId="17">
      <alignment horizontal="right" vertical="top" shrinkToFit="1"/>
    </xf>
    <xf numFmtId="4" fontId="67" fillId="100" borderId="17">
      <alignment horizontal="right" vertical="top" shrinkToFit="1"/>
    </xf>
    <xf numFmtId="4" fontId="67" fillId="100" borderId="17">
      <alignment horizontal="right" vertical="top" shrinkToFit="1"/>
    </xf>
    <xf numFmtId="4" fontId="67" fillId="100" borderId="17">
      <alignment horizontal="right" vertical="top" shrinkToFit="1"/>
    </xf>
    <xf numFmtId="4" fontId="67" fillId="100" borderId="17">
      <alignment horizontal="right" vertical="top" shrinkToFit="1"/>
    </xf>
    <xf numFmtId="4" fontId="67" fillId="100" borderId="17">
      <alignment horizontal="right" vertical="top" shrinkToFit="1"/>
    </xf>
    <xf numFmtId="4" fontId="67" fillId="100" borderId="17">
      <alignment horizontal="right" vertical="top" shrinkToFit="1"/>
    </xf>
    <xf numFmtId="0" fontId="67" fillId="100" borderId="17">
      <alignment vertical="top" shrinkToFit="1"/>
    </xf>
    <xf numFmtId="0" fontId="67" fillId="100" borderId="17">
      <alignment vertical="top" shrinkToFit="1"/>
    </xf>
    <xf numFmtId="0" fontId="67" fillId="100" borderId="17">
      <alignment vertical="top" shrinkToFit="1"/>
    </xf>
    <xf numFmtId="0" fontId="67" fillId="100" borderId="17">
      <alignment vertical="top" shrinkToFit="1"/>
    </xf>
    <xf numFmtId="0" fontId="67" fillId="100" borderId="17">
      <alignment vertical="top" shrinkToFit="1"/>
    </xf>
    <xf numFmtId="0" fontId="67" fillId="100" borderId="17">
      <alignment vertical="top" shrinkToFit="1"/>
    </xf>
    <xf numFmtId="0" fontId="67" fillId="100" borderId="17">
      <alignment vertical="top" shrinkToFit="1"/>
    </xf>
    <xf numFmtId="0" fontId="67" fillId="100" borderId="17">
      <alignment vertical="top" shrinkToFit="1"/>
    </xf>
    <xf numFmtId="4" fontId="67" fillId="100" borderId="17">
      <alignment horizontal="right" vertical="top" shrinkToFit="1"/>
    </xf>
    <xf numFmtId="4" fontId="67" fillId="100" borderId="17">
      <alignment horizontal="right" vertical="top" shrinkToFit="1"/>
    </xf>
    <xf numFmtId="4" fontId="67" fillId="100" borderId="17">
      <alignment horizontal="right" vertical="top" shrinkToFit="1"/>
    </xf>
    <xf numFmtId="4" fontId="67" fillId="100" borderId="17">
      <alignment horizontal="right" vertical="top" shrinkToFit="1"/>
    </xf>
    <xf numFmtId="4" fontId="67" fillId="100" borderId="17">
      <alignment horizontal="right" vertical="top" shrinkToFit="1"/>
    </xf>
    <xf numFmtId="4" fontId="67" fillId="100" borderId="17">
      <alignment horizontal="right" vertical="top" shrinkToFit="1"/>
    </xf>
    <xf numFmtId="4" fontId="67" fillId="100" borderId="17">
      <alignment horizontal="right" vertical="top" shrinkToFit="1"/>
    </xf>
    <xf numFmtId="4" fontId="67" fillId="100" borderId="17">
      <alignment horizontal="right" vertical="top" shrinkToFit="1"/>
    </xf>
    <xf numFmtId="4" fontId="67" fillId="100" borderId="17">
      <alignment horizontal="right" vertical="top" shrinkToFit="1"/>
    </xf>
    <xf numFmtId="4" fontId="67" fillId="100" borderId="17">
      <alignment horizontal="right" vertical="top" shrinkToFit="1"/>
    </xf>
    <xf numFmtId="4" fontId="67" fillId="100" borderId="17">
      <alignment horizontal="right" vertical="top" shrinkToFit="1"/>
    </xf>
    <xf numFmtId="4" fontId="67" fillId="100" borderId="17">
      <alignment horizontal="right" vertical="top" shrinkToFit="1"/>
    </xf>
    <xf numFmtId="4" fontId="67" fillId="100" borderId="17">
      <alignment horizontal="right" vertical="top" shrinkToFit="1"/>
    </xf>
    <xf numFmtId="4" fontId="67" fillId="100" borderId="17">
      <alignment horizontal="right" vertical="top" shrinkToFit="1"/>
    </xf>
    <xf numFmtId="4" fontId="67" fillId="100" borderId="17">
      <alignment horizontal="right" vertical="top" shrinkToFit="1"/>
    </xf>
    <xf numFmtId="4" fontId="67" fillId="100" borderId="17">
      <alignment horizontal="right" vertical="top" shrinkToFit="1"/>
    </xf>
    <xf numFmtId="4" fontId="67" fillId="100" borderId="17">
      <alignment horizontal="right" vertical="top" shrinkToFit="1"/>
    </xf>
    <xf numFmtId="4" fontId="67" fillId="100" borderId="17">
      <alignment horizontal="right" vertical="top" shrinkToFit="1"/>
    </xf>
    <xf numFmtId="4" fontId="67" fillId="100" borderId="17">
      <alignment horizontal="right" vertical="top" shrinkToFit="1"/>
    </xf>
    <xf numFmtId="4" fontId="67" fillId="100" borderId="17">
      <alignment horizontal="right" vertical="top" shrinkToFit="1"/>
    </xf>
    <xf numFmtId="4" fontId="67" fillId="100" borderId="17">
      <alignment horizontal="right" vertical="top" shrinkToFit="1"/>
    </xf>
    <xf numFmtId="4" fontId="67" fillId="100" borderId="17">
      <alignment horizontal="right" vertical="top" shrinkToFit="1"/>
    </xf>
    <xf numFmtId="4" fontId="67" fillId="100" borderId="17">
      <alignment horizontal="right" vertical="top" shrinkToFit="1"/>
    </xf>
    <xf numFmtId="4" fontId="67" fillId="100" borderId="17">
      <alignment horizontal="right" vertical="top" shrinkToFit="1"/>
    </xf>
    <xf numFmtId="4" fontId="67" fillId="100" borderId="17">
      <alignment horizontal="right" vertical="top" shrinkToFit="1"/>
    </xf>
    <xf numFmtId="4" fontId="67" fillId="100" borderId="17">
      <alignment horizontal="right" vertical="top" shrinkToFit="1"/>
    </xf>
    <xf numFmtId="4" fontId="67" fillId="100" borderId="17">
      <alignment horizontal="right" vertical="top" shrinkToFit="1"/>
    </xf>
    <xf numFmtId="4" fontId="67" fillId="100" borderId="17">
      <alignment horizontal="right" vertical="top" shrinkToFit="1"/>
    </xf>
    <xf numFmtId="4" fontId="67" fillId="100" borderId="17">
      <alignment horizontal="right" vertical="top" shrinkToFit="1"/>
    </xf>
    <xf numFmtId="4" fontId="67" fillId="100" borderId="17">
      <alignment horizontal="right" vertical="top" shrinkToFit="1"/>
    </xf>
    <xf numFmtId="4" fontId="67" fillId="100" borderId="17">
      <alignment horizontal="right" vertical="top" shrinkToFit="1"/>
    </xf>
    <xf numFmtId="4" fontId="67" fillId="100" borderId="17">
      <alignment horizontal="right" vertical="top" shrinkToFit="1"/>
    </xf>
    <xf numFmtId="4" fontId="67" fillId="100" borderId="17">
      <alignment horizontal="right" vertical="top" shrinkToFit="1"/>
    </xf>
    <xf numFmtId="4" fontId="67" fillId="100" borderId="17">
      <alignment horizontal="right" vertical="top" shrinkToFit="1"/>
    </xf>
    <xf numFmtId="4" fontId="67" fillId="100" borderId="17">
      <alignment horizontal="right" vertical="top" shrinkToFit="1"/>
    </xf>
    <xf numFmtId="4" fontId="67" fillId="100" borderId="17">
      <alignment horizontal="right" vertical="top" shrinkToFit="1"/>
    </xf>
    <xf numFmtId="4" fontId="67" fillId="100" borderId="17">
      <alignment horizontal="right" vertical="top" shrinkToFit="1"/>
    </xf>
    <xf numFmtId="4" fontId="67" fillId="100" borderId="17">
      <alignment horizontal="right" vertical="top" shrinkToFit="1"/>
    </xf>
    <xf numFmtId="4" fontId="67" fillId="100" borderId="17">
      <alignment horizontal="right" vertical="top" shrinkToFit="1"/>
    </xf>
    <xf numFmtId="4" fontId="67" fillId="100" borderId="17">
      <alignment horizontal="right" vertical="top" shrinkToFit="1"/>
    </xf>
    <xf numFmtId="4" fontId="67" fillId="100" borderId="17">
      <alignment horizontal="right" vertical="top" shrinkToFit="1"/>
    </xf>
    <xf numFmtId="4" fontId="67" fillId="100" borderId="17">
      <alignment horizontal="right" vertical="top" shrinkToFit="1"/>
    </xf>
    <xf numFmtId="4" fontId="67" fillId="100" borderId="17">
      <alignment horizontal="right" vertical="top" shrinkToFit="1"/>
    </xf>
    <xf numFmtId="4" fontId="67" fillId="100" borderId="17">
      <alignment horizontal="right" vertical="top" shrinkToFit="1"/>
    </xf>
    <xf numFmtId="4" fontId="67" fillId="100" borderId="17">
      <alignment horizontal="right" vertical="top" shrinkToFit="1"/>
    </xf>
    <xf numFmtId="4" fontId="67" fillId="100" borderId="17">
      <alignment horizontal="right" vertical="top" shrinkToFit="1"/>
    </xf>
    <xf numFmtId="4" fontId="67" fillId="100" borderId="17">
      <alignment horizontal="right" vertical="top" shrinkToFit="1"/>
    </xf>
    <xf numFmtId="4" fontId="67" fillId="100" borderId="17">
      <alignment horizontal="right" vertical="top" shrinkToFit="1"/>
    </xf>
    <xf numFmtId="4" fontId="67" fillId="100" borderId="17">
      <alignment horizontal="right" vertical="top" shrinkToFit="1"/>
    </xf>
    <xf numFmtId="4" fontId="67" fillId="100" borderId="17">
      <alignment horizontal="right" vertical="top" shrinkToFit="1"/>
    </xf>
    <xf numFmtId="4" fontId="67" fillId="100" borderId="17">
      <alignment horizontal="right" vertical="top" shrinkToFit="1"/>
    </xf>
    <xf numFmtId="4" fontId="67" fillId="100" borderId="17">
      <alignment horizontal="right" vertical="top" shrinkToFit="1"/>
    </xf>
    <xf numFmtId="4" fontId="67" fillId="100" borderId="17">
      <alignment horizontal="right" vertical="top" shrinkToFit="1"/>
    </xf>
    <xf numFmtId="4" fontId="67" fillId="100" borderId="17">
      <alignment horizontal="right" vertical="top" shrinkToFit="1"/>
    </xf>
    <xf numFmtId="4" fontId="67" fillId="100" borderId="17">
      <alignment horizontal="right" vertical="top" shrinkToFit="1"/>
    </xf>
    <xf numFmtId="4" fontId="67" fillId="100" borderId="17">
      <alignment horizontal="right" vertical="top" shrinkToFit="1"/>
    </xf>
    <xf numFmtId="4" fontId="67" fillId="100" borderId="17">
      <alignment horizontal="right" vertical="top" shrinkToFit="1"/>
    </xf>
    <xf numFmtId="4" fontId="67" fillId="100" borderId="17">
      <alignment horizontal="right" vertical="top" shrinkToFit="1"/>
    </xf>
    <xf numFmtId="4" fontId="67" fillId="100" borderId="17">
      <alignment horizontal="right" vertical="top" shrinkToFit="1"/>
    </xf>
    <xf numFmtId="4" fontId="67" fillId="100" borderId="17">
      <alignment horizontal="right" vertical="top" shrinkToFit="1"/>
    </xf>
    <xf numFmtId="4" fontId="67" fillId="100" borderId="17">
      <alignment horizontal="right" vertical="top" shrinkToFit="1"/>
    </xf>
    <xf numFmtId="4" fontId="67" fillId="100" borderId="17">
      <alignment horizontal="right" vertical="top" shrinkToFit="1"/>
    </xf>
    <xf numFmtId="4" fontId="67" fillId="100" borderId="17">
      <alignment horizontal="right" vertical="top" shrinkToFit="1"/>
    </xf>
    <xf numFmtId="4" fontId="67" fillId="100" borderId="17">
      <alignment horizontal="right" vertical="top" shrinkToFit="1"/>
    </xf>
    <xf numFmtId="0" fontId="67" fillId="100" borderId="17">
      <alignment vertical="top" shrinkToFit="1"/>
    </xf>
    <xf numFmtId="0" fontId="67" fillId="100" borderId="17">
      <alignment vertical="top" shrinkToFit="1"/>
    </xf>
    <xf numFmtId="0" fontId="67" fillId="100" borderId="17">
      <alignment vertical="top" shrinkToFit="1"/>
    </xf>
    <xf numFmtId="0" fontId="67" fillId="100" borderId="17">
      <alignment vertical="top" shrinkToFit="1"/>
    </xf>
    <xf numFmtId="0" fontId="67" fillId="100" borderId="17">
      <alignment vertical="top" shrinkToFit="1"/>
    </xf>
    <xf numFmtId="0" fontId="67" fillId="100" borderId="17">
      <alignment vertical="top" shrinkToFit="1"/>
    </xf>
    <xf numFmtId="0" fontId="67" fillId="100" borderId="17">
      <alignment vertical="top" shrinkToFit="1"/>
    </xf>
    <xf numFmtId="0" fontId="67" fillId="100" borderId="17">
      <alignment vertical="top" shrinkToFit="1"/>
    </xf>
    <xf numFmtId="0" fontId="67" fillId="100" borderId="17">
      <alignment vertical="top" shrinkToFit="1"/>
    </xf>
    <xf numFmtId="0" fontId="67" fillId="100" borderId="17">
      <alignment vertical="top" shrinkToFit="1"/>
    </xf>
    <xf numFmtId="0" fontId="67" fillId="100" borderId="17">
      <alignment vertical="top" shrinkToFit="1"/>
    </xf>
    <xf numFmtId="0" fontId="67" fillId="100" borderId="17">
      <alignment vertical="top" shrinkToFit="1"/>
    </xf>
    <xf numFmtId="0" fontId="67" fillId="100" borderId="17">
      <alignment vertical="top" shrinkToFit="1"/>
    </xf>
    <xf numFmtId="0" fontId="67" fillId="100" borderId="17">
      <alignment vertical="top" shrinkToFit="1"/>
    </xf>
    <xf numFmtId="0" fontId="67" fillId="100" borderId="17">
      <alignment vertical="top" shrinkToFit="1"/>
    </xf>
    <xf numFmtId="0" fontId="67" fillId="100" borderId="17">
      <alignment vertical="top" shrinkToFit="1"/>
    </xf>
    <xf numFmtId="0" fontId="67" fillId="100" borderId="17">
      <alignment vertical="top" shrinkToFit="1"/>
    </xf>
    <xf numFmtId="0" fontId="67" fillId="100" borderId="17">
      <alignment vertical="top" shrinkToFit="1"/>
    </xf>
    <xf numFmtId="0" fontId="67" fillId="100" borderId="17">
      <alignment vertical="top" shrinkToFit="1"/>
    </xf>
    <xf numFmtId="0" fontId="67" fillId="100" borderId="17">
      <alignment vertical="top" shrinkToFit="1"/>
    </xf>
    <xf numFmtId="0" fontId="67" fillId="100" borderId="17">
      <alignment vertical="top" shrinkToFit="1"/>
    </xf>
    <xf numFmtId="0" fontId="67" fillId="100" borderId="17">
      <alignment vertical="top" shrinkToFit="1"/>
    </xf>
    <xf numFmtId="0" fontId="67" fillId="100" borderId="17">
      <alignment vertical="top" shrinkToFit="1"/>
    </xf>
    <xf numFmtId="0" fontId="67" fillId="100" borderId="17">
      <alignment vertical="top" shrinkToFit="1"/>
    </xf>
    <xf numFmtId="0" fontId="67" fillId="100" borderId="17">
      <alignment vertical="top" shrinkToFit="1"/>
    </xf>
    <xf numFmtId="0" fontId="67" fillId="100" borderId="17">
      <alignment vertical="top" shrinkToFit="1"/>
    </xf>
    <xf numFmtId="0" fontId="67" fillId="100" borderId="17">
      <alignment vertical="top" shrinkToFit="1"/>
    </xf>
    <xf numFmtId="0" fontId="67" fillId="100" borderId="17">
      <alignment vertical="top" shrinkToFit="1"/>
    </xf>
    <xf numFmtId="0" fontId="67" fillId="100" borderId="17">
      <alignment vertical="top" shrinkToFit="1"/>
    </xf>
    <xf numFmtId="0" fontId="67" fillId="100" borderId="17">
      <alignment vertical="top" shrinkToFit="1"/>
    </xf>
    <xf numFmtId="0" fontId="67" fillId="100" borderId="17">
      <alignment vertical="top" shrinkToFit="1"/>
    </xf>
    <xf numFmtId="0" fontId="67" fillId="100" borderId="17">
      <alignment vertical="top" shrinkToFit="1"/>
    </xf>
    <xf numFmtId="0" fontId="67" fillId="100" borderId="17">
      <alignment vertical="top" shrinkToFit="1"/>
    </xf>
    <xf numFmtId="0" fontId="67" fillId="100" borderId="17">
      <alignment vertical="top" shrinkToFit="1"/>
    </xf>
    <xf numFmtId="0" fontId="67" fillId="100" borderId="17">
      <alignment vertical="top" shrinkToFit="1"/>
    </xf>
    <xf numFmtId="0" fontId="67" fillId="100" borderId="17">
      <alignment vertical="top" shrinkToFit="1"/>
    </xf>
    <xf numFmtId="0" fontId="67" fillId="100" borderId="17">
      <alignment vertical="top" shrinkToFit="1"/>
    </xf>
    <xf numFmtId="0" fontId="67" fillId="100" borderId="17">
      <alignment vertical="top" shrinkToFit="1"/>
    </xf>
    <xf numFmtId="0" fontId="67" fillId="100" borderId="17">
      <alignment vertical="top" shrinkToFit="1"/>
    </xf>
    <xf numFmtId="0" fontId="67" fillId="100" borderId="17">
      <alignment vertical="top" shrinkToFit="1"/>
    </xf>
    <xf numFmtId="0" fontId="67" fillId="100" borderId="17">
      <alignment vertical="top" shrinkToFit="1"/>
    </xf>
    <xf numFmtId="0" fontId="67" fillId="100" borderId="17">
      <alignment vertical="top" shrinkToFit="1"/>
    </xf>
    <xf numFmtId="0" fontId="67" fillId="100" borderId="17">
      <alignment vertical="top" shrinkToFit="1"/>
    </xf>
    <xf numFmtId="0" fontId="67" fillId="100" borderId="17">
      <alignment vertical="top" shrinkToFit="1"/>
    </xf>
    <xf numFmtId="0" fontId="67" fillId="100" borderId="17">
      <alignment vertical="top" shrinkToFit="1"/>
    </xf>
    <xf numFmtId="0" fontId="67" fillId="100" borderId="17">
      <alignment vertical="top" shrinkToFit="1"/>
    </xf>
    <xf numFmtId="0" fontId="67" fillId="100" borderId="17">
      <alignment vertical="top" shrinkToFit="1"/>
    </xf>
    <xf numFmtId="0" fontId="67" fillId="100" borderId="17">
      <alignment vertical="top" shrinkToFit="1"/>
    </xf>
    <xf numFmtId="0" fontId="67" fillId="100" borderId="17">
      <alignment vertical="top" shrinkToFit="1"/>
    </xf>
    <xf numFmtId="0" fontId="67" fillId="100" borderId="17">
      <alignment vertical="top" shrinkToFit="1"/>
    </xf>
    <xf numFmtId="0" fontId="67" fillId="100" borderId="17">
      <alignment vertical="top" shrinkToFit="1"/>
    </xf>
    <xf numFmtId="0" fontId="67" fillId="100" borderId="17">
      <alignment vertical="top" shrinkToFit="1"/>
    </xf>
    <xf numFmtId="0" fontId="67" fillId="100" borderId="17">
      <alignment vertical="top" shrinkToFit="1"/>
    </xf>
    <xf numFmtId="0" fontId="67" fillId="100" borderId="17">
      <alignment vertical="top" shrinkToFit="1"/>
    </xf>
    <xf numFmtId="0" fontId="67" fillId="100" borderId="17">
      <alignment vertical="top" shrinkToFit="1"/>
    </xf>
    <xf numFmtId="0" fontId="67" fillId="100" borderId="17">
      <alignment vertical="top" shrinkToFit="1"/>
    </xf>
    <xf numFmtId="0" fontId="68" fillId="102" borderId="18">
      <alignment horizontal="left" vertical="top" wrapText="1"/>
    </xf>
    <xf numFmtId="0" fontId="68" fillId="102" borderId="18">
      <alignment horizontal="left" vertical="top" wrapText="1"/>
    </xf>
    <xf numFmtId="0" fontId="68" fillId="102" borderId="18">
      <alignment horizontal="left" vertical="top" wrapText="1"/>
    </xf>
    <xf numFmtId="0" fontId="68" fillId="102" borderId="18">
      <alignment horizontal="left" vertical="top" wrapText="1"/>
    </xf>
    <xf numFmtId="0" fontId="68" fillId="102" borderId="18">
      <alignment horizontal="left" vertical="top" wrapText="1"/>
    </xf>
    <xf numFmtId="0" fontId="68" fillId="102" borderId="18">
      <alignment horizontal="left" vertical="top" wrapText="1"/>
    </xf>
    <xf numFmtId="0" fontId="68" fillId="102" borderId="18">
      <alignment horizontal="left" vertical="top" wrapText="1"/>
    </xf>
    <xf numFmtId="0" fontId="68" fillId="102" borderId="18">
      <alignment horizontal="left" vertical="top" wrapText="1"/>
    </xf>
    <xf numFmtId="49" fontId="68" fillId="102" borderId="18">
      <alignment horizontal="center" vertical="top" shrinkToFit="1"/>
    </xf>
    <xf numFmtId="49" fontId="68" fillId="102" borderId="18">
      <alignment horizontal="center" vertical="top" shrinkToFit="1"/>
    </xf>
    <xf numFmtId="49" fontId="68" fillId="102" borderId="18">
      <alignment horizontal="center" vertical="top" shrinkToFit="1"/>
    </xf>
    <xf numFmtId="49" fontId="68" fillId="102" borderId="18">
      <alignment horizontal="center" vertical="top" shrinkToFit="1"/>
    </xf>
    <xf numFmtId="49" fontId="68" fillId="102" borderId="18">
      <alignment horizontal="center" vertical="top" shrinkToFit="1"/>
    </xf>
    <xf numFmtId="49" fontId="68" fillId="102" borderId="18">
      <alignment horizontal="center" vertical="top" shrinkToFit="1"/>
    </xf>
    <xf numFmtId="49" fontId="68" fillId="102" borderId="18">
      <alignment horizontal="center" vertical="top" shrinkToFit="1"/>
    </xf>
    <xf numFmtId="49" fontId="68" fillId="102" borderId="18">
      <alignment horizontal="center" vertical="top" shrinkToFit="1"/>
    </xf>
    <xf numFmtId="0" fontId="68" fillId="102" borderId="18">
      <alignment horizontal="left" vertical="top" wrapText="1"/>
    </xf>
    <xf numFmtId="0" fontId="68" fillId="102" borderId="18">
      <alignment horizontal="left" vertical="top" wrapText="1"/>
    </xf>
    <xf numFmtId="0" fontId="68" fillId="102" borderId="18">
      <alignment horizontal="left" vertical="top" wrapText="1"/>
    </xf>
    <xf numFmtId="0" fontId="68" fillId="102" borderId="18">
      <alignment horizontal="left" vertical="top" wrapText="1"/>
    </xf>
    <xf numFmtId="0" fontId="68" fillId="102" borderId="18">
      <alignment horizontal="left" vertical="top" wrapText="1"/>
    </xf>
    <xf numFmtId="0" fontId="68" fillId="102" borderId="18">
      <alignment horizontal="left" vertical="top" wrapText="1"/>
    </xf>
    <xf numFmtId="0" fontId="68" fillId="102" borderId="18">
      <alignment horizontal="left" vertical="top" wrapText="1"/>
    </xf>
    <xf numFmtId="0" fontId="68" fillId="102" borderId="18">
      <alignment horizontal="left" vertical="top" wrapText="1"/>
    </xf>
    <xf numFmtId="49" fontId="68" fillId="102" borderId="18">
      <alignment horizontal="center" vertical="top" shrinkToFit="1"/>
    </xf>
    <xf numFmtId="49" fontId="68" fillId="102" borderId="18">
      <alignment horizontal="center" vertical="top" shrinkToFit="1"/>
    </xf>
    <xf numFmtId="49" fontId="68" fillId="102" borderId="18">
      <alignment horizontal="center" vertical="top" shrinkToFit="1"/>
    </xf>
    <xf numFmtId="49" fontId="68" fillId="102" borderId="18">
      <alignment horizontal="center" vertical="top" shrinkToFit="1"/>
    </xf>
    <xf numFmtId="49" fontId="68" fillId="102" borderId="18">
      <alignment horizontal="center" vertical="top" shrinkToFit="1"/>
    </xf>
    <xf numFmtId="49" fontId="68" fillId="102" borderId="18">
      <alignment horizontal="center" vertical="top" shrinkToFit="1"/>
    </xf>
    <xf numFmtId="49" fontId="68" fillId="102" borderId="18">
      <alignment horizontal="center" vertical="top" shrinkToFit="1"/>
    </xf>
    <xf numFmtId="49" fontId="68" fillId="102" borderId="18">
      <alignment horizontal="center" vertical="top" shrinkToFit="1"/>
    </xf>
    <xf numFmtId="49" fontId="68" fillId="102" borderId="18">
      <alignment horizontal="center" vertical="top" shrinkToFit="1"/>
    </xf>
    <xf numFmtId="49" fontId="68" fillId="102" borderId="18">
      <alignment horizontal="center" vertical="top" shrinkToFit="1"/>
    </xf>
    <xf numFmtId="49" fontId="68" fillId="102" borderId="18">
      <alignment horizontal="center" vertical="top" shrinkToFit="1"/>
    </xf>
    <xf numFmtId="49" fontId="68" fillId="102" borderId="18">
      <alignment horizontal="center" vertical="top" shrinkToFit="1"/>
    </xf>
    <xf numFmtId="49" fontId="68" fillId="102" borderId="18">
      <alignment horizontal="center" vertical="top" shrinkToFit="1"/>
    </xf>
    <xf numFmtId="49" fontId="68" fillId="102" borderId="18">
      <alignment horizontal="center" vertical="top" shrinkToFit="1"/>
    </xf>
    <xf numFmtId="49" fontId="68" fillId="102" borderId="18">
      <alignment horizontal="center" vertical="top" shrinkToFit="1"/>
    </xf>
    <xf numFmtId="49" fontId="68" fillId="102" borderId="18">
      <alignment horizontal="center" vertical="top" shrinkToFit="1"/>
    </xf>
    <xf numFmtId="49" fontId="68" fillId="102" borderId="18">
      <alignment horizontal="center" vertical="top" shrinkToFit="1"/>
    </xf>
    <xf numFmtId="49" fontId="68" fillId="102" borderId="18">
      <alignment horizontal="center" vertical="top" shrinkToFit="1"/>
    </xf>
    <xf numFmtId="49" fontId="68" fillId="102" borderId="18">
      <alignment horizontal="center" vertical="top" shrinkToFit="1"/>
    </xf>
    <xf numFmtId="49" fontId="68" fillId="102" borderId="18">
      <alignment horizontal="center" vertical="top" shrinkToFit="1"/>
    </xf>
    <xf numFmtId="49" fontId="68" fillId="102" borderId="18">
      <alignment horizontal="center" vertical="top" shrinkToFit="1"/>
    </xf>
    <xf numFmtId="49" fontId="68" fillId="102" borderId="18">
      <alignment horizontal="center" vertical="top" shrinkToFit="1"/>
    </xf>
    <xf numFmtId="49" fontId="68" fillId="102" borderId="18">
      <alignment horizontal="center" vertical="top" shrinkToFit="1"/>
    </xf>
    <xf numFmtId="49" fontId="68" fillId="102" borderId="18">
      <alignment horizontal="center" vertical="top" shrinkToFit="1"/>
    </xf>
    <xf numFmtId="49" fontId="68" fillId="102" borderId="18">
      <alignment horizontal="center" vertical="top" shrinkToFit="1"/>
    </xf>
    <xf numFmtId="49" fontId="68" fillId="102" borderId="18">
      <alignment horizontal="center" vertical="top" shrinkToFit="1"/>
    </xf>
    <xf numFmtId="49" fontId="68" fillId="102" borderId="18">
      <alignment horizontal="center" vertical="top" shrinkToFit="1"/>
    </xf>
    <xf numFmtId="49" fontId="68" fillId="102" borderId="18">
      <alignment horizontal="center" vertical="top" shrinkToFit="1"/>
    </xf>
    <xf numFmtId="49" fontId="68" fillId="102" borderId="18">
      <alignment horizontal="center" vertical="top" shrinkToFit="1"/>
    </xf>
    <xf numFmtId="49" fontId="68" fillId="102" borderId="18">
      <alignment horizontal="center" vertical="top" shrinkToFit="1"/>
    </xf>
    <xf numFmtId="49" fontId="68" fillId="102" borderId="18">
      <alignment horizontal="center" vertical="top" shrinkToFit="1"/>
    </xf>
    <xf numFmtId="49" fontId="68" fillId="102" borderId="18">
      <alignment horizontal="center" vertical="top" shrinkToFit="1"/>
    </xf>
    <xf numFmtId="49" fontId="68" fillId="102" borderId="18">
      <alignment horizontal="center" vertical="top" shrinkToFit="1"/>
    </xf>
    <xf numFmtId="49" fontId="68" fillId="102" borderId="18">
      <alignment horizontal="center" vertical="top" shrinkToFit="1"/>
    </xf>
    <xf numFmtId="49" fontId="68" fillId="102" borderId="18">
      <alignment horizontal="center" vertical="top" shrinkToFit="1"/>
    </xf>
    <xf numFmtId="49" fontId="68" fillId="102" borderId="18">
      <alignment horizontal="center" vertical="top" shrinkToFit="1"/>
    </xf>
    <xf numFmtId="49" fontId="68" fillId="102" borderId="18">
      <alignment horizontal="center" vertical="top" shrinkToFit="1"/>
    </xf>
    <xf numFmtId="49" fontId="68" fillId="102" borderId="18">
      <alignment horizontal="center" vertical="top" shrinkToFit="1"/>
    </xf>
    <xf numFmtId="49" fontId="68" fillId="102" borderId="18">
      <alignment horizontal="center" vertical="top" shrinkToFit="1"/>
    </xf>
    <xf numFmtId="49" fontId="68" fillId="102" borderId="18">
      <alignment horizontal="center" vertical="top" shrinkToFit="1"/>
    </xf>
    <xf numFmtId="49" fontId="68" fillId="102" borderId="18">
      <alignment horizontal="center" vertical="top" shrinkToFit="1"/>
    </xf>
    <xf numFmtId="49" fontId="68" fillId="102" borderId="18">
      <alignment horizontal="center" vertical="top" shrinkToFit="1"/>
    </xf>
    <xf numFmtId="49" fontId="68" fillId="102" borderId="18">
      <alignment horizontal="center" vertical="top" shrinkToFit="1"/>
    </xf>
    <xf numFmtId="49" fontId="68" fillId="102" borderId="18">
      <alignment horizontal="center" vertical="top" shrinkToFit="1"/>
    </xf>
    <xf numFmtId="49" fontId="68" fillId="102" borderId="18">
      <alignment horizontal="center" vertical="top" shrinkToFit="1"/>
    </xf>
    <xf numFmtId="49" fontId="68" fillId="102" borderId="18">
      <alignment horizontal="center" vertical="top" shrinkToFit="1"/>
    </xf>
    <xf numFmtId="49" fontId="68" fillId="102" borderId="18">
      <alignment horizontal="center" vertical="top" shrinkToFit="1"/>
    </xf>
    <xf numFmtId="49" fontId="68" fillId="102" borderId="18">
      <alignment horizontal="center" vertical="top" shrinkToFit="1"/>
    </xf>
    <xf numFmtId="49" fontId="68" fillId="102" borderId="18">
      <alignment horizontal="center" vertical="top" shrinkToFit="1"/>
    </xf>
    <xf numFmtId="49" fontId="68" fillId="102" borderId="18">
      <alignment horizontal="center" vertical="top" shrinkToFit="1"/>
    </xf>
    <xf numFmtId="49" fontId="68" fillId="102" borderId="18">
      <alignment horizontal="center" vertical="top" shrinkToFit="1"/>
    </xf>
    <xf numFmtId="49" fontId="68" fillId="102" borderId="18">
      <alignment horizontal="center" vertical="top" shrinkToFit="1"/>
    </xf>
    <xf numFmtId="49" fontId="68" fillId="102" borderId="18">
      <alignment horizontal="center" vertical="top" shrinkToFit="1"/>
    </xf>
    <xf numFmtId="49" fontId="68" fillId="102" borderId="18">
      <alignment horizontal="center" vertical="top" shrinkToFit="1"/>
    </xf>
    <xf numFmtId="49" fontId="68" fillId="102" borderId="18">
      <alignment horizontal="center" vertical="top" shrinkToFit="1"/>
    </xf>
    <xf numFmtId="49" fontId="68" fillId="102" borderId="18">
      <alignment horizontal="center" vertical="top" shrinkToFit="1"/>
    </xf>
    <xf numFmtId="49" fontId="68" fillId="102" borderId="18">
      <alignment horizontal="center" vertical="top" shrinkToFit="1"/>
    </xf>
    <xf numFmtId="49" fontId="68" fillId="102" borderId="18">
      <alignment horizontal="center" vertical="top" shrinkToFit="1"/>
    </xf>
    <xf numFmtId="49" fontId="68" fillId="102" borderId="18">
      <alignment horizontal="center" vertical="top" shrinkToFit="1"/>
    </xf>
    <xf numFmtId="49" fontId="68" fillId="102" borderId="18">
      <alignment horizontal="center" vertical="top" shrinkToFit="1"/>
    </xf>
    <xf numFmtId="49" fontId="68" fillId="102" borderId="18">
      <alignment horizontal="center" vertical="top" shrinkToFit="1"/>
    </xf>
    <xf numFmtId="49" fontId="68" fillId="102" borderId="18">
      <alignment horizontal="center" vertical="top" shrinkToFit="1"/>
    </xf>
    <xf numFmtId="49" fontId="68" fillId="102" borderId="18">
      <alignment horizontal="center" vertical="top" shrinkToFit="1"/>
    </xf>
    <xf numFmtId="49" fontId="68" fillId="102" borderId="18">
      <alignment horizontal="center" vertical="top" shrinkToFit="1"/>
    </xf>
    <xf numFmtId="0" fontId="68" fillId="102" borderId="18">
      <alignment horizontal="left" vertical="top" wrapText="1"/>
    </xf>
    <xf numFmtId="0" fontId="68" fillId="102" borderId="18">
      <alignment horizontal="left" vertical="top" wrapText="1"/>
    </xf>
    <xf numFmtId="0" fontId="68" fillId="102" borderId="18">
      <alignment horizontal="left" vertical="top" wrapText="1"/>
    </xf>
    <xf numFmtId="0" fontId="68" fillId="102" borderId="18">
      <alignment horizontal="left" vertical="top" wrapText="1"/>
    </xf>
    <xf numFmtId="0" fontId="68" fillId="102" borderId="18">
      <alignment horizontal="left" vertical="top" wrapText="1"/>
    </xf>
    <xf numFmtId="0" fontId="68" fillId="102" borderId="18">
      <alignment horizontal="left" vertical="top" wrapText="1"/>
    </xf>
    <xf numFmtId="0" fontId="68" fillId="102" borderId="18">
      <alignment horizontal="left" vertical="top" wrapText="1"/>
    </xf>
    <xf numFmtId="0" fontId="68" fillId="102" borderId="18">
      <alignment horizontal="left" vertical="top" wrapText="1"/>
    </xf>
    <xf numFmtId="0" fontId="68" fillId="102" borderId="18">
      <alignment horizontal="left" vertical="top" wrapText="1"/>
    </xf>
    <xf numFmtId="0" fontId="68" fillId="102" borderId="18">
      <alignment horizontal="left" vertical="top" wrapText="1"/>
    </xf>
    <xf numFmtId="0" fontId="68" fillId="102" borderId="18">
      <alignment horizontal="left" vertical="top" wrapText="1"/>
    </xf>
    <xf numFmtId="0" fontId="68" fillId="102" borderId="18">
      <alignment horizontal="left" vertical="top" wrapText="1"/>
    </xf>
    <xf numFmtId="0" fontId="68" fillId="102" borderId="18">
      <alignment horizontal="left" vertical="top" wrapText="1"/>
    </xf>
    <xf numFmtId="0" fontId="68" fillId="102" borderId="18">
      <alignment horizontal="left" vertical="top" wrapText="1"/>
    </xf>
    <xf numFmtId="0" fontId="68" fillId="102" borderId="18">
      <alignment horizontal="left" vertical="top" wrapText="1"/>
    </xf>
    <xf numFmtId="0" fontId="68" fillId="102" borderId="18">
      <alignment horizontal="left" vertical="top" wrapText="1"/>
    </xf>
    <xf numFmtId="0" fontId="68" fillId="102" borderId="18">
      <alignment horizontal="left" vertical="top" wrapText="1"/>
    </xf>
    <xf numFmtId="0" fontId="68" fillId="102" borderId="18">
      <alignment horizontal="left" vertical="top" wrapText="1"/>
    </xf>
    <xf numFmtId="0" fontId="68" fillId="102" borderId="18">
      <alignment horizontal="left" vertical="top" wrapText="1"/>
    </xf>
    <xf numFmtId="0" fontId="68" fillId="102" borderId="18">
      <alignment horizontal="left" vertical="top" wrapText="1"/>
    </xf>
    <xf numFmtId="0" fontId="68" fillId="102" borderId="18">
      <alignment horizontal="left" vertical="top" wrapText="1"/>
    </xf>
    <xf numFmtId="0" fontId="68" fillId="102" borderId="18">
      <alignment horizontal="left" vertical="top" wrapText="1"/>
    </xf>
    <xf numFmtId="0" fontId="68" fillId="102" borderId="18">
      <alignment horizontal="left" vertical="top" wrapText="1"/>
    </xf>
    <xf numFmtId="0" fontId="68" fillId="102" borderId="18">
      <alignment horizontal="left" vertical="top" wrapText="1"/>
    </xf>
    <xf numFmtId="0" fontId="68" fillId="102" borderId="18">
      <alignment horizontal="left" vertical="top" wrapText="1"/>
    </xf>
    <xf numFmtId="0" fontId="68" fillId="102" borderId="18">
      <alignment horizontal="left" vertical="top" wrapText="1"/>
    </xf>
    <xf numFmtId="0" fontId="68" fillId="102" borderId="18">
      <alignment horizontal="left" vertical="top" wrapText="1"/>
    </xf>
    <xf numFmtId="0" fontId="68" fillId="102" borderId="18">
      <alignment horizontal="left" vertical="top" wrapText="1"/>
    </xf>
    <xf numFmtId="0" fontId="68" fillId="102" borderId="18">
      <alignment horizontal="left" vertical="top" wrapText="1"/>
    </xf>
    <xf numFmtId="0" fontId="68" fillId="102" borderId="18">
      <alignment horizontal="left" vertical="top" wrapText="1"/>
    </xf>
    <xf numFmtId="0" fontId="68" fillId="102" borderId="18">
      <alignment horizontal="left" vertical="top" wrapText="1"/>
    </xf>
    <xf numFmtId="0" fontId="68" fillId="102" borderId="18">
      <alignment horizontal="left" vertical="top" wrapText="1"/>
    </xf>
    <xf numFmtId="0" fontId="68" fillId="102" borderId="18">
      <alignment horizontal="left" vertical="top" wrapText="1"/>
    </xf>
    <xf numFmtId="0" fontId="68" fillId="102" borderId="18">
      <alignment horizontal="left" vertical="top" wrapText="1"/>
    </xf>
    <xf numFmtId="0" fontId="68" fillId="102" borderId="18">
      <alignment horizontal="left" vertical="top" wrapText="1"/>
    </xf>
    <xf numFmtId="0" fontId="68" fillId="102" borderId="18">
      <alignment horizontal="left" vertical="top" wrapText="1"/>
    </xf>
    <xf numFmtId="0" fontId="68" fillId="102" borderId="18">
      <alignment horizontal="left" vertical="top" wrapText="1"/>
    </xf>
    <xf numFmtId="0" fontId="68" fillId="102" borderId="18">
      <alignment horizontal="left" vertical="top" wrapText="1"/>
    </xf>
    <xf numFmtId="0" fontId="68" fillId="102" borderId="18">
      <alignment horizontal="left" vertical="top" wrapText="1"/>
    </xf>
    <xf numFmtId="0" fontId="68" fillId="102" borderId="18">
      <alignment horizontal="left" vertical="top" wrapText="1"/>
    </xf>
    <xf numFmtId="0" fontId="68" fillId="102" borderId="18">
      <alignment horizontal="left" vertical="top" wrapText="1"/>
    </xf>
    <xf numFmtId="0" fontId="68" fillId="102" borderId="18">
      <alignment horizontal="left" vertical="top" wrapText="1"/>
    </xf>
    <xf numFmtId="0" fontId="68" fillId="102" borderId="18">
      <alignment horizontal="left" vertical="top" wrapText="1"/>
    </xf>
    <xf numFmtId="0" fontId="68" fillId="102" borderId="18">
      <alignment horizontal="left" vertical="top" wrapText="1"/>
    </xf>
    <xf numFmtId="0" fontId="68" fillId="102" borderId="18">
      <alignment horizontal="left" vertical="top" wrapText="1"/>
    </xf>
    <xf numFmtId="0" fontId="68" fillId="102" borderId="18">
      <alignment horizontal="left" vertical="top" wrapText="1"/>
    </xf>
    <xf numFmtId="0" fontId="68" fillId="102" borderId="18">
      <alignment horizontal="left" vertical="top" wrapText="1"/>
    </xf>
    <xf numFmtId="0" fontId="68" fillId="102" borderId="18">
      <alignment horizontal="left" vertical="top" wrapText="1"/>
    </xf>
    <xf numFmtId="0" fontId="68" fillId="102" borderId="18">
      <alignment horizontal="left" vertical="top" wrapText="1"/>
    </xf>
    <xf numFmtId="0" fontId="68" fillId="102" borderId="18">
      <alignment horizontal="left" vertical="top" wrapText="1"/>
    </xf>
    <xf numFmtId="0" fontId="68" fillId="102" borderId="18">
      <alignment horizontal="left" vertical="top" wrapText="1"/>
    </xf>
    <xf numFmtId="0" fontId="68" fillId="102" borderId="18">
      <alignment horizontal="left" vertical="top" wrapText="1"/>
    </xf>
    <xf numFmtId="0" fontId="68" fillId="102" borderId="18">
      <alignment horizontal="left" vertical="top" wrapText="1"/>
    </xf>
    <xf numFmtId="0" fontId="68" fillId="102" borderId="18">
      <alignment horizontal="left" vertical="top" wrapText="1"/>
    </xf>
    <xf numFmtId="0" fontId="68" fillId="102" borderId="18">
      <alignment horizontal="left" vertical="top" wrapText="1"/>
    </xf>
    <xf numFmtId="0" fontId="68" fillId="102" borderId="18">
      <alignment horizontal="left" vertical="top" wrapText="1"/>
    </xf>
    <xf numFmtId="49" fontId="68" fillId="102" borderId="19">
      <alignment horizontal="center" vertical="top" shrinkToFit="1"/>
    </xf>
    <xf numFmtId="49" fontId="68" fillId="102" borderId="19">
      <alignment horizontal="center" vertical="top" shrinkToFit="1"/>
    </xf>
    <xf numFmtId="49" fontId="68" fillId="102" borderId="19">
      <alignment horizontal="center" vertical="top" shrinkToFit="1"/>
    </xf>
    <xf numFmtId="49" fontId="68" fillId="102" borderId="19">
      <alignment horizontal="center" vertical="top" shrinkToFit="1"/>
    </xf>
    <xf numFmtId="49" fontId="68" fillId="102" borderId="19">
      <alignment horizontal="center" vertical="top" shrinkToFit="1"/>
    </xf>
    <xf numFmtId="49" fontId="68" fillId="102" borderId="19">
      <alignment horizontal="center" vertical="top" shrinkToFit="1"/>
    </xf>
    <xf numFmtId="49" fontId="68" fillId="102" borderId="19">
      <alignment horizontal="center" vertical="top" shrinkToFit="1"/>
    </xf>
    <xf numFmtId="49" fontId="68" fillId="102" borderId="19">
      <alignment horizontal="center" vertical="top" shrinkToFit="1"/>
    </xf>
    <xf numFmtId="0" fontId="14" fillId="0" borderId="22">
      <alignment horizontal="left" vertical="top" wrapText="1"/>
    </xf>
    <xf numFmtId="0" fontId="14" fillId="0" borderId="22">
      <alignment horizontal="left" vertical="top" wrapText="1"/>
    </xf>
    <xf numFmtId="0" fontId="14" fillId="0" borderId="22">
      <alignment horizontal="left" vertical="top" wrapText="1"/>
    </xf>
    <xf numFmtId="0" fontId="14" fillId="0" borderId="22">
      <alignment horizontal="left" vertical="top" wrapText="1"/>
    </xf>
    <xf numFmtId="0" fontId="14" fillId="0" borderId="22">
      <alignment horizontal="left" vertical="top" wrapText="1"/>
    </xf>
    <xf numFmtId="0" fontId="14" fillId="0" borderId="22">
      <alignment horizontal="left" vertical="top" wrapText="1"/>
    </xf>
    <xf numFmtId="0" fontId="14" fillId="0" borderId="22">
      <alignment horizontal="left" vertical="top" wrapText="1"/>
    </xf>
    <xf numFmtId="0" fontId="14" fillId="0" borderId="22">
      <alignment horizontal="left" vertical="top" wrapText="1"/>
    </xf>
    <xf numFmtId="0" fontId="14" fillId="0" borderId="22">
      <alignment horizontal="left" vertical="top" wrapText="1"/>
    </xf>
    <xf numFmtId="0" fontId="14" fillId="0" borderId="22">
      <alignment horizontal="left" vertical="top" wrapText="1"/>
    </xf>
    <xf numFmtId="0" fontId="14" fillId="0" borderId="22">
      <alignment horizontal="left" vertical="top" wrapText="1"/>
    </xf>
    <xf numFmtId="0" fontId="14" fillId="0" borderId="22">
      <alignment horizontal="left" vertical="top" wrapText="1"/>
    </xf>
    <xf numFmtId="0" fontId="14" fillId="0" borderId="22">
      <alignment horizontal="left" vertical="top" wrapText="1"/>
    </xf>
    <xf numFmtId="0" fontId="14" fillId="0" borderId="22">
      <alignment horizontal="left" vertical="top" wrapText="1"/>
    </xf>
    <xf numFmtId="0" fontId="14" fillId="0" borderId="22">
      <alignment horizontal="left" vertical="top" wrapText="1"/>
    </xf>
    <xf numFmtId="0" fontId="14" fillId="0" borderId="22">
      <alignment horizontal="left" vertical="top" wrapText="1"/>
    </xf>
    <xf numFmtId="0" fontId="14" fillId="0" borderId="22">
      <alignment horizontal="left" vertical="top" wrapText="1"/>
    </xf>
    <xf numFmtId="0" fontId="14" fillId="0" borderId="22">
      <alignment horizontal="left" vertical="top" wrapText="1"/>
    </xf>
    <xf numFmtId="0" fontId="14" fillId="0" borderId="22">
      <alignment horizontal="left" vertical="top" wrapText="1"/>
    </xf>
    <xf numFmtId="0" fontId="14" fillId="0" borderId="22">
      <alignment horizontal="left" vertical="top" wrapText="1"/>
    </xf>
    <xf numFmtId="0" fontId="14" fillId="0" borderId="22">
      <alignment horizontal="left" vertical="top" wrapText="1"/>
    </xf>
    <xf numFmtId="0" fontId="14" fillId="0" borderId="22">
      <alignment horizontal="left" vertical="top" wrapText="1"/>
    </xf>
    <xf numFmtId="0" fontId="14" fillId="0" borderId="22">
      <alignment horizontal="left" vertical="top" wrapText="1"/>
    </xf>
    <xf numFmtId="0" fontId="14" fillId="0" borderId="22">
      <alignment horizontal="left" vertical="top" wrapText="1"/>
    </xf>
    <xf numFmtId="0" fontId="14" fillId="0" borderId="22">
      <alignment horizontal="left" vertical="top" wrapText="1"/>
    </xf>
    <xf numFmtId="0" fontId="14" fillId="0" borderId="22">
      <alignment horizontal="left" vertical="top" wrapText="1"/>
    </xf>
    <xf numFmtId="0" fontId="14" fillId="0" borderId="22">
      <alignment horizontal="left" vertical="top" wrapText="1"/>
    </xf>
    <xf numFmtId="0" fontId="14" fillId="0" borderId="22">
      <alignment horizontal="left" vertical="top" wrapText="1"/>
    </xf>
    <xf numFmtId="0" fontId="14" fillId="0" borderId="22">
      <alignment horizontal="left" vertical="top" wrapText="1"/>
    </xf>
    <xf numFmtId="0" fontId="14" fillId="0" borderId="22">
      <alignment horizontal="left" vertical="top" wrapText="1"/>
    </xf>
    <xf numFmtId="0" fontId="14" fillId="0" borderId="22">
      <alignment horizontal="left" vertical="top" wrapText="1"/>
    </xf>
    <xf numFmtId="0" fontId="14" fillId="0" borderId="22">
      <alignment horizontal="left" vertical="top" wrapText="1"/>
    </xf>
    <xf numFmtId="0" fontId="14" fillId="0" borderId="22">
      <alignment horizontal="left" vertical="top" wrapText="1"/>
    </xf>
    <xf numFmtId="0" fontId="14" fillId="0" borderId="22">
      <alignment horizontal="left" vertical="top" wrapText="1"/>
    </xf>
    <xf numFmtId="0" fontId="14" fillId="0" borderId="22">
      <alignment horizontal="left" vertical="top" wrapText="1"/>
    </xf>
    <xf numFmtId="0" fontId="14" fillId="0" borderId="22">
      <alignment horizontal="left" vertical="top" wrapText="1"/>
    </xf>
    <xf numFmtId="0" fontId="14" fillId="0" borderId="22">
      <alignment horizontal="left" vertical="top" wrapText="1"/>
    </xf>
    <xf numFmtId="0" fontId="14" fillId="0" borderId="22">
      <alignment horizontal="left" vertical="top" wrapText="1"/>
    </xf>
    <xf numFmtId="0" fontId="14" fillId="0" borderId="22">
      <alignment horizontal="left" vertical="top" wrapText="1"/>
    </xf>
    <xf numFmtId="0" fontId="14" fillId="0" borderId="22">
      <alignment horizontal="left" vertical="top" wrapText="1"/>
    </xf>
    <xf numFmtId="0" fontId="14" fillId="0" borderId="22">
      <alignment horizontal="left" vertical="top" wrapText="1"/>
    </xf>
    <xf numFmtId="0" fontId="14" fillId="0" borderId="22">
      <alignment horizontal="left" vertical="top" wrapText="1"/>
    </xf>
    <xf numFmtId="0" fontId="14" fillId="0" borderId="22">
      <alignment horizontal="left" vertical="top" wrapText="1"/>
    </xf>
    <xf numFmtId="0" fontId="14" fillId="0" borderId="22">
      <alignment horizontal="left" vertical="top" wrapText="1"/>
    </xf>
    <xf numFmtId="0" fontId="14" fillId="0" borderId="22">
      <alignment horizontal="left" vertical="top" wrapText="1"/>
    </xf>
    <xf numFmtId="0" fontId="14" fillId="0" borderId="22">
      <alignment horizontal="left" vertical="top" wrapText="1"/>
    </xf>
    <xf numFmtId="0" fontId="14" fillId="0" borderId="22">
      <alignment horizontal="left" vertical="top" wrapText="1"/>
    </xf>
    <xf numFmtId="0" fontId="14" fillId="0" borderId="22">
      <alignment horizontal="left" vertical="top" wrapText="1"/>
    </xf>
    <xf numFmtId="0" fontId="14" fillId="0" borderId="22">
      <alignment horizontal="left" vertical="top" wrapText="1"/>
    </xf>
    <xf numFmtId="0" fontId="14" fillId="0" borderId="22">
      <alignment horizontal="left" vertical="top" wrapText="1"/>
    </xf>
    <xf numFmtId="0" fontId="14" fillId="0" borderId="22">
      <alignment horizontal="left" vertical="top" wrapText="1"/>
    </xf>
    <xf numFmtId="0" fontId="14" fillId="0" borderId="22">
      <alignment horizontal="left" vertical="top" wrapText="1"/>
    </xf>
    <xf numFmtId="0" fontId="14" fillId="0" borderId="22">
      <alignment horizontal="left" vertical="top" wrapText="1"/>
    </xf>
    <xf numFmtId="0" fontId="14" fillId="0" borderId="22">
      <alignment horizontal="left" vertical="top" wrapText="1"/>
    </xf>
    <xf numFmtId="0" fontId="14" fillId="0" borderId="22">
      <alignment horizontal="left" vertical="top" wrapText="1"/>
    </xf>
    <xf numFmtId="0" fontId="14" fillId="0" borderId="22">
      <alignment horizontal="left" vertical="top" wrapText="1"/>
    </xf>
    <xf numFmtId="0" fontId="71" fillId="0" borderId="22">
      <alignment horizontal="left" vertical="top" wrapText="1"/>
    </xf>
    <xf numFmtId="0" fontId="71" fillId="0" borderId="22">
      <alignment horizontal="left" vertical="top" wrapText="1"/>
    </xf>
    <xf numFmtId="0" fontId="71" fillId="0" borderId="22">
      <alignment horizontal="left" vertical="top" wrapText="1"/>
    </xf>
    <xf numFmtId="0" fontId="71" fillId="0" borderId="22">
      <alignment horizontal="left" vertical="top" wrapText="1"/>
    </xf>
    <xf numFmtId="0" fontId="71" fillId="0" borderId="22">
      <alignment horizontal="left" vertical="top" wrapText="1"/>
    </xf>
    <xf numFmtId="0" fontId="71" fillId="0" borderId="22">
      <alignment horizontal="left" vertical="top" wrapText="1"/>
    </xf>
    <xf numFmtId="0" fontId="71" fillId="0" borderId="22">
      <alignment horizontal="left" vertical="top" wrapText="1"/>
    </xf>
    <xf numFmtId="0" fontId="71" fillId="0" borderId="22">
      <alignment horizontal="left" vertical="top" wrapText="1"/>
    </xf>
    <xf numFmtId="0" fontId="68" fillId="102" borderId="19">
      <alignment horizontal="left" vertical="top" wrapText="1"/>
    </xf>
    <xf numFmtId="0" fontId="68" fillId="102" borderId="19">
      <alignment horizontal="left" vertical="top" wrapText="1"/>
    </xf>
    <xf numFmtId="0" fontId="68" fillId="102" borderId="19">
      <alignment horizontal="left" vertical="top" wrapText="1"/>
    </xf>
    <xf numFmtId="0" fontId="68" fillId="102" borderId="19">
      <alignment horizontal="left" vertical="top" wrapText="1"/>
    </xf>
    <xf numFmtId="0" fontId="68" fillId="102" borderId="19">
      <alignment horizontal="left" vertical="top" wrapText="1"/>
    </xf>
    <xf numFmtId="0" fontId="68" fillId="102" borderId="19">
      <alignment horizontal="left" vertical="top" wrapText="1"/>
    </xf>
    <xf numFmtId="0" fontId="68" fillId="102" borderId="19">
      <alignment horizontal="left" vertical="top" wrapText="1"/>
    </xf>
    <xf numFmtId="0" fontId="68" fillId="102" borderId="19">
      <alignment horizontal="left" vertical="top" wrapText="1"/>
    </xf>
    <xf numFmtId="49" fontId="68" fillId="102" borderId="19">
      <alignment horizontal="center" vertical="top" shrinkToFit="1"/>
    </xf>
    <xf numFmtId="49" fontId="68" fillId="102" borderId="19">
      <alignment horizontal="center" vertical="top" shrinkToFit="1"/>
    </xf>
    <xf numFmtId="49" fontId="68" fillId="102" borderId="19">
      <alignment horizontal="center" vertical="top" shrinkToFit="1"/>
    </xf>
    <xf numFmtId="49" fontId="68" fillId="102" borderId="19">
      <alignment horizontal="center" vertical="top" shrinkToFit="1"/>
    </xf>
    <xf numFmtId="49" fontId="68" fillId="102" borderId="19">
      <alignment horizontal="center" vertical="top" shrinkToFit="1"/>
    </xf>
    <xf numFmtId="49" fontId="68" fillId="102" borderId="19">
      <alignment horizontal="center" vertical="top" shrinkToFit="1"/>
    </xf>
    <xf numFmtId="49" fontId="68" fillId="102" borderId="19">
      <alignment horizontal="center" vertical="top" shrinkToFit="1"/>
    </xf>
    <xf numFmtId="49" fontId="68" fillId="102" borderId="19">
      <alignment horizontal="center" vertical="top" shrinkToFit="1"/>
    </xf>
    <xf numFmtId="49" fontId="68" fillId="102" borderId="19">
      <alignment horizontal="center" vertical="top" shrinkToFit="1"/>
    </xf>
    <xf numFmtId="49" fontId="68" fillId="102" borderId="19">
      <alignment horizontal="center" vertical="top" shrinkToFit="1"/>
    </xf>
    <xf numFmtId="49" fontId="68" fillId="102" borderId="19">
      <alignment horizontal="center" vertical="top" shrinkToFit="1"/>
    </xf>
    <xf numFmtId="49" fontId="68" fillId="102" borderId="19">
      <alignment horizontal="center" vertical="top" shrinkToFit="1"/>
    </xf>
    <xf numFmtId="49" fontId="68" fillId="102" borderId="19">
      <alignment horizontal="center" vertical="top" shrinkToFit="1"/>
    </xf>
    <xf numFmtId="49" fontId="68" fillId="102" borderId="19">
      <alignment horizontal="center" vertical="top" shrinkToFit="1"/>
    </xf>
    <xf numFmtId="49" fontId="68" fillId="102" borderId="19">
      <alignment horizontal="center" vertical="top" shrinkToFit="1"/>
    </xf>
    <xf numFmtId="49" fontId="68" fillId="102" borderId="19">
      <alignment horizontal="center" vertical="top" shrinkToFit="1"/>
    </xf>
    <xf numFmtId="49" fontId="68" fillId="102" borderId="19">
      <alignment horizontal="center" vertical="top" shrinkToFit="1"/>
    </xf>
    <xf numFmtId="49" fontId="68" fillId="102" borderId="19">
      <alignment horizontal="center" vertical="top" shrinkToFit="1"/>
    </xf>
    <xf numFmtId="49" fontId="68" fillId="102" borderId="19">
      <alignment horizontal="center" vertical="top" shrinkToFit="1"/>
    </xf>
    <xf numFmtId="49" fontId="68" fillId="102" borderId="19">
      <alignment horizontal="center" vertical="top" shrinkToFit="1"/>
    </xf>
    <xf numFmtId="49" fontId="68" fillId="102" borderId="19">
      <alignment horizontal="center" vertical="top" shrinkToFit="1"/>
    </xf>
    <xf numFmtId="49" fontId="68" fillId="102" borderId="19">
      <alignment horizontal="center" vertical="top" shrinkToFit="1"/>
    </xf>
    <xf numFmtId="49" fontId="68" fillId="102" borderId="19">
      <alignment horizontal="center" vertical="top" shrinkToFit="1"/>
    </xf>
    <xf numFmtId="49" fontId="68" fillId="102" borderId="19">
      <alignment horizontal="center" vertical="top" shrinkToFit="1"/>
    </xf>
    <xf numFmtId="49" fontId="68" fillId="102" borderId="19">
      <alignment horizontal="center" vertical="top" shrinkToFit="1"/>
    </xf>
    <xf numFmtId="49" fontId="68" fillId="102" borderId="19">
      <alignment horizontal="center" vertical="top" shrinkToFit="1"/>
    </xf>
    <xf numFmtId="49" fontId="68" fillId="102" borderId="19">
      <alignment horizontal="center" vertical="top" shrinkToFit="1"/>
    </xf>
    <xf numFmtId="49" fontId="68" fillId="102" borderId="19">
      <alignment horizontal="center" vertical="top" shrinkToFit="1"/>
    </xf>
    <xf numFmtId="49" fontId="68" fillId="102" borderId="19">
      <alignment horizontal="center" vertical="top" shrinkToFit="1"/>
    </xf>
    <xf numFmtId="49" fontId="68" fillId="102" borderId="19">
      <alignment horizontal="center" vertical="top" shrinkToFit="1"/>
    </xf>
    <xf numFmtId="49" fontId="68" fillId="102" borderId="19">
      <alignment horizontal="center" vertical="top" shrinkToFit="1"/>
    </xf>
    <xf numFmtId="49" fontId="68" fillId="102" borderId="19">
      <alignment horizontal="center" vertical="top" shrinkToFit="1"/>
    </xf>
    <xf numFmtId="49" fontId="68" fillId="102" borderId="19">
      <alignment horizontal="center" vertical="top" shrinkToFit="1"/>
    </xf>
    <xf numFmtId="49" fontId="68" fillId="102" borderId="19">
      <alignment horizontal="center" vertical="top" shrinkToFit="1"/>
    </xf>
    <xf numFmtId="49" fontId="68" fillId="102" borderId="19">
      <alignment horizontal="center" vertical="top" shrinkToFit="1"/>
    </xf>
    <xf numFmtId="49" fontId="68" fillId="102" borderId="19">
      <alignment horizontal="center" vertical="top" shrinkToFit="1"/>
    </xf>
    <xf numFmtId="49" fontId="68" fillId="102" borderId="19">
      <alignment horizontal="center" vertical="top" shrinkToFit="1"/>
    </xf>
    <xf numFmtId="49" fontId="68" fillId="102" borderId="19">
      <alignment horizontal="center" vertical="top" shrinkToFit="1"/>
    </xf>
    <xf numFmtId="49" fontId="68" fillId="102" borderId="19">
      <alignment horizontal="center" vertical="top" shrinkToFit="1"/>
    </xf>
    <xf numFmtId="49" fontId="68" fillId="102" borderId="19">
      <alignment horizontal="center" vertical="top" shrinkToFit="1"/>
    </xf>
    <xf numFmtId="49" fontId="68" fillId="102" borderId="19">
      <alignment horizontal="center" vertical="top" shrinkToFit="1"/>
    </xf>
    <xf numFmtId="49" fontId="68" fillId="102" borderId="19">
      <alignment horizontal="center" vertical="top" shrinkToFit="1"/>
    </xf>
    <xf numFmtId="49" fontId="68" fillId="102" borderId="19">
      <alignment horizontal="center" vertical="top" shrinkToFit="1"/>
    </xf>
    <xf numFmtId="49" fontId="68" fillId="102" borderId="19">
      <alignment horizontal="center" vertical="top" shrinkToFit="1"/>
    </xf>
    <xf numFmtId="49" fontId="68" fillId="102" borderId="19">
      <alignment horizontal="center" vertical="top" shrinkToFit="1"/>
    </xf>
    <xf numFmtId="49" fontId="68" fillId="102" borderId="19">
      <alignment horizontal="center" vertical="top" shrinkToFit="1"/>
    </xf>
    <xf numFmtId="49" fontId="68" fillId="102" borderId="19">
      <alignment horizontal="center" vertical="top" shrinkToFit="1"/>
    </xf>
    <xf numFmtId="49" fontId="68" fillId="102" borderId="19">
      <alignment horizontal="center" vertical="top" shrinkToFit="1"/>
    </xf>
    <xf numFmtId="49" fontId="68" fillId="102" borderId="19">
      <alignment horizontal="center" vertical="top" shrinkToFit="1"/>
    </xf>
    <xf numFmtId="49" fontId="68" fillId="102" borderId="19">
      <alignment horizontal="center" vertical="top" shrinkToFit="1"/>
    </xf>
    <xf numFmtId="49" fontId="68" fillId="102" borderId="19">
      <alignment horizontal="center" vertical="top" shrinkToFit="1"/>
    </xf>
    <xf numFmtId="49" fontId="68" fillId="102" borderId="19">
      <alignment horizontal="center" vertical="top" shrinkToFit="1"/>
    </xf>
    <xf numFmtId="49" fontId="68" fillId="102" borderId="19">
      <alignment horizontal="center" vertical="top" shrinkToFit="1"/>
    </xf>
    <xf numFmtId="49" fontId="68" fillId="102" borderId="19">
      <alignment horizontal="center" vertical="top" shrinkToFit="1"/>
    </xf>
    <xf numFmtId="49" fontId="68" fillId="102" borderId="19">
      <alignment horizontal="center" vertical="top" shrinkToFit="1"/>
    </xf>
    <xf numFmtId="49" fontId="68" fillId="102" borderId="19">
      <alignment horizontal="center" vertical="top" shrinkToFit="1"/>
    </xf>
    <xf numFmtId="49" fontId="68" fillId="102" borderId="19">
      <alignment horizontal="center" vertical="top" shrinkToFit="1"/>
    </xf>
    <xf numFmtId="49" fontId="68" fillId="102" borderId="19">
      <alignment horizontal="center" vertical="top" shrinkToFit="1"/>
    </xf>
    <xf numFmtId="49" fontId="68" fillId="102" borderId="19">
      <alignment horizontal="center" vertical="top" shrinkToFit="1"/>
    </xf>
    <xf numFmtId="49" fontId="68" fillId="102" borderId="19">
      <alignment horizontal="center" vertical="top" shrinkToFit="1"/>
    </xf>
    <xf numFmtId="49" fontId="68" fillId="102" borderId="19">
      <alignment horizontal="center" vertical="top" shrinkToFit="1"/>
    </xf>
    <xf numFmtId="49" fontId="68" fillId="102" borderId="19">
      <alignment horizontal="center" vertical="top" shrinkToFit="1"/>
    </xf>
    <xf numFmtId="49" fontId="68" fillId="102" borderId="19">
      <alignment horizontal="center" vertical="top" shrinkToFit="1"/>
    </xf>
    <xf numFmtId="49" fontId="68" fillId="102" borderId="19">
      <alignment horizontal="center" vertical="top" shrinkToFit="1"/>
    </xf>
    <xf numFmtId="0" fontId="68" fillId="102" borderId="19">
      <alignment horizontal="left" vertical="top" wrapText="1"/>
    </xf>
    <xf numFmtId="0" fontId="68" fillId="102" borderId="19">
      <alignment horizontal="left" vertical="top" wrapText="1"/>
    </xf>
    <xf numFmtId="0" fontId="68" fillId="102" borderId="19">
      <alignment horizontal="left" vertical="top" wrapText="1"/>
    </xf>
    <xf numFmtId="0" fontId="68" fillId="102" borderId="19">
      <alignment horizontal="left" vertical="top" wrapText="1"/>
    </xf>
    <xf numFmtId="0" fontId="68" fillId="102" borderId="19">
      <alignment horizontal="left" vertical="top" wrapText="1"/>
    </xf>
    <xf numFmtId="0" fontId="68" fillId="102" borderId="19">
      <alignment horizontal="left" vertical="top" wrapText="1"/>
    </xf>
    <xf numFmtId="0" fontId="68" fillId="102" borderId="19">
      <alignment horizontal="left" vertical="top" wrapText="1"/>
    </xf>
    <xf numFmtId="0" fontId="68" fillId="102" borderId="19">
      <alignment horizontal="left" vertical="top" wrapText="1"/>
    </xf>
    <xf numFmtId="49" fontId="14" fillId="0" borderId="22">
      <alignment horizontal="center" vertical="top" shrinkToFit="1"/>
    </xf>
    <xf numFmtId="49" fontId="14" fillId="0" borderId="22">
      <alignment horizontal="center" vertical="top" shrinkToFit="1"/>
    </xf>
    <xf numFmtId="49" fontId="14" fillId="0" borderId="22">
      <alignment horizontal="center" vertical="top" shrinkToFit="1"/>
    </xf>
    <xf numFmtId="49" fontId="14" fillId="0" borderId="22">
      <alignment horizontal="center" vertical="top" shrinkToFit="1"/>
    </xf>
    <xf numFmtId="49" fontId="14" fillId="0" borderId="22">
      <alignment horizontal="center" vertical="top" shrinkToFit="1"/>
    </xf>
    <xf numFmtId="49" fontId="14" fillId="0" borderId="22">
      <alignment horizontal="center" vertical="top" shrinkToFit="1"/>
    </xf>
    <xf numFmtId="49" fontId="14" fillId="0" borderId="22">
      <alignment horizontal="center" vertical="top" shrinkToFit="1"/>
    </xf>
    <xf numFmtId="49" fontId="14" fillId="0" borderId="22">
      <alignment horizontal="center" vertical="top" shrinkToFit="1"/>
    </xf>
    <xf numFmtId="49" fontId="14" fillId="0" borderId="22">
      <alignment horizontal="center" vertical="top" shrinkToFit="1"/>
    </xf>
    <xf numFmtId="49" fontId="14" fillId="0" borderId="22">
      <alignment horizontal="center" vertical="top" shrinkToFit="1"/>
    </xf>
    <xf numFmtId="49" fontId="14" fillId="0" borderId="22">
      <alignment horizontal="center" vertical="top" shrinkToFit="1"/>
    </xf>
    <xf numFmtId="49" fontId="14" fillId="0" borderId="22">
      <alignment horizontal="center" vertical="top" shrinkToFit="1"/>
    </xf>
    <xf numFmtId="49" fontId="14" fillId="0" borderId="22">
      <alignment horizontal="center" vertical="top" shrinkToFit="1"/>
    </xf>
    <xf numFmtId="49" fontId="14" fillId="0" borderId="22">
      <alignment horizontal="center" vertical="top" shrinkToFit="1"/>
    </xf>
    <xf numFmtId="49" fontId="14" fillId="0" borderId="22">
      <alignment horizontal="center" vertical="top" shrinkToFit="1"/>
    </xf>
    <xf numFmtId="49" fontId="14" fillId="0" borderId="22">
      <alignment horizontal="center" vertical="top" shrinkToFit="1"/>
    </xf>
    <xf numFmtId="49" fontId="14" fillId="0" borderId="22">
      <alignment horizontal="center" vertical="top" shrinkToFit="1"/>
    </xf>
    <xf numFmtId="49" fontId="14" fillId="0" borderId="22">
      <alignment horizontal="center" vertical="top" shrinkToFit="1"/>
    </xf>
    <xf numFmtId="49" fontId="14" fillId="0" borderId="22">
      <alignment horizontal="center" vertical="top" shrinkToFit="1"/>
    </xf>
    <xf numFmtId="49" fontId="14" fillId="0" borderId="22">
      <alignment horizontal="center" vertical="top" shrinkToFit="1"/>
    </xf>
    <xf numFmtId="49" fontId="14" fillId="0" borderId="22">
      <alignment horizontal="center" vertical="top" shrinkToFit="1"/>
    </xf>
    <xf numFmtId="49" fontId="14" fillId="0" borderId="22">
      <alignment horizontal="center" vertical="top" shrinkToFit="1"/>
    </xf>
    <xf numFmtId="49" fontId="14" fillId="0" borderId="22">
      <alignment horizontal="center" vertical="top" shrinkToFit="1"/>
    </xf>
    <xf numFmtId="49" fontId="14" fillId="0" borderId="22">
      <alignment horizontal="center" vertical="top" shrinkToFit="1"/>
    </xf>
    <xf numFmtId="49" fontId="14" fillId="0" borderId="22">
      <alignment horizontal="center" vertical="top" shrinkToFit="1"/>
    </xf>
    <xf numFmtId="49" fontId="14" fillId="0" borderId="22">
      <alignment horizontal="center" vertical="top" shrinkToFit="1"/>
    </xf>
    <xf numFmtId="49" fontId="14" fillId="0" borderId="22">
      <alignment horizontal="center" vertical="top" shrinkToFit="1"/>
    </xf>
    <xf numFmtId="49" fontId="14" fillId="0" borderId="22">
      <alignment horizontal="center" vertical="top" shrinkToFit="1"/>
    </xf>
    <xf numFmtId="49" fontId="14" fillId="0" borderId="22">
      <alignment horizontal="center" vertical="top" shrinkToFit="1"/>
    </xf>
    <xf numFmtId="49" fontId="14" fillId="0" borderId="22">
      <alignment horizontal="center" vertical="top" shrinkToFit="1"/>
    </xf>
    <xf numFmtId="49" fontId="14" fillId="0" borderId="22">
      <alignment horizontal="center" vertical="top" shrinkToFit="1"/>
    </xf>
    <xf numFmtId="49" fontId="14" fillId="0" borderId="22">
      <alignment horizontal="center" vertical="top" shrinkToFit="1"/>
    </xf>
    <xf numFmtId="49" fontId="14" fillId="0" borderId="22">
      <alignment horizontal="center" vertical="top" shrinkToFit="1"/>
    </xf>
    <xf numFmtId="49" fontId="14" fillId="0" borderId="22">
      <alignment horizontal="center" vertical="top" shrinkToFit="1"/>
    </xf>
    <xf numFmtId="49" fontId="14" fillId="0" borderId="22">
      <alignment horizontal="center" vertical="top" shrinkToFit="1"/>
    </xf>
    <xf numFmtId="49" fontId="14" fillId="0" borderId="22">
      <alignment horizontal="center" vertical="top" shrinkToFit="1"/>
    </xf>
    <xf numFmtId="49" fontId="14" fillId="0" borderId="22">
      <alignment horizontal="center" vertical="top" shrinkToFit="1"/>
    </xf>
    <xf numFmtId="49" fontId="14" fillId="0" borderId="22">
      <alignment horizontal="center" vertical="top" shrinkToFit="1"/>
    </xf>
    <xf numFmtId="49" fontId="14" fillId="0" borderId="22">
      <alignment horizontal="center" vertical="top" shrinkToFit="1"/>
    </xf>
    <xf numFmtId="49" fontId="14" fillId="0" borderId="22">
      <alignment horizontal="center" vertical="top" shrinkToFit="1"/>
    </xf>
    <xf numFmtId="49" fontId="14" fillId="0" borderId="22">
      <alignment horizontal="center" vertical="top" shrinkToFit="1"/>
    </xf>
    <xf numFmtId="49" fontId="14" fillId="0" borderId="22">
      <alignment horizontal="center" vertical="top" shrinkToFit="1"/>
    </xf>
    <xf numFmtId="49" fontId="14" fillId="0" borderId="22">
      <alignment horizontal="center" vertical="top" shrinkToFit="1"/>
    </xf>
    <xf numFmtId="49" fontId="14" fillId="0" borderId="22">
      <alignment horizontal="center" vertical="top" shrinkToFit="1"/>
    </xf>
    <xf numFmtId="49" fontId="14" fillId="0" borderId="22">
      <alignment horizontal="center" vertical="top" shrinkToFit="1"/>
    </xf>
    <xf numFmtId="49" fontId="14" fillId="0" borderId="22">
      <alignment horizontal="center" vertical="top" shrinkToFit="1"/>
    </xf>
    <xf numFmtId="49" fontId="14" fillId="0" borderId="22">
      <alignment horizontal="center" vertical="top" shrinkToFit="1"/>
    </xf>
    <xf numFmtId="49" fontId="14" fillId="0" borderId="22">
      <alignment horizontal="center" vertical="top" shrinkToFit="1"/>
    </xf>
    <xf numFmtId="49" fontId="14" fillId="0" borderId="22">
      <alignment horizontal="center" vertical="top" shrinkToFit="1"/>
    </xf>
    <xf numFmtId="49" fontId="14" fillId="0" borderId="22">
      <alignment horizontal="center" vertical="top" shrinkToFit="1"/>
    </xf>
    <xf numFmtId="49" fontId="14" fillId="0" borderId="22">
      <alignment horizontal="center" vertical="top" shrinkToFit="1"/>
    </xf>
    <xf numFmtId="49" fontId="14" fillId="0" borderId="22">
      <alignment horizontal="center" vertical="top" shrinkToFit="1"/>
    </xf>
    <xf numFmtId="49" fontId="14" fillId="0" borderId="22">
      <alignment horizontal="center" vertical="top" shrinkToFit="1"/>
    </xf>
    <xf numFmtId="49" fontId="14" fillId="0" borderId="22">
      <alignment horizontal="center" vertical="top" shrinkToFit="1"/>
    </xf>
    <xf numFmtId="49" fontId="14" fillId="0" borderId="22">
      <alignment horizontal="center" vertical="top" shrinkToFit="1"/>
    </xf>
    <xf numFmtId="49" fontId="14" fillId="0" borderId="22">
      <alignment horizontal="center" vertical="top" shrinkToFit="1"/>
    </xf>
    <xf numFmtId="49" fontId="71" fillId="0" borderId="22">
      <alignment horizontal="center" vertical="top" shrinkToFit="1"/>
    </xf>
    <xf numFmtId="49" fontId="71" fillId="0" borderId="22">
      <alignment horizontal="center" vertical="top" shrinkToFit="1"/>
    </xf>
    <xf numFmtId="49" fontId="71" fillId="0" borderId="22">
      <alignment horizontal="center" vertical="top" shrinkToFit="1"/>
    </xf>
    <xf numFmtId="49" fontId="71" fillId="0" borderId="22">
      <alignment horizontal="center" vertical="top" shrinkToFit="1"/>
    </xf>
    <xf numFmtId="49" fontId="71" fillId="0" borderId="22">
      <alignment horizontal="center" vertical="top" shrinkToFit="1"/>
    </xf>
    <xf numFmtId="49" fontId="71" fillId="0" borderId="22">
      <alignment horizontal="center" vertical="top" shrinkToFit="1"/>
    </xf>
    <xf numFmtId="49" fontId="71" fillId="0" borderId="22">
      <alignment horizontal="center" vertical="top" shrinkToFit="1"/>
    </xf>
    <xf numFmtId="49" fontId="71" fillId="0" borderId="22">
      <alignment horizontal="center" vertical="top" shrinkToFit="1"/>
    </xf>
    <xf numFmtId="49" fontId="68" fillId="102" borderId="19">
      <alignment horizontal="center" vertical="top" shrinkToFit="1"/>
    </xf>
    <xf numFmtId="49" fontId="68" fillId="102" borderId="19">
      <alignment horizontal="center" vertical="top" shrinkToFit="1"/>
    </xf>
    <xf numFmtId="49" fontId="68" fillId="102" borderId="19">
      <alignment horizontal="center" vertical="top" shrinkToFit="1"/>
    </xf>
    <xf numFmtId="49" fontId="68" fillId="102" borderId="19">
      <alignment horizontal="center" vertical="top" shrinkToFit="1"/>
    </xf>
    <xf numFmtId="49" fontId="68" fillId="102" borderId="19">
      <alignment horizontal="center" vertical="top" shrinkToFit="1"/>
    </xf>
    <xf numFmtId="49" fontId="68" fillId="102" borderId="19">
      <alignment horizontal="center" vertical="top" shrinkToFit="1"/>
    </xf>
    <xf numFmtId="49" fontId="68" fillId="102" borderId="19">
      <alignment horizontal="center" vertical="top" shrinkToFit="1"/>
    </xf>
    <xf numFmtId="49" fontId="68" fillId="102" borderId="19">
      <alignment horizontal="center" vertical="top" shrinkToFit="1"/>
    </xf>
    <xf numFmtId="0" fontId="68" fillId="102" borderId="19">
      <alignment horizontal="left" vertical="top" wrapText="1"/>
    </xf>
    <xf numFmtId="0" fontId="68" fillId="102" borderId="19">
      <alignment horizontal="left" vertical="top" wrapText="1"/>
    </xf>
    <xf numFmtId="0" fontId="68" fillId="102" borderId="19">
      <alignment horizontal="left" vertical="top" wrapText="1"/>
    </xf>
    <xf numFmtId="0" fontId="68" fillId="102" borderId="19">
      <alignment horizontal="left" vertical="top" wrapText="1"/>
    </xf>
    <xf numFmtId="0" fontId="68" fillId="102" borderId="19">
      <alignment horizontal="left" vertical="top" wrapText="1"/>
    </xf>
    <xf numFmtId="0" fontId="68" fillId="102" borderId="19">
      <alignment horizontal="left" vertical="top" wrapText="1"/>
    </xf>
    <xf numFmtId="0" fontId="68" fillId="102" borderId="19">
      <alignment horizontal="left" vertical="top" wrapText="1"/>
    </xf>
    <xf numFmtId="0" fontId="68" fillId="102" borderId="19">
      <alignment horizontal="left" vertical="top" wrapText="1"/>
    </xf>
    <xf numFmtId="0" fontId="68" fillId="102" borderId="19">
      <alignment horizontal="left" vertical="top" wrapText="1"/>
    </xf>
    <xf numFmtId="0" fontId="68" fillId="102" borderId="19">
      <alignment horizontal="left" vertical="top" wrapText="1"/>
    </xf>
    <xf numFmtId="0" fontId="68" fillId="102" borderId="19">
      <alignment horizontal="left" vertical="top" wrapText="1"/>
    </xf>
    <xf numFmtId="0" fontId="68" fillId="102" borderId="19">
      <alignment horizontal="left" vertical="top" wrapText="1"/>
    </xf>
    <xf numFmtId="0" fontId="68" fillId="102" borderId="19">
      <alignment horizontal="left" vertical="top" wrapText="1"/>
    </xf>
    <xf numFmtId="0" fontId="68" fillId="102" borderId="19">
      <alignment horizontal="left" vertical="top" wrapText="1"/>
    </xf>
    <xf numFmtId="0" fontId="68" fillId="102" borderId="19">
      <alignment horizontal="left" vertical="top" wrapText="1"/>
    </xf>
    <xf numFmtId="0" fontId="68" fillId="102" borderId="19">
      <alignment horizontal="left" vertical="top" wrapText="1"/>
    </xf>
    <xf numFmtId="0" fontId="68" fillId="102" borderId="19">
      <alignment horizontal="left" vertical="top" wrapText="1"/>
    </xf>
    <xf numFmtId="0" fontId="68" fillId="102" borderId="19">
      <alignment horizontal="left" vertical="top" wrapText="1"/>
    </xf>
    <xf numFmtId="0" fontId="68" fillId="102" borderId="19">
      <alignment horizontal="left" vertical="top" wrapText="1"/>
    </xf>
    <xf numFmtId="0" fontId="68" fillId="102" borderId="19">
      <alignment horizontal="left" vertical="top" wrapText="1"/>
    </xf>
    <xf numFmtId="0" fontId="68" fillId="102" borderId="19">
      <alignment horizontal="left" vertical="top" wrapText="1"/>
    </xf>
    <xf numFmtId="0" fontId="68" fillId="102" borderId="19">
      <alignment horizontal="left" vertical="top" wrapText="1"/>
    </xf>
    <xf numFmtId="0" fontId="68" fillId="102" borderId="19">
      <alignment horizontal="left" vertical="top" wrapText="1"/>
    </xf>
    <xf numFmtId="0" fontId="68" fillId="102" borderId="19">
      <alignment horizontal="left" vertical="top" wrapText="1"/>
    </xf>
    <xf numFmtId="0" fontId="68" fillId="102" borderId="19">
      <alignment horizontal="left" vertical="top" wrapText="1"/>
    </xf>
    <xf numFmtId="0" fontId="68" fillId="102" borderId="19">
      <alignment horizontal="left" vertical="top" wrapText="1"/>
    </xf>
    <xf numFmtId="0" fontId="68" fillId="102" borderId="19">
      <alignment horizontal="left" vertical="top" wrapText="1"/>
    </xf>
    <xf numFmtId="0" fontId="68" fillId="102" borderId="19">
      <alignment horizontal="left" vertical="top" wrapText="1"/>
    </xf>
    <xf numFmtId="0" fontId="68" fillId="102" borderId="19">
      <alignment horizontal="left" vertical="top" wrapText="1"/>
    </xf>
    <xf numFmtId="0" fontId="68" fillId="102" borderId="19">
      <alignment horizontal="left" vertical="top" wrapText="1"/>
    </xf>
    <xf numFmtId="0" fontId="68" fillId="102" borderId="19">
      <alignment horizontal="left" vertical="top" wrapText="1"/>
    </xf>
    <xf numFmtId="0" fontId="68" fillId="102" borderId="19">
      <alignment horizontal="left" vertical="top" wrapText="1"/>
    </xf>
    <xf numFmtId="0" fontId="68" fillId="102" borderId="19">
      <alignment horizontal="left" vertical="top" wrapText="1"/>
    </xf>
    <xf numFmtId="0" fontId="68" fillId="102" borderId="19">
      <alignment horizontal="left" vertical="top" wrapText="1"/>
    </xf>
    <xf numFmtId="0" fontId="68" fillId="102" borderId="19">
      <alignment horizontal="left" vertical="top" wrapText="1"/>
    </xf>
    <xf numFmtId="0" fontId="68" fillId="102" borderId="19">
      <alignment horizontal="left" vertical="top" wrapText="1"/>
    </xf>
    <xf numFmtId="0" fontId="68" fillId="102" borderId="19">
      <alignment horizontal="left" vertical="top" wrapText="1"/>
    </xf>
    <xf numFmtId="0" fontId="68" fillId="102" borderId="19">
      <alignment horizontal="left" vertical="top" wrapText="1"/>
    </xf>
    <xf numFmtId="0" fontId="68" fillId="102" borderId="19">
      <alignment horizontal="left" vertical="top" wrapText="1"/>
    </xf>
    <xf numFmtId="0" fontId="68" fillId="102" borderId="19">
      <alignment horizontal="left" vertical="top" wrapText="1"/>
    </xf>
    <xf numFmtId="0" fontId="68" fillId="102" borderId="19">
      <alignment horizontal="left" vertical="top" wrapText="1"/>
    </xf>
    <xf numFmtId="0" fontId="68" fillId="102" borderId="19">
      <alignment horizontal="left" vertical="top" wrapText="1"/>
    </xf>
    <xf numFmtId="0" fontId="68" fillId="102" borderId="19">
      <alignment horizontal="left" vertical="top" wrapText="1"/>
    </xf>
    <xf numFmtId="0" fontId="68" fillId="102" borderId="19">
      <alignment horizontal="left" vertical="top" wrapText="1"/>
    </xf>
    <xf numFmtId="0" fontId="68" fillId="102" borderId="19">
      <alignment horizontal="left" vertical="top" wrapText="1"/>
    </xf>
    <xf numFmtId="0" fontId="68" fillId="102" borderId="19">
      <alignment horizontal="left" vertical="top" wrapText="1"/>
    </xf>
    <xf numFmtId="0" fontId="68" fillId="102" borderId="19">
      <alignment horizontal="left" vertical="top" wrapText="1"/>
    </xf>
    <xf numFmtId="0" fontId="68" fillId="102" borderId="19">
      <alignment horizontal="left" vertical="top" wrapText="1"/>
    </xf>
    <xf numFmtId="0" fontId="68" fillId="102" borderId="19">
      <alignment horizontal="left" vertical="top" wrapText="1"/>
    </xf>
    <xf numFmtId="0" fontId="68" fillId="102" borderId="19">
      <alignment horizontal="left" vertical="top" wrapText="1"/>
    </xf>
    <xf numFmtId="0" fontId="68" fillId="102" borderId="19">
      <alignment horizontal="left" vertical="top" wrapText="1"/>
    </xf>
    <xf numFmtId="0" fontId="68" fillId="102" borderId="19">
      <alignment horizontal="left" vertical="top" wrapText="1"/>
    </xf>
    <xf numFmtId="0" fontId="68" fillId="102" borderId="19">
      <alignment horizontal="left" vertical="top" wrapText="1"/>
    </xf>
    <xf numFmtId="0" fontId="68" fillId="102" borderId="19">
      <alignment horizontal="left" vertical="top" wrapText="1"/>
    </xf>
    <xf numFmtId="0" fontId="68" fillId="102" borderId="19">
      <alignment horizontal="left" vertical="top" wrapText="1"/>
    </xf>
    <xf numFmtId="0" fontId="68" fillId="102" borderId="19">
      <alignment horizontal="left" vertical="top" wrapText="1"/>
    </xf>
    <xf numFmtId="0" fontId="68" fillId="102" borderId="19">
      <alignment horizontal="left" vertical="top" wrapText="1"/>
    </xf>
    <xf numFmtId="0" fontId="68" fillId="102" borderId="19">
      <alignment horizontal="left" vertical="top" wrapText="1"/>
    </xf>
    <xf numFmtId="0" fontId="68" fillId="102" borderId="19">
      <alignment horizontal="left" vertical="top" wrapText="1"/>
    </xf>
    <xf numFmtId="0" fontId="68" fillId="102" borderId="19">
      <alignment horizontal="left" vertical="top" wrapText="1"/>
    </xf>
    <xf numFmtId="0" fontId="68" fillId="102" borderId="19">
      <alignment horizontal="left" vertical="top" wrapText="1"/>
    </xf>
    <xf numFmtId="0" fontId="68" fillId="102" borderId="19">
      <alignment horizontal="left" vertical="top" wrapText="1"/>
    </xf>
    <xf numFmtId="0" fontId="68" fillId="102" borderId="19">
      <alignment horizontal="left" vertical="top" wrapText="1"/>
    </xf>
    <xf numFmtId="0" fontId="68" fillId="102" borderId="19">
      <alignment horizontal="left" vertical="top" wrapText="1"/>
    </xf>
    <xf numFmtId="4" fontId="68" fillId="102" borderId="19">
      <alignment horizontal="right" vertical="top" shrinkToFit="1"/>
    </xf>
    <xf numFmtId="4" fontId="68" fillId="102" borderId="19">
      <alignment horizontal="right" vertical="top" shrinkToFit="1"/>
    </xf>
    <xf numFmtId="4" fontId="68" fillId="102" borderId="19">
      <alignment horizontal="right" vertical="top" shrinkToFit="1"/>
    </xf>
    <xf numFmtId="4" fontId="68" fillId="102" borderId="19">
      <alignment horizontal="right" vertical="top" shrinkToFit="1"/>
    </xf>
    <xf numFmtId="4" fontId="68" fillId="102" borderId="19">
      <alignment horizontal="right" vertical="top" shrinkToFit="1"/>
    </xf>
    <xf numFmtId="4" fontId="68" fillId="102" borderId="19">
      <alignment horizontal="right" vertical="top" shrinkToFit="1"/>
    </xf>
    <xf numFmtId="4" fontId="68" fillId="102" borderId="19">
      <alignment horizontal="right" vertical="top" shrinkToFit="1"/>
    </xf>
    <xf numFmtId="4" fontId="68" fillId="102" borderId="19">
      <alignment horizontal="right" vertical="top" shrinkToFit="1"/>
    </xf>
    <xf numFmtId="4" fontId="14" fillId="0" borderId="22">
      <alignment horizontal="right" vertical="top" shrinkToFit="1"/>
    </xf>
    <xf numFmtId="4" fontId="14" fillId="0" borderId="22">
      <alignment horizontal="right" vertical="top" shrinkToFit="1"/>
    </xf>
    <xf numFmtId="4" fontId="14" fillId="0" borderId="22">
      <alignment horizontal="right" vertical="top" shrinkToFit="1"/>
    </xf>
    <xf numFmtId="4" fontId="14" fillId="0" borderId="22">
      <alignment horizontal="right" vertical="top" shrinkToFit="1"/>
    </xf>
    <xf numFmtId="4" fontId="14" fillId="0" borderId="22">
      <alignment horizontal="right" vertical="top" shrinkToFit="1"/>
    </xf>
    <xf numFmtId="4" fontId="14" fillId="0" borderId="22">
      <alignment horizontal="right" vertical="top" shrinkToFit="1"/>
    </xf>
    <xf numFmtId="4" fontId="14" fillId="0" borderId="22">
      <alignment horizontal="right" vertical="top" shrinkToFit="1"/>
    </xf>
    <xf numFmtId="4" fontId="14" fillId="0" borderId="22">
      <alignment horizontal="right" vertical="top" shrinkToFit="1"/>
    </xf>
    <xf numFmtId="4" fontId="14" fillId="0" borderId="22">
      <alignment horizontal="right" vertical="top" shrinkToFit="1"/>
    </xf>
    <xf numFmtId="4" fontId="14" fillId="0" borderId="22">
      <alignment horizontal="right" vertical="top" shrinkToFit="1"/>
    </xf>
    <xf numFmtId="4" fontId="14" fillId="0" borderId="22">
      <alignment horizontal="right" vertical="top" shrinkToFit="1"/>
    </xf>
    <xf numFmtId="4" fontId="14" fillId="0" borderId="22">
      <alignment horizontal="right" vertical="top" shrinkToFit="1"/>
    </xf>
    <xf numFmtId="4" fontId="14" fillId="0" borderId="22">
      <alignment horizontal="right" vertical="top" shrinkToFit="1"/>
    </xf>
    <xf numFmtId="4" fontId="14" fillId="0" borderId="22">
      <alignment horizontal="right" vertical="top" shrinkToFit="1"/>
    </xf>
    <xf numFmtId="4" fontId="14" fillId="0" borderId="22">
      <alignment horizontal="right" vertical="top" shrinkToFit="1"/>
    </xf>
    <xf numFmtId="4" fontId="14" fillId="0" borderId="22">
      <alignment horizontal="right" vertical="top" shrinkToFit="1"/>
    </xf>
    <xf numFmtId="4" fontId="14" fillId="0" borderId="22">
      <alignment horizontal="right" vertical="top" shrinkToFit="1"/>
    </xf>
    <xf numFmtId="4" fontId="14" fillId="0" borderId="22">
      <alignment horizontal="right" vertical="top" shrinkToFit="1"/>
    </xf>
    <xf numFmtId="4" fontId="14" fillId="0" borderId="22">
      <alignment horizontal="right" vertical="top" shrinkToFit="1"/>
    </xf>
    <xf numFmtId="4" fontId="14" fillId="0" borderId="22">
      <alignment horizontal="right" vertical="top" shrinkToFit="1"/>
    </xf>
    <xf numFmtId="4" fontId="14" fillId="0" borderId="22">
      <alignment horizontal="right" vertical="top" shrinkToFit="1"/>
    </xf>
    <xf numFmtId="4" fontId="14" fillId="0" borderId="22">
      <alignment horizontal="right" vertical="top" shrinkToFit="1"/>
    </xf>
    <xf numFmtId="4" fontId="14" fillId="0" borderId="22">
      <alignment horizontal="right" vertical="top" shrinkToFit="1"/>
    </xf>
    <xf numFmtId="4" fontId="14" fillId="0" borderId="22">
      <alignment horizontal="right" vertical="top" shrinkToFit="1"/>
    </xf>
    <xf numFmtId="4" fontId="14" fillId="0" borderId="22">
      <alignment horizontal="right" vertical="top" shrinkToFit="1"/>
    </xf>
    <xf numFmtId="4" fontId="14" fillId="0" borderId="22">
      <alignment horizontal="right" vertical="top" shrinkToFit="1"/>
    </xf>
    <xf numFmtId="4" fontId="14" fillId="0" borderId="22">
      <alignment horizontal="right" vertical="top" shrinkToFit="1"/>
    </xf>
    <xf numFmtId="4" fontId="14" fillId="0" borderId="22">
      <alignment horizontal="right" vertical="top" shrinkToFit="1"/>
    </xf>
    <xf numFmtId="4" fontId="14" fillId="0" borderId="22">
      <alignment horizontal="right" vertical="top" shrinkToFit="1"/>
    </xf>
    <xf numFmtId="4" fontId="14" fillId="0" borderId="22">
      <alignment horizontal="right" vertical="top" shrinkToFit="1"/>
    </xf>
    <xf numFmtId="4" fontId="14" fillId="0" borderId="22">
      <alignment horizontal="right" vertical="top" shrinkToFit="1"/>
    </xf>
    <xf numFmtId="4" fontId="14" fillId="0" borderId="22">
      <alignment horizontal="right" vertical="top" shrinkToFit="1"/>
    </xf>
    <xf numFmtId="4" fontId="14" fillId="0" borderId="22">
      <alignment horizontal="right" vertical="top" shrinkToFit="1"/>
    </xf>
    <xf numFmtId="4" fontId="14" fillId="0" borderId="22">
      <alignment horizontal="right" vertical="top" shrinkToFit="1"/>
    </xf>
    <xf numFmtId="4" fontId="14" fillId="0" borderId="22">
      <alignment horizontal="right" vertical="top" shrinkToFit="1"/>
    </xf>
    <xf numFmtId="4" fontId="14" fillId="0" borderId="22">
      <alignment horizontal="right" vertical="top" shrinkToFit="1"/>
    </xf>
    <xf numFmtId="4" fontId="14" fillId="0" borderId="22">
      <alignment horizontal="right" vertical="top" shrinkToFit="1"/>
    </xf>
    <xf numFmtId="4" fontId="14" fillId="0" borderId="22">
      <alignment horizontal="right" vertical="top" shrinkToFit="1"/>
    </xf>
    <xf numFmtId="4" fontId="14" fillId="0" borderId="22">
      <alignment horizontal="right" vertical="top" shrinkToFit="1"/>
    </xf>
    <xf numFmtId="4" fontId="14" fillId="0" borderId="22">
      <alignment horizontal="right" vertical="top" shrinkToFit="1"/>
    </xf>
    <xf numFmtId="4" fontId="14" fillId="0" borderId="22">
      <alignment horizontal="right" vertical="top" shrinkToFit="1"/>
    </xf>
    <xf numFmtId="4" fontId="14" fillId="0" borderId="22">
      <alignment horizontal="right" vertical="top" shrinkToFit="1"/>
    </xf>
    <xf numFmtId="4" fontId="14" fillId="0" borderId="22">
      <alignment horizontal="right" vertical="top" shrinkToFit="1"/>
    </xf>
    <xf numFmtId="4" fontId="14" fillId="0" borderId="22">
      <alignment horizontal="right" vertical="top" shrinkToFit="1"/>
    </xf>
    <xf numFmtId="4" fontId="14" fillId="0" borderId="22">
      <alignment horizontal="right" vertical="top" shrinkToFit="1"/>
    </xf>
    <xf numFmtId="4" fontId="14" fillId="0" borderId="22">
      <alignment horizontal="right" vertical="top" shrinkToFit="1"/>
    </xf>
    <xf numFmtId="4" fontId="14" fillId="0" borderId="22">
      <alignment horizontal="right" vertical="top" shrinkToFit="1"/>
    </xf>
    <xf numFmtId="4" fontId="14" fillId="0" borderId="22">
      <alignment horizontal="right" vertical="top" shrinkToFit="1"/>
    </xf>
    <xf numFmtId="4" fontId="14" fillId="0" borderId="22">
      <alignment horizontal="right" vertical="top" shrinkToFit="1"/>
    </xf>
    <xf numFmtId="4" fontId="14" fillId="0" borderId="22">
      <alignment horizontal="right" vertical="top" shrinkToFit="1"/>
    </xf>
    <xf numFmtId="4" fontId="14" fillId="0" borderId="22">
      <alignment horizontal="right" vertical="top" shrinkToFit="1"/>
    </xf>
    <xf numFmtId="4" fontId="14" fillId="0" borderId="22">
      <alignment horizontal="right" vertical="top" shrinkToFit="1"/>
    </xf>
    <xf numFmtId="4" fontId="14" fillId="0" borderId="22">
      <alignment horizontal="right" vertical="top" shrinkToFit="1"/>
    </xf>
    <xf numFmtId="4" fontId="14" fillId="0" borderId="22">
      <alignment horizontal="right" vertical="top" shrinkToFit="1"/>
    </xf>
    <xf numFmtId="4" fontId="14" fillId="0" borderId="22">
      <alignment horizontal="right" vertical="top" shrinkToFit="1"/>
    </xf>
    <xf numFmtId="4" fontId="14" fillId="0" borderId="22">
      <alignment horizontal="right" vertical="top" shrinkToFit="1"/>
    </xf>
    <xf numFmtId="4" fontId="71" fillId="0" borderId="22">
      <alignment horizontal="right" vertical="top" shrinkToFit="1"/>
    </xf>
    <xf numFmtId="4" fontId="71" fillId="0" borderId="22">
      <alignment horizontal="right" vertical="top" shrinkToFit="1"/>
    </xf>
    <xf numFmtId="4" fontId="71" fillId="0" borderId="22">
      <alignment horizontal="right" vertical="top" shrinkToFit="1"/>
    </xf>
    <xf numFmtId="4" fontId="71" fillId="0" borderId="22">
      <alignment horizontal="right" vertical="top" shrinkToFit="1"/>
    </xf>
    <xf numFmtId="4" fontId="71" fillId="0" borderId="22">
      <alignment horizontal="right" vertical="top" shrinkToFit="1"/>
    </xf>
    <xf numFmtId="4" fontId="71" fillId="0" borderId="22">
      <alignment horizontal="right" vertical="top" shrinkToFit="1"/>
    </xf>
    <xf numFmtId="4" fontId="71" fillId="0" borderId="22">
      <alignment horizontal="right" vertical="top" shrinkToFit="1"/>
    </xf>
    <xf numFmtId="4" fontId="71" fillId="0" borderId="22">
      <alignment horizontal="right" vertical="top" shrinkToFit="1"/>
    </xf>
    <xf numFmtId="4" fontId="68" fillId="102" borderId="19">
      <alignment horizontal="right" vertical="top" shrinkToFit="1"/>
    </xf>
    <xf numFmtId="4" fontId="68" fillId="102" borderId="19">
      <alignment horizontal="right" vertical="top" shrinkToFit="1"/>
    </xf>
    <xf numFmtId="4" fontId="68" fillId="102" borderId="19">
      <alignment horizontal="right" vertical="top" shrinkToFit="1"/>
    </xf>
    <xf numFmtId="4" fontId="68" fillId="102" borderId="19">
      <alignment horizontal="right" vertical="top" shrinkToFit="1"/>
    </xf>
    <xf numFmtId="4" fontId="68" fillId="102" borderId="19">
      <alignment horizontal="right" vertical="top" shrinkToFit="1"/>
    </xf>
    <xf numFmtId="4" fontId="68" fillId="102" borderId="19">
      <alignment horizontal="right" vertical="top" shrinkToFit="1"/>
    </xf>
    <xf numFmtId="4" fontId="68" fillId="102" borderId="19">
      <alignment horizontal="right" vertical="top" shrinkToFit="1"/>
    </xf>
    <xf numFmtId="4" fontId="68" fillId="102" borderId="19">
      <alignment horizontal="right" vertical="top" shrinkToFit="1"/>
    </xf>
    <xf numFmtId="4" fontId="68" fillId="102" borderId="19">
      <alignment horizontal="right" vertical="top" shrinkToFit="1"/>
    </xf>
    <xf numFmtId="4" fontId="68" fillId="102" borderId="19">
      <alignment horizontal="right" vertical="top" shrinkToFit="1"/>
    </xf>
    <xf numFmtId="4" fontId="68" fillId="102" borderId="19">
      <alignment horizontal="right" vertical="top" shrinkToFit="1"/>
    </xf>
    <xf numFmtId="4" fontId="68" fillId="102" borderId="19">
      <alignment horizontal="right" vertical="top" shrinkToFit="1"/>
    </xf>
    <xf numFmtId="4" fontId="68" fillId="102" borderId="19">
      <alignment horizontal="right" vertical="top" shrinkToFit="1"/>
    </xf>
    <xf numFmtId="4" fontId="68" fillId="102" borderId="19">
      <alignment horizontal="right" vertical="top" shrinkToFit="1"/>
    </xf>
    <xf numFmtId="4" fontId="68" fillId="102" borderId="19">
      <alignment horizontal="right" vertical="top" shrinkToFit="1"/>
    </xf>
    <xf numFmtId="4" fontId="68" fillId="102" borderId="19">
      <alignment horizontal="right" vertical="top" shrinkToFit="1"/>
    </xf>
    <xf numFmtId="4" fontId="68" fillId="102" borderId="19">
      <alignment horizontal="right" vertical="top" shrinkToFit="1"/>
    </xf>
    <xf numFmtId="4" fontId="68" fillId="102" borderId="19">
      <alignment horizontal="right" vertical="top" shrinkToFit="1"/>
    </xf>
    <xf numFmtId="4" fontId="68" fillId="102" borderId="19">
      <alignment horizontal="right" vertical="top" shrinkToFit="1"/>
    </xf>
    <xf numFmtId="4" fontId="68" fillId="102" borderId="19">
      <alignment horizontal="right" vertical="top" shrinkToFit="1"/>
    </xf>
    <xf numFmtId="4" fontId="68" fillId="102" borderId="19">
      <alignment horizontal="right" vertical="top" shrinkToFit="1"/>
    </xf>
    <xf numFmtId="4" fontId="68" fillId="102" borderId="19">
      <alignment horizontal="right" vertical="top" shrinkToFit="1"/>
    </xf>
    <xf numFmtId="4" fontId="68" fillId="102" borderId="19">
      <alignment horizontal="right" vertical="top" shrinkToFit="1"/>
    </xf>
    <xf numFmtId="4" fontId="68" fillId="102" borderId="19">
      <alignment horizontal="right" vertical="top" shrinkToFit="1"/>
    </xf>
    <xf numFmtId="4" fontId="68" fillId="102" borderId="19">
      <alignment horizontal="right" vertical="top" shrinkToFit="1"/>
    </xf>
    <xf numFmtId="4" fontId="68" fillId="102" borderId="19">
      <alignment horizontal="right" vertical="top" shrinkToFit="1"/>
    </xf>
    <xf numFmtId="4" fontId="68" fillId="102" borderId="19">
      <alignment horizontal="right" vertical="top" shrinkToFit="1"/>
    </xf>
    <xf numFmtId="4" fontId="68" fillId="102" borderId="19">
      <alignment horizontal="right" vertical="top" shrinkToFit="1"/>
    </xf>
    <xf numFmtId="4" fontId="68" fillId="102" borderId="19">
      <alignment horizontal="right" vertical="top" shrinkToFit="1"/>
    </xf>
    <xf numFmtId="4" fontId="68" fillId="102" borderId="19">
      <alignment horizontal="right" vertical="top" shrinkToFit="1"/>
    </xf>
    <xf numFmtId="4" fontId="68" fillId="102" borderId="19">
      <alignment horizontal="right" vertical="top" shrinkToFit="1"/>
    </xf>
    <xf numFmtId="4" fontId="68" fillId="102" borderId="19">
      <alignment horizontal="right" vertical="top" shrinkToFit="1"/>
    </xf>
    <xf numFmtId="4" fontId="68" fillId="102" borderId="19">
      <alignment horizontal="right" vertical="top" shrinkToFit="1"/>
    </xf>
    <xf numFmtId="4" fontId="68" fillId="102" borderId="19">
      <alignment horizontal="right" vertical="top" shrinkToFit="1"/>
    </xf>
    <xf numFmtId="4" fontId="68" fillId="102" borderId="19">
      <alignment horizontal="right" vertical="top" shrinkToFit="1"/>
    </xf>
    <xf numFmtId="4" fontId="68" fillId="102" borderId="19">
      <alignment horizontal="right" vertical="top" shrinkToFit="1"/>
    </xf>
    <xf numFmtId="4" fontId="68" fillId="102" borderId="19">
      <alignment horizontal="right" vertical="top" shrinkToFit="1"/>
    </xf>
    <xf numFmtId="4" fontId="68" fillId="102" borderId="19">
      <alignment horizontal="right" vertical="top" shrinkToFit="1"/>
    </xf>
    <xf numFmtId="4" fontId="68" fillId="102" borderId="19">
      <alignment horizontal="right" vertical="top" shrinkToFit="1"/>
    </xf>
    <xf numFmtId="4" fontId="68" fillId="102" borderId="19">
      <alignment horizontal="right" vertical="top" shrinkToFit="1"/>
    </xf>
    <xf numFmtId="4" fontId="68" fillId="102" borderId="19">
      <alignment horizontal="right" vertical="top" shrinkToFit="1"/>
    </xf>
    <xf numFmtId="4" fontId="68" fillId="102" borderId="19">
      <alignment horizontal="right" vertical="top" shrinkToFit="1"/>
    </xf>
    <xf numFmtId="4" fontId="68" fillId="102" borderId="19">
      <alignment horizontal="right" vertical="top" shrinkToFit="1"/>
    </xf>
    <xf numFmtId="4" fontId="68" fillId="102" borderId="19">
      <alignment horizontal="right" vertical="top" shrinkToFit="1"/>
    </xf>
    <xf numFmtId="4" fontId="68" fillId="102" borderId="19">
      <alignment horizontal="right" vertical="top" shrinkToFit="1"/>
    </xf>
    <xf numFmtId="4" fontId="68" fillId="102" borderId="19">
      <alignment horizontal="right" vertical="top" shrinkToFit="1"/>
    </xf>
    <xf numFmtId="4" fontId="68" fillId="102" borderId="19">
      <alignment horizontal="right" vertical="top" shrinkToFit="1"/>
    </xf>
    <xf numFmtId="4" fontId="68" fillId="102" borderId="19">
      <alignment horizontal="right" vertical="top" shrinkToFit="1"/>
    </xf>
    <xf numFmtId="4" fontId="68" fillId="102" borderId="19">
      <alignment horizontal="right" vertical="top" shrinkToFit="1"/>
    </xf>
    <xf numFmtId="4" fontId="68" fillId="102" borderId="19">
      <alignment horizontal="right" vertical="top" shrinkToFit="1"/>
    </xf>
    <xf numFmtId="4" fontId="68" fillId="102" borderId="19">
      <alignment horizontal="right" vertical="top" shrinkToFit="1"/>
    </xf>
    <xf numFmtId="4" fontId="68" fillId="102" borderId="19">
      <alignment horizontal="right" vertical="top" shrinkToFit="1"/>
    </xf>
    <xf numFmtId="4" fontId="68" fillId="102" borderId="19">
      <alignment horizontal="right" vertical="top" shrinkToFit="1"/>
    </xf>
    <xf numFmtId="4" fontId="68" fillId="102" borderId="19">
      <alignment horizontal="right" vertical="top" shrinkToFit="1"/>
    </xf>
    <xf numFmtId="4" fontId="68" fillId="102" borderId="19">
      <alignment horizontal="right" vertical="top" shrinkToFit="1"/>
    </xf>
    <xf numFmtId="4" fontId="68" fillId="102" borderId="19">
      <alignment horizontal="right" vertical="top" shrinkToFit="1"/>
    </xf>
    <xf numFmtId="4" fontId="68" fillId="102" borderId="19">
      <alignment horizontal="right" vertical="top" shrinkToFit="1"/>
    </xf>
    <xf numFmtId="4" fontId="68" fillId="102" borderId="19">
      <alignment horizontal="right" vertical="top" shrinkToFit="1"/>
    </xf>
    <xf numFmtId="4" fontId="68" fillId="102" borderId="19">
      <alignment horizontal="right" vertical="top" shrinkToFit="1"/>
    </xf>
    <xf numFmtId="4" fontId="68" fillId="102" borderId="19">
      <alignment horizontal="right" vertical="top" shrinkToFit="1"/>
    </xf>
    <xf numFmtId="4" fontId="68" fillId="102" borderId="19">
      <alignment horizontal="right" vertical="top" shrinkToFit="1"/>
    </xf>
    <xf numFmtId="4" fontId="68" fillId="102" borderId="19">
      <alignment horizontal="right" vertical="top" shrinkToFit="1"/>
    </xf>
    <xf numFmtId="4" fontId="68" fillId="102" borderId="19">
      <alignment horizontal="right" vertical="top" shrinkToFit="1"/>
    </xf>
    <xf numFmtId="4" fontId="68" fillId="102" borderId="19">
      <alignment horizontal="right" vertical="top" shrinkToFit="1"/>
    </xf>
    <xf numFmtId="0" fontId="68" fillId="102" borderId="20">
      <alignment vertical="top" shrinkToFit="1"/>
    </xf>
    <xf numFmtId="0" fontId="68" fillId="102" borderId="20">
      <alignment vertical="top" shrinkToFit="1"/>
    </xf>
    <xf numFmtId="0" fontId="68" fillId="102" borderId="20">
      <alignment vertical="top" shrinkToFit="1"/>
    </xf>
    <xf numFmtId="0" fontId="68" fillId="102" borderId="20">
      <alignment vertical="top" shrinkToFit="1"/>
    </xf>
    <xf numFmtId="0" fontId="68" fillId="102" borderId="20">
      <alignment vertical="top" shrinkToFit="1"/>
    </xf>
    <xf numFmtId="0" fontId="68" fillId="102" borderId="20">
      <alignment vertical="top" shrinkToFit="1"/>
    </xf>
    <xf numFmtId="0" fontId="68" fillId="102" borderId="20">
      <alignment vertical="top" shrinkToFit="1"/>
    </xf>
    <xf numFmtId="0" fontId="68" fillId="102" borderId="20">
      <alignment vertical="top" shrinkToFit="1"/>
    </xf>
    <xf numFmtId="169" fontId="68" fillId="102" borderId="20">
      <alignment horizontal="right" vertical="top" shrinkToFit="1"/>
    </xf>
    <xf numFmtId="169" fontId="68" fillId="102" borderId="20">
      <alignment horizontal="right" vertical="top" shrinkToFit="1"/>
    </xf>
    <xf numFmtId="169" fontId="68" fillId="102" borderId="20">
      <alignment horizontal="right" vertical="top" shrinkToFit="1"/>
    </xf>
    <xf numFmtId="169" fontId="68" fillId="102" borderId="20">
      <alignment horizontal="right" vertical="top" shrinkToFit="1"/>
    </xf>
    <xf numFmtId="169" fontId="68" fillId="102" borderId="20">
      <alignment horizontal="right" vertical="top" shrinkToFit="1"/>
    </xf>
    <xf numFmtId="169" fontId="68" fillId="102" borderId="20">
      <alignment horizontal="right" vertical="top" shrinkToFit="1"/>
    </xf>
    <xf numFmtId="169" fontId="68" fillId="102" borderId="20">
      <alignment horizontal="right" vertical="top" shrinkToFit="1"/>
    </xf>
    <xf numFmtId="169" fontId="68" fillId="102" borderId="20">
      <alignment horizontal="right" vertical="top" shrinkToFit="1"/>
    </xf>
    <xf numFmtId="4" fontId="71" fillId="0" borderId="23">
      <alignment horizontal="right" vertical="top" shrinkToFit="1"/>
    </xf>
    <xf numFmtId="4" fontId="71" fillId="0" borderId="23">
      <alignment horizontal="right" vertical="top" shrinkToFit="1"/>
    </xf>
    <xf numFmtId="4" fontId="71" fillId="0" borderId="23">
      <alignment horizontal="right" vertical="top" shrinkToFit="1"/>
    </xf>
    <xf numFmtId="4" fontId="71" fillId="0" borderId="23">
      <alignment horizontal="right" vertical="top" shrinkToFit="1"/>
    </xf>
    <xf numFmtId="4" fontId="71" fillId="0" borderId="23">
      <alignment horizontal="right" vertical="top" shrinkToFit="1"/>
    </xf>
    <xf numFmtId="4" fontId="71" fillId="0" borderId="23">
      <alignment horizontal="right" vertical="top" shrinkToFit="1"/>
    </xf>
    <xf numFmtId="4" fontId="71" fillId="0" borderId="23">
      <alignment horizontal="right" vertical="top" shrinkToFit="1"/>
    </xf>
    <xf numFmtId="4" fontId="71" fillId="0" borderId="23">
      <alignment horizontal="right" vertical="top" shrinkToFit="1"/>
    </xf>
    <xf numFmtId="4" fontId="68" fillId="102" borderId="20">
      <alignment horizontal="right" vertical="top" shrinkToFit="1"/>
    </xf>
    <xf numFmtId="4" fontId="68" fillId="102" borderId="20">
      <alignment horizontal="right" vertical="top" shrinkToFit="1"/>
    </xf>
    <xf numFmtId="4" fontId="68" fillId="102" borderId="20">
      <alignment horizontal="right" vertical="top" shrinkToFit="1"/>
    </xf>
    <xf numFmtId="4" fontId="68" fillId="102" borderId="20">
      <alignment horizontal="right" vertical="top" shrinkToFit="1"/>
    </xf>
    <xf numFmtId="4" fontId="68" fillId="102" borderId="20">
      <alignment horizontal="right" vertical="top" shrinkToFit="1"/>
    </xf>
    <xf numFmtId="4" fontId="68" fillId="102" borderId="20">
      <alignment horizontal="right" vertical="top" shrinkToFit="1"/>
    </xf>
    <xf numFmtId="4" fontId="68" fillId="102" borderId="20">
      <alignment horizontal="right" vertical="top" shrinkToFit="1"/>
    </xf>
    <xf numFmtId="4" fontId="68" fillId="102" borderId="20">
      <alignment horizontal="right" vertical="top" shrinkToFit="1"/>
    </xf>
    <xf numFmtId="0" fontId="68" fillId="102" borderId="20">
      <alignment vertical="top" shrinkToFit="1"/>
    </xf>
    <xf numFmtId="0" fontId="68" fillId="102" borderId="20">
      <alignment vertical="top" shrinkToFit="1"/>
    </xf>
    <xf numFmtId="0" fontId="68" fillId="102" borderId="20">
      <alignment vertical="top" shrinkToFit="1"/>
    </xf>
    <xf numFmtId="0" fontId="68" fillId="102" borderId="20">
      <alignment vertical="top" shrinkToFit="1"/>
    </xf>
    <xf numFmtId="0" fontId="68" fillId="102" borderId="20">
      <alignment vertical="top" shrinkToFit="1"/>
    </xf>
    <xf numFmtId="0" fontId="68" fillId="102" borderId="20">
      <alignment vertical="top" shrinkToFit="1"/>
    </xf>
    <xf numFmtId="0" fontId="68" fillId="102" borderId="20">
      <alignment vertical="top" shrinkToFit="1"/>
    </xf>
    <xf numFmtId="0" fontId="68" fillId="102" borderId="20">
      <alignment vertical="top" shrinkToFit="1"/>
    </xf>
    <xf numFmtId="4" fontId="68" fillId="102" borderId="20">
      <alignment horizontal="right" vertical="top" shrinkToFit="1"/>
    </xf>
    <xf numFmtId="4" fontId="68" fillId="102" borderId="20">
      <alignment horizontal="right" vertical="top" shrinkToFit="1"/>
    </xf>
    <xf numFmtId="4" fontId="68" fillId="102" borderId="20">
      <alignment horizontal="right" vertical="top" shrinkToFit="1"/>
    </xf>
    <xf numFmtId="4" fontId="68" fillId="102" borderId="20">
      <alignment horizontal="right" vertical="top" shrinkToFit="1"/>
    </xf>
    <xf numFmtId="4" fontId="68" fillId="102" borderId="20">
      <alignment horizontal="right" vertical="top" shrinkToFit="1"/>
    </xf>
    <xf numFmtId="4" fontId="68" fillId="102" borderId="20">
      <alignment horizontal="right" vertical="top" shrinkToFit="1"/>
    </xf>
    <xf numFmtId="4" fontId="68" fillId="102" borderId="20">
      <alignment horizontal="right" vertical="top" shrinkToFit="1"/>
    </xf>
    <xf numFmtId="4" fontId="68" fillId="102" borderId="20">
      <alignment horizontal="right" vertical="top" shrinkToFit="1"/>
    </xf>
    <xf numFmtId="4" fontId="68" fillId="102" borderId="20">
      <alignment horizontal="right" vertical="top" shrinkToFit="1"/>
    </xf>
    <xf numFmtId="4" fontId="68" fillId="102" borderId="20">
      <alignment horizontal="right" vertical="top" shrinkToFit="1"/>
    </xf>
    <xf numFmtId="4" fontId="68" fillId="102" borderId="20">
      <alignment horizontal="right" vertical="top" shrinkToFit="1"/>
    </xf>
    <xf numFmtId="4" fontId="68" fillId="102" borderId="20">
      <alignment horizontal="right" vertical="top" shrinkToFit="1"/>
    </xf>
    <xf numFmtId="4" fontId="68" fillId="102" borderId="20">
      <alignment horizontal="right" vertical="top" shrinkToFit="1"/>
    </xf>
    <xf numFmtId="4" fontId="68" fillId="102" borderId="20">
      <alignment horizontal="right" vertical="top" shrinkToFit="1"/>
    </xf>
    <xf numFmtId="4" fontId="68" fillId="102" borderId="20">
      <alignment horizontal="right" vertical="top" shrinkToFit="1"/>
    </xf>
    <xf numFmtId="4" fontId="68" fillId="102" borderId="20">
      <alignment horizontal="right" vertical="top" shrinkToFit="1"/>
    </xf>
    <xf numFmtId="4" fontId="68" fillId="102" borderId="20">
      <alignment horizontal="right" vertical="top" shrinkToFit="1"/>
    </xf>
    <xf numFmtId="4" fontId="68" fillId="102" borderId="20">
      <alignment horizontal="right" vertical="top" shrinkToFit="1"/>
    </xf>
    <xf numFmtId="4" fontId="68" fillId="102" borderId="20">
      <alignment horizontal="right" vertical="top" shrinkToFit="1"/>
    </xf>
    <xf numFmtId="4" fontId="68" fillId="102" borderId="20">
      <alignment horizontal="right" vertical="top" shrinkToFit="1"/>
    </xf>
    <xf numFmtId="4" fontId="68" fillId="102" borderId="20">
      <alignment horizontal="right" vertical="top" shrinkToFit="1"/>
    </xf>
    <xf numFmtId="4" fontId="68" fillId="102" borderId="20">
      <alignment horizontal="right" vertical="top" shrinkToFit="1"/>
    </xf>
    <xf numFmtId="4" fontId="68" fillId="102" borderId="20">
      <alignment horizontal="right" vertical="top" shrinkToFit="1"/>
    </xf>
    <xf numFmtId="4" fontId="68" fillId="102" borderId="20">
      <alignment horizontal="right" vertical="top" shrinkToFit="1"/>
    </xf>
    <xf numFmtId="4" fontId="68" fillId="102" borderId="20">
      <alignment horizontal="right" vertical="top" shrinkToFit="1"/>
    </xf>
    <xf numFmtId="4" fontId="68" fillId="102" borderId="20">
      <alignment horizontal="right" vertical="top" shrinkToFit="1"/>
    </xf>
    <xf numFmtId="4" fontId="68" fillId="102" borderId="20">
      <alignment horizontal="right" vertical="top" shrinkToFit="1"/>
    </xf>
    <xf numFmtId="4" fontId="68" fillId="102" borderId="20">
      <alignment horizontal="right" vertical="top" shrinkToFit="1"/>
    </xf>
    <xf numFmtId="4" fontId="68" fillId="102" borderId="20">
      <alignment horizontal="right" vertical="top" shrinkToFit="1"/>
    </xf>
    <xf numFmtId="4" fontId="68" fillId="102" borderId="20">
      <alignment horizontal="right" vertical="top" shrinkToFit="1"/>
    </xf>
    <xf numFmtId="4" fontId="68" fillId="102" borderId="20">
      <alignment horizontal="right" vertical="top" shrinkToFit="1"/>
    </xf>
    <xf numFmtId="4" fontId="68" fillId="102" borderId="20">
      <alignment horizontal="right" vertical="top" shrinkToFit="1"/>
    </xf>
    <xf numFmtId="4" fontId="68" fillId="102" borderId="20">
      <alignment horizontal="right" vertical="top" shrinkToFit="1"/>
    </xf>
    <xf numFmtId="4" fontId="68" fillId="102" borderId="20">
      <alignment horizontal="right" vertical="top" shrinkToFit="1"/>
    </xf>
    <xf numFmtId="4" fontId="68" fillId="102" borderId="20">
      <alignment horizontal="right" vertical="top" shrinkToFit="1"/>
    </xf>
    <xf numFmtId="4" fontId="68" fillId="102" borderId="20">
      <alignment horizontal="right" vertical="top" shrinkToFit="1"/>
    </xf>
    <xf numFmtId="4" fontId="68" fillId="102" borderId="20">
      <alignment horizontal="right" vertical="top" shrinkToFit="1"/>
    </xf>
    <xf numFmtId="4" fontId="68" fillId="102" borderId="20">
      <alignment horizontal="right" vertical="top" shrinkToFit="1"/>
    </xf>
    <xf numFmtId="4" fontId="68" fillId="102" borderId="20">
      <alignment horizontal="right" vertical="top" shrinkToFit="1"/>
    </xf>
    <xf numFmtId="4" fontId="68" fillId="102" borderId="20">
      <alignment horizontal="right" vertical="top" shrinkToFit="1"/>
    </xf>
    <xf numFmtId="4" fontId="68" fillId="102" borderId="20">
      <alignment horizontal="right" vertical="top" shrinkToFit="1"/>
    </xf>
    <xf numFmtId="4" fontId="68" fillId="102" borderId="20">
      <alignment horizontal="right" vertical="top" shrinkToFit="1"/>
    </xf>
    <xf numFmtId="4" fontId="68" fillId="102" borderId="20">
      <alignment horizontal="right" vertical="top" shrinkToFit="1"/>
    </xf>
    <xf numFmtId="4" fontId="68" fillId="102" borderId="20">
      <alignment horizontal="right" vertical="top" shrinkToFit="1"/>
    </xf>
    <xf numFmtId="4" fontId="68" fillId="102" borderId="20">
      <alignment horizontal="right" vertical="top" shrinkToFit="1"/>
    </xf>
    <xf numFmtId="4" fontId="68" fillId="102" borderId="20">
      <alignment horizontal="right" vertical="top" shrinkToFit="1"/>
    </xf>
    <xf numFmtId="4" fontId="68" fillId="102" borderId="20">
      <alignment horizontal="right" vertical="top" shrinkToFit="1"/>
    </xf>
    <xf numFmtId="4" fontId="68" fillId="102" borderId="20">
      <alignment horizontal="right" vertical="top" shrinkToFit="1"/>
    </xf>
    <xf numFmtId="4" fontId="68" fillId="102" borderId="20">
      <alignment horizontal="right" vertical="top" shrinkToFit="1"/>
    </xf>
    <xf numFmtId="4" fontId="68" fillId="102" borderId="20">
      <alignment horizontal="right" vertical="top" shrinkToFit="1"/>
    </xf>
    <xf numFmtId="4" fontId="68" fillId="102" borderId="20">
      <alignment horizontal="right" vertical="top" shrinkToFit="1"/>
    </xf>
    <xf numFmtId="4" fontId="68" fillId="102" borderId="20">
      <alignment horizontal="right" vertical="top" shrinkToFit="1"/>
    </xf>
    <xf numFmtId="4" fontId="68" fillId="102" borderId="20">
      <alignment horizontal="right" vertical="top" shrinkToFit="1"/>
    </xf>
    <xf numFmtId="4" fontId="68" fillId="102" borderId="20">
      <alignment horizontal="right" vertical="top" shrinkToFit="1"/>
    </xf>
    <xf numFmtId="4" fontId="68" fillId="102" borderId="20">
      <alignment horizontal="right" vertical="top" shrinkToFit="1"/>
    </xf>
    <xf numFmtId="4" fontId="68" fillId="102" borderId="20">
      <alignment horizontal="right" vertical="top" shrinkToFit="1"/>
    </xf>
    <xf numFmtId="4" fontId="68" fillId="102" borderId="20">
      <alignment horizontal="right" vertical="top" shrinkToFit="1"/>
    </xf>
    <xf numFmtId="4" fontId="68" fillId="102" borderId="20">
      <alignment horizontal="right" vertical="top" shrinkToFit="1"/>
    </xf>
    <xf numFmtId="4" fontId="68" fillId="102" borderId="20">
      <alignment horizontal="right" vertical="top" shrinkToFit="1"/>
    </xf>
    <xf numFmtId="4" fontId="68" fillId="102" borderId="20">
      <alignment horizontal="right" vertical="top" shrinkToFit="1"/>
    </xf>
    <xf numFmtId="4" fontId="68" fillId="102" borderId="20">
      <alignment horizontal="right" vertical="top" shrinkToFit="1"/>
    </xf>
    <xf numFmtId="4" fontId="68" fillId="102" borderId="20">
      <alignment horizontal="right" vertical="top" shrinkToFit="1"/>
    </xf>
    <xf numFmtId="4" fontId="68" fillId="102" borderId="20">
      <alignment horizontal="right" vertical="top" shrinkToFit="1"/>
    </xf>
    <xf numFmtId="4" fontId="68" fillId="102" borderId="20">
      <alignment horizontal="right" vertical="top" shrinkToFit="1"/>
    </xf>
    <xf numFmtId="0" fontId="68" fillId="102" borderId="20">
      <alignment vertical="top" shrinkToFit="1"/>
    </xf>
    <xf numFmtId="0" fontId="68" fillId="102" borderId="20">
      <alignment vertical="top" shrinkToFit="1"/>
    </xf>
    <xf numFmtId="0" fontId="68" fillId="102" borderId="20">
      <alignment vertical="top" shrinkToFit="1"/>
    </xf>
    <xf numFmtId="0" fontId="68" fillId="102" borderId="20">
      <alignment vertical="top" shrinkToFit="1"/>
    </xf>
    <xf numFmtId="0" fontId="68" fillId="102" borderId="20">
      <alignment vertical="top" shrinkToFit="1"/>
    </xf>
    <xf numFmtId="0" fontId="68" fillId="102" borderId="20">
      <alignment vertical="top" shrinkToFit="1"/>
    </xf>
    <xf numFmtId="0" fontId="68" fillId="102" borderId="20">
      <alignment vertical="top" shrinkToFit="1"/>
    </xf>
    <xf numFmtId="0" fontId="68" fillId="102" borderId="20">
      <alignment vertical="top" shrinkToFit="1"/>
    </xf>
    <xf numFmtId="0" fontId="68" fillId="102" borderId="20">
      <alignment vertical="top" shrinkToFit="1"/>
    </xf>
    <xf numFmtId="0" fontId="68" fillId="102" borderId="20">
      <alignment vertical="top" shrinkToFit="1"/>
    </xf>
    <xf numFmtId="0" fontId="68" fillId="102" borderId="20">
      <alignment vertical="top" shrinkToFit="1"/>
    </xf>
    <xf numFmtId="0" fontId="68" fillId="102" borderId="20">
      <alignment vertical="top" shrinkToFit="1"/>
    </xf>
    <xf numFmtId="0" fontId="68" fillId="102" borderId="20">
      <alignment vertical="top" shrinkToFit="1"/>
    </xf>
    <xf numFmtId="0" fontId="68" fillId="102" borderId="20">
      <alignment vertical="top" shrinkToFit="1"/>
    </xf>
    <xf numFmtId="0" fontId="68" fillId="102" borderId="20">
      <alignment vertical="top" shrinkToFit="1"/>
    </xf>
    <xf numFmtId="0" fontId="68" fillId="102" borderId="20">
      <alignment vertical="top" shrinkToFit="1"/>
    </xf>
    <xf numFmtId="0" fontId="68" fillId="102" borderId="20">
      <alignment vertical="top" shrinkToFit="1"/>
    </xf>
    <xf numFmtId="0" fontId="68" fillId="102" borderId="20">
      <alignment vertical="top" shrinkToFit="1"/>
    </xf>
    <xf numFmtId="0" fontId="68" fillId="102" borderId="20">
      <alignment vertical="top" shrinkToFit="1"/>
    </xf>
    <xf numFmtId="0" fontId="68" fillId="102" borderId="20">
      <alignment vertical="top" shrinkToFit="1"/>
    </xf>
    <xf numFmtId="0" fontId="68" fillId="102" borderId="20">
      <alignment vertical="top" shrinkToFit="1"/>
    </xf>
    <xf numFmtId="0" fontId="68" fillId="102" borderId="20">
      <alignment vertical="top" shrinkToFit="1"/>
    </xf>
    <xf numFmtId="0" fontId="68" fillId="102" borderId="20">
      <alignment vertical="top" shrinkToFit="1"/>
    </xf>
    <xf numFmtId="0" fontId="68" fillId="102" borderId="20">
      <alignment vertical="top" shrinkToFit="1"/>
    </xf>
    <xf numFmtId="0" fontId="68" fillId="102" borderId="20">
      <alignment vertical="top" shrinkToFit="1"/>
    </xf>
    <xf numFmtId="0" fontId="68" fillId="102" borderId="20">
      <alignment vertical="top" shrinkToFit="1"/>
    </xf>
    <xf numFmtId="0" fontId="68" fillId="102" borderId="20">
      <alignment vertical="top" shrinkToFit="1"/>
    </xf>
    <xf numFmtId="0" fontId="68" fillId="102" borderId="20">
      <alignment vertical="top" shrinkToFit="1"/>
    </xf>
    <xf numFmtId="0" fontId="68" fillId="102" borderId="20">
      <alignment vertical="top" shrinkToFit="1"/>
    </xf>
    <xf numFmtId="0" fontId="68" fillId="102" borderId="20">
      <alignment vertical="top" shrinkToFit="1"/>
    </xf>
    <xf numFmtId="0" fontId="68" fillId="102" borderId="20">
      <alignment vertical="top" shrinkToFit="1"/>
    </xf>
    <xf numFmtId="0" fontId="68" fillId="102" borderId="20">
      <alignment vertical="top" shrinkToFit="1"/>
    </xf>
    <xf numFmtId="0" fontId="68" fillId="102" borderId="20">
      <alignment vertical="top" shrinkToFit="1"/>
    </xf>
    <xf numFmtId="0" fontId="68" fillId="102" borderId="20">
      <alignment vertical="top" shrinkToFit="1"/>
    </xf>
    <xf numFmtId="0" fontId="68" fillId="102" borderId="20">
      <alignment vertical="top" shrinkToFit="1"/>
    </xf>
    <xf numFmtId="0" fontId="68" fillId="102" borderId="20">
      <alignment vertical="top" shrinkToFit="1"/>
    </xf>
    <xf numFmtId="0" fontId="68" fillId="102" borderId="20">
      <alignment vertical="top" shrinkToFit="1"/>
    </xf>
    <xf numFmtId="0" fontId="68" fillId="102" borderId="20">
      <alignment vertical="top" shrinkToFit="1"/>
    </xf>
    <xf numFmtId="0" fontId="68" fillId="102" borderId="20">
      <alignment vertical="top" shrinkToFit="1"/>
    </xf>
    <xf numFmtId="0" fontId="68" fillId="102" borderId="20">
      <alignment vertical="top" shrinkToFit="1"/>
    </xf>
    <xf numFmtId="0" fontId="68" fillId="102" borderId="20">
      <alignment vertical="top" shrinkToFit="1"/>
    </xf>
    <xf numFmtId="0" fontId="68" fillId="102" borderId="20">
      <alignment vertical="top" shrinkToFit="1"/>
    </xf>
    <xf numFmtId="0" fontId="68" fillId="102" borderId="20">
      <alignment vertical="top" shrinkToFit="1"/>
    </xf>
    <xf numFmtId="0" fontId="68" fillId="102" borderId="20">
      <alignment vertical="top" shrinkToFit="1"/>
    </xf>
    <xf numFmtId="0" fontId="68" fillId="102" borderId="20">
      <alignment vertical="top" shrinkToFit="1"/>
    </xf>
    <xf numFmtId="0" fontId="68" fillId="102" borderId="20">
      <alignment vertical="top" shrinkToFit="1"/>
    </xf>
    <xf numFmtId="0" fontId="68" fillId="102" borderId="20">
      <alignment vertical="top" shrinkToFit="1"/>
    </xf>
    <xf numFmtId="0" fontId="68" fillId="102" borderId="20">
      <alignment vertical="top" shrinkToFit="1"/>
    </xf>
    <xf numFmtId="0" fontId="68" fillId="102" borderId="20">
      <alignment vertical="top" shrinkToFit="1"/>
    </xf>
    <xf numFmtId="0" fontId="68" fillId="102" borderId="20">
      <alignment vertical="top" shrinkToFit="1"/>
    </xf>
    <xf numFmtId="0" fontId="68" fillId="102" borderId="20">
      <alignment vertical="top" shrinkToFit="1"/>
    </xf>
    <xf numFmtId="0" fontId="68" fillId="102" borderId="20">
      <alignment vertical="top" shrinkToFit="1"/>
    </xf>
    <xf numFmtId="0" fontId="68" fillId="102" borderId="20">
      <alignment vertical="top" shrinkToFit="1"/>
    </xf>
    <xf numFmtId="0" fontId="68" fillId="102" borderId="20">
      <alignment vertical="top" shrinkToFit="1"/>
    </xf>
    <xf numFmtId="0" fontId="68" fillId="102" borderId="20">
      <alignment vertical="top" shrinkToFit="1"/>
    </xf>
    <xf numFmtId="0" fontId="68" fillId="102" borderId="20">
      <alignment vertical="top" shrinkToFit="1"/>
    </xf>
    <xf numFmtId="49" fontId="68" fillId="101" borderId="21">
      <alignment horizontal="center" vertical="top" shrinkToFit="1"/>
    </xf>
    <xf numFmtId="49" fontId="68" fillId="101" borderId="21">
      <alignment horizontal="center" vertical="top" shrinkToFit="1"/>
    </xf>
    <xf numFmtId="49" fontId="68" fillId="101" borderId="21">
      <alignment horizontal="center" vertical="top" shrinkToFit="1"/>
    </xf>
    <xf numFmtId="49" fontId="68" fillId="101" borderId="21">
      <alignment horizontal="center" vertical="top" shrinkToFit="1"/>
    </xf>
    <xf numFmtId="49" fontId="68" fillId="101" borderId="21">
      <alignment horizontal="center" vertical="top" shrinkToFit="1"/>
    </xf>
    <xf numFmtId="49" fontId="68" fillId="101" borderId="21">
      <alignment horizontal="center" vertical="top" shrinkToFit="1"/>
    </xf>
    <xf numFmtId="49" fontId="68" fillId="101" borderId="21">
      <alignment horizontal="center" vertical="top" shrinkToFit="1"/>
    </xf>
    <xf numFmtId="49" fontId="68" fillId="101" borderId="21">
      <alignment horizontal="center" vertical="top" shrinkToFit="1"/>
    </xf>
    <xf numFmtId="0" fontId="68" fillId="101" borderId="21">
      <alignment horizontal="left" vertical="top" wrapText="1"/>
    </xf>
    <xf numFmtId="0" fontId="68" fillId="101" borderId="21">
      <alignment horizontal="left" vertical="top" wrapText="1"/>
    </xf>
    <xf numFmtId="0" fontId="68" fillId="101" borderId="21">
      <alignment horizontal="left" vertical="top" wrapText="1"/>
    </xf>
    <xf numFmtId="0" fontId="68" fillId="101" borderId="21">
      <alignment horizontal="left" vertical="top" wrapText="1"/>
    </xf>
    <xf numFmtId="0" fontId="68" fillId="101" borderId="21">
      <alignment horizontal="left" vertical="top" wrapText="1"/>
    </xf>
    <xf numFmtId="0" fontId="68" fillId="101" borderId="21">
      <alignment horizontal="left" vertical="top" wrapText="1"/>
    </xf>
    <xf numFmtId="0" fontId="68" fillId="101" borderId="21">
      <alignment horizontal="left" vertical="top" wrapText="1"/>
    </xf>
    <xf numFmtId="0" fontId="68" fillId="101" borderId="21">
      <alignment horizontal="left" vertical="top" wrapText="1"/>
    </xf>
    <xf numFmtId="0" fontId="68" fillId="101" borderId="22">
      <alignment horizontal="left" vertical="top" wrapText="1"/>
    </xf>
    <xf numFmtId="0" fontId="68" fillId="101" borderId="22">
      <alignment horizontal="left" vertical="top" wrapText="1"/>
    </xf>
    <xf numFmtId="0" fontId="68" fillId="101" borderId="22">
      <alignment horizontal="left" vertical="top" wrapText="1"/>
    </xf>
    <xf numFmtId="0" fontId="68" fillId="101" borderId="22">
      <alignment horizontal="left" vertical="top" wrapText="1"/>
    </xf>
    <xf numFmtId="0" fontId="68" fillId="101" borderId="22">
      <alignment horizontal="left" vertical="top" wrapText="1"/>
    </xf>
    <xf numFmtId="0" fontId="68" fillId="101" borderId="22">
      <alignment horizontal="left" vertical="top" wrapText="1"/>
    </xf>
    <xf numFmtId="0" fontId="68" fillId="101" borderId="22">
      <alignment horizontal="left" vertical="top" wrapText="1"/>
    </xf>
    <xf numFmtId="0" fontId="68" fillId="101" borderId="22">
      <alignment horizontal="left" vertical="top" wrapText="1"/>
    </xf>
    <xf numFmtId="49" fontId="68" fillId="101" borderId="22">
      <alignment horizontal="center" vertical="top" shrinkToFit="1"/>
    </xf>
    <xf numFmtId="49" fontId="68" fillId="101" borderId="22">
      <alignment horizontal="center" vertical="top" shrinkToFit="1"/>
    </xf>
    <xf numFmtId="49" fontId="68" fillId="101" borderId="22">
      <alignment horizontal="center" vertical="top" shrinkToFit="1"/>
    </xf>
    <xf numFmtId="49" fontId="68" fillId="101" borderId="22">
      <alignment horizontal="center" vertical="top" shrinkToFit="1"/>
    </xf>
    <xf numFmtId="49" fontId="68" fillId="101" borderId="22">
      <alignment horizontal="center" vertical="top" shrinkToFit="1"/>
    </xf>
    <xf numFmtId="49" fontId="68" fillId="101" borderId="22">
      <alignment horizontal="center" vertical="top" shrinkToFit="1"/>
    </xf>
    <xf numFmtId="49" fontId="68" fillId="101" borderId="22">
      <alignment horizontal="center" vertical="top" shrinkToFit="1"/>
    </xf>
    <xf numFmtId="49" fontId="68" fillId="101" borderId="22">
      <alignment horizontal="center" vertical="top" shrinkToFit="1"/>
    </xf>
    <xf numFmtId="49" fontId="68" fillId="101" borderId="22">
      <alignment horizontal="center" vertical="top" shrinkToFit="1"/>
    </xf>
    <xf numFmtId="49" fontId="68" fillId="101" borderId="22">
      <alignment horizontal="center" vertical="top" shrinkToFit="1"/>
    </xf>
    <xf numFmtId="49" fontId="68" fillId="101" borderId="22">
      <alignment horizontal="center" vertical="top" shrinkToFit="1"/>
    </xf>
    <xf numFmtId="49" fontId="68" fillId="101" borderId="22">
      <alignment horizontal="center" vertical="top" shrinkToFit="1"/>
    </xf>
    <xf numFmtId="49" fontId="68" fillId="101" borderId="22">
      <alignment horizontal="center" vertical="top" shrinkToFit="1"/>
    </xf>
    <xf numFmtId="49" fontId="68" fillId="101" borderId="22">
      <alignment horizontal="center" vertical="top" shrinkToFit="1"/>
    </xf>
    <xf numFmtId="49" fontId="68" fillId="101" borderId="22">
      <alignment horizontal="center" vertical="top" shrinkToFit="1"/>
    </xf>
    <xf numFmtId="49" fontId="68" fillId="101" borderId="22">
      <alignment horizontal="center" vertical="top" shrinkToFit="1"/>
    </xf>
    <xf numFmtId="49" fontId="68" fillId="101" borderId="22">
      <alignment horizontal="center" vertical="top" shrinkToFit="1"/>
    </xf>
    <xf numFmtId="49" fontId="68" fillId="101" borderId="22">
      <alignment horizontal="center" vertical="top" shrinkToFit="1"/>
    </xf>
    <xf numFmtId="49" fontId="68" fillId="101" borderId="22">
      <alignment horizontal="center" vertical="top" shrinkToFit="1"/>
    </xf>
    <xf numFmtId="49" fontId="68" fillId="101" borderId="22">
      <alignment horizontal="center" vertical="top" shrinkToFit="1"/>
    </xf>
    <xf numFmtId="49" fontId="68" fillId="101" borderId="22">
      <alignment horizontal="center" vertical="top" shrinkToFit="1"/>
    </xf>
    <xf numFmtId="49" fontId="68" fillId="101" borderId="22">
      <alignment horizontal="center" vertical="top" shrinkToFit="1"/>
    </xf>
    <xf numFmtId="49" fontId="68" fillId="101" borderId="22">
      <alignment horizontal="center" vertical="top" shrinkToFit="1"/>
    </xf>
    <xf numFmtId="49" fontId="68" fillId="101" borderId="22">
      <alignment horizontal="center" vertical="top" shrinkToFit="1"/>
    </xf>
    <xf numFmtId="0" fontId="68" fillId="101" borderId="22">
      <alignment horizontal="left" vertical="top" wrapText="1"/>
    </xf>
    <xf numFmtId="0" fontId="68" fillId="101" borderId="22">
      <alignment horizontal="left" vertical="top" wrapText="1"/>
    </xf>
    <xf numFmtId="0" fontId="68" fillId="101" borderId="22">
      <alignment horizontal="left" vertical="top" wrapText="1"/>
    </xf>
    <xf numFmtId="0" fontId="68" fillId="101" borderId="22">
      <alignment horizontal="left" vertical="top" wrapText="1"/>
    </xf>
    <xf numFmtId="0" fontId="68" fillId="101" borderId="22">
      <alignment horizontal="left" vertical="top" wrapText="1"/>
    </xf>
    <xf numFmtId="0" fontId="68" fillId="101" borderId="22">
      <alignment horizontal="left" vertical="top" wrapText="1"/>
    </xf>
    <xf numFmtId="0" fontId="68" fillId="101" borderId="22">
      <alignment horizontal="left" vertical="top" wrapText="1"/>
    </xf>
    <xf numFmtId="0" fontId="68" fillId="101" borderId="22">
      <alignment horizontal="left" vertical="top" wrapText="1"/>
    </xf>
    <xf numFmtId="0" fontId="68" fillId="101" borderId="22">
      <alignment horizontal="left" vertical="top" wrapText="1"/>
    </xf>
    <xf numFmtId="0" fontId="68" fillId="101" borderId="22">
      <alignment horizontal="left" vertical="top" wrapText="1"/>
    </xf>
    <xf numFmtId="0" fontId="68" fillId="101" borderId="22">
      <alignment horizontal="left" vertical="top" wrapText="1"/>
    </xf>
    <xf numFmtId="0" fontId="68" fillId="101" borderId="22">
      <alignment horizontal="left" vertical="top" wrapText="1"/>
    </xf>
    <xf numFmtId="0" fontId="68" fillId="101" borderId="22">
      <alignment horizontal="left" vertical="top" wrapText="1"/>
    </xf>
    <xf numFmtId="0" fontId="68" fillId="101" borderId="22">
      <alignment horizontal="left" vertical="top" wrapText="1"/>
    </xf>
    <xf numFmtId="0" fontId="68" fillId="101" borderId="22">
      <alignment horizontal="left" vertical="top" wrapText="1"/>
    </xf>
    <xf numFmtId="0" fontId="68" fillId="101" borderId="22">
      <alignment horizontal="left" vertical="top" wrapText="1"/>
    </xf>
    <xf numFmtId="4" fontId="68" fillId="101" borderId="22">
      <alignment horizontal="right" vertical="top" shrinkToFit="1"/>
    </xf>
    <xf numFmtId="4" fontId="68" fillId="101" borderId="22">
      <alignment horizontal="right" vertical="top" shrinkToFit="1"/>
    </xf>
    <xf numFmtId="4" fontId="68" fillId="101" borderId="22">
      <alignment horizontal="right" vertical="top" shrinkToFit="1"/>
    </xf>
    <xf numFmtId="4" fontId="68" fillId="101" borderId="22">
      <alignment horizontal="right" vertical="top" shrinkToFit="1"/>
    </xf>
    <xf numFmtId="4" fontId="68" fillId="101" borderId="22">
      <alignment horizontal="right" vertical="top" shrinkToFit="1"/>
    </xf>
    <xf numFmtId="4" fontId="68" fillId="101" borderId="22">
      <alignment horizontal="right" vertical="top" shrinkToFit="1"/>
    </xf>
    <xf numFmtId="4" fontId="68" fillId="101" borderId="22">
      <alignment horizontal="right" vertical="top" shrinkToFit="1"/>
    </xf>
    <xf numFmtId="4" fontId="68" fillId="101" borderId="22">
      <alignment horizontal="right" vertical="top" shrinkToFit="1"/>
    </xf>
    <xf numFmtId="4" fontId="68" fillId="101" borderId="22">
      <alignment horizontal="right" vertical="top" shrinkToFit="1"/>
    </xf>
    <xf numFmtId="4" fontId="68" fillId="101" borderId="22">
      <alignment horizontal="right" vertical="top" shrinkToFit="1"/>
    </xf>
    <xf numFmtId="4" fontId="68" fillId="101" borderId="22">
      <alignment horizontal="right" vertical="top" shrinkToFit="1"/>
    </xf>
    <xf numFmtId="4" fontId="68" fillId="101" borderId="22">
      <alignment horizontal="right" vertical="top" shrinkToFit="1"/>
    </xf>
    <xf numFmtId="4" fontId="68" fillId="101" borderId="22">
      <alignment horizontal="right" vertical="top" shrinkToFit="1"/>
    </xf>
    <xf numFmtId="4" fontId="68" fillId="101" borderId="22">
      <alignment horizontal="right" vertical="top" shrinkToFit="1"/>
    </xf>
    <xf numFmtId="4" fontId="68" fillId="101" borderId="22">
      <alignment horizontal="right" vertical="top" shrinkToFit="1"/>
    </xf>
    <xf numFmtId="4" fontId="68" fillId="101" borderId="22">
      <alignment horizontal="right" vertical="top" shrinkToFit="1"/>
    </xf>
    <xf numFmtId="0" fontId="68" fillId="101" borderId="23">
      <alignment vertical="top" shrinkToFit="1"/>
    </xf>
    <xf numFmtId="4" fontId="68" fillId="101" borderId="23">
      <alignment horizontal="right" vertical="top" shrinkToFit="1"/>
    </xf>
    <xf numFmtId="4" fontId="68" fillId="101" borderId="23">
      <alignment horizontal="right" vertical="top" shrinkToFit="1"/>
    </xf>
    <xf numFmtId="4" fontId="68" fillId="101" borderId="23">
      <alignment horizontal="right" vertical="top" shrinkToFit="1"/>
    </xf>
    <xf numFmtId="4" fontId="68" fillId="101" borderId="23">
      <alignment horizontal="right" vertical="top" shrinkToFit="1"/>
    </xf>
    <xf numFmtId="4" fontId="68" fillId="101" borderId="23">
      <alignment horizontal="right" vertical="top" shrinkToFit="1"/>
    </xf>
    <xf numFmtId="4" fontId="68" fillId="101" borderId="23">
      <alignment horizontal="right" vertical="top" shrinkToFit="1"/>
    </xf>
    <xf numFmtId="4" fontId="68" fillId="101" borderId="23">
      <alignment horizontal="right" vertical="top" shrinkToFit="1"/>
    </xf>
    <xf numFmtId="4" fontId="68" fillId="101" borderId="23">
      <alignment horizontal="right" vertical="top" shrinkToFit="1"/>
    </xf>
    <xf numFmtId="169" fontId="68" fillId="101" borderId="23">
      <alignment horizontal="right" vertical="top" shrinkToFit="1"/>
    </xf>
    <xf numFmtId="169" fontId="68" fillId="101" borderId="23">
      <alignment horizontal="right" vertical="top" shrinkToFit="1"/>
    </xf>
    <xf numFmtId="169" fontId="68" fillId="101" borderId="23">
      <alignment horizontal="right" vertical="top" shrinkToFit="1"/>
    </xf>
    <xf numFmtId="169" fontId="68" fillId="101" borderId="23">
      <alignment horizontal="right" vertical="top" shrinkToFit="1"/>
    </xf>
    <xf numFmtId="169" fontId="68" fillId="101" borderId="23">
      <alignment horizontal="right" vertical="top" shrinkToFit="1"/>
    </xf>
    <xf numFmtId="169" fontId="68" fillId="101" borderId="23">
      <alignment horizontal="right" vertical="top" shrinkToFit="1"/>
    </xf>
    <xf numFmtId="169" fontId="68" fillId="101" borderId="23">
      <alignment horizontal="right" vertical="top" shrinkToFit="1"/>
    </xf>
    <xf numFmtId="169" fontId="68" fillId="101" borderId="23">
      <alignment horizontal="right" vertical="top" shrinkToFit="1"/>
    </xf>
    <xf numFmtId="0" fontId="68" fillId="101" borderId="23">
      <alignment vertical="top" shrinkToFit="1"/>
    </xf>
    <xf numFmtId="0" fontId="68" fillId="101" borderId="23">
      <alignment vertical="top" shrinkToFit="1"/>
    </xf>
    <xf numFmtId="0" fontId="68" fillId="101" borderId="23">
      <alignment vertical="top" shrinkToFit="1"/>
    </xf>
    <xf numFmtId="0" fontId="68" fillId="101" borderId="23">
      <alignment vertical="top" shrinkToFit="1"/>
    </xf>
    <xf numFmtId="0" fontId="68" fillId="101" borderId="23">
      <alignment vertical="top" shrinkToFit="1"/>
    </xf>
    <xf numFmtId="0" fontId="68" fillId="101" borderId="23">
      <alignment vertical="top" shrinkToFit="1"/>
    </xf>
    <xf numFmtId="0" fontId="68" fillId="101" borderId="23">
      <alignment vertical="top" shrinkToFit="1"/>
    </xf>
    <xf numFmtId="0" fontId="71" fillId="0" borderId="22">
      <alignment horizontal="left" vertical="top" wrapText="1"/>
    </xf>
    <xf numFmtId="0" fontId="71" fillId="0" borderId="22">
      <alignment horizontal="left" vertical="top" wrapText="1"/>
    </xf>
    <xf numFmtId="0" fontId="71" fillId="0" borderId="22">
      <alignment horizontal="left" vertical="top" wrapText="1"/>
    </xf>
    <xf numFmtId="0" fontId="71" fillId="0" borderId="22">
      <alignment horizontal="left" vertical="top" wrapText="1"/>
    </xf>
    <xf numFmtId="0" fontId="71" fillId="0" borderId="22">
      <alignment horizontal="left" vertical="top" wrapText="1"/>
    </xf>
    <xf numFmtId="0" fontId="71" fillId="0" borderId="22">
      <alignment horizontal="left" vertical="top" wrapText="1"/>
    </xf>
    <xf numFmtId="0" fontId="71" fillId="0" borderId="22">
      <alignment horizontal="left" vertical="top" wrapText="1"/>
    </xf>
    <xf numFmtId="0" fontId="71" fillId="0" borderId="22">
      <alignment horizontal="left" vertical="top" wrapText="1"/>
    </xf>
    <xf numFmtId="49" fontId="71" fillId="0" borderId="22">
      <alignment horizontal="center" vertical="top" shrinkToFit="1"/>
    </xf>
    <xf numFmtId="49" fontId="71" fillId="0" borderId="22">
      <alignment horizontal="center" vertical="top" shrinkToFit="1"/>
    </xf>
    <xf numFmtId="49" fontId="71" fillId="0" borderId="22">
      <alignment horizontal="center" vertical="top" shrinkToFit="1"/>
    </xf>
    <xf numFmtId="49" fontId="71" fillId="0" borderId="22">
      <alignment horizontal="center" vertical="top" shrinkToFit="1"/>
    </xf>
    <xf numFmtId="49" fontId="71" fillId="0" borderId="22">
      <alignment horizontal="center" vertical="top" shrinkToFit="1"/>
    </xf>
    <xf numFmtId="49" fontId="71" fillId="0" borderId="22">
      <alignment horizontal="center" vertical="top" shrinkToFit="1"/>
    </xf>
    <xf numFmtId="49" fontId="71" fillId="0" borderId="22">
      <alignment horizontal="center" vertical="top" shrinkToFit="1"/>
    </xf>
    <xf numFmtId="49" fontId="71" fillId="0" borderId="22">
      <alignment horizontal="center" vertical="top" shrinkToFit="1"/>
    </xf>
    <xf numFmtId="49" fontId="71" fillId="0" borderId="22">
      <alignment horizontal="center" vertical="top" shrinkToFit="1"/>
    </xf>
    <xf numFmtId="49" fontId="71" fillId="0" borderId="22">
      <alignment horizontal="center" vertical="top" shrinkToFit="1"/>
    </xf>
    <xf numFmtId="49" fontId="71" fillId="0" borderId="22">
      <alignment horizontal="center" vertical="top" shrinkToFit="1"/>
    </xf>
    <xf numFmtId="49" fontId="71" fillId="0" borderId="22">
      <alignment horizontal="center" vertical="top" shrinkToFit="1"/>
    </xf>
    <xf numFmtId="49" fontId="71" fillId="0" borderId="22">
      <alignment horizontal="center" vertical="top" shrinkToFit="1"/>
    </xf>
    <xf numFmtId="49" fontId="71" fillId="0" borderId="22">
      <alignment horizontal="center" vertical="top" shrinkToFit="1"/>
    </xf>
    <xf numFmtId="49" fontId="71" fillId="0" borderId="22">
      <alignment horizontal="center" vertical="top" shrinkToFit="1"/>
    </xf>
    <xf numFmtId="49" fontId="71" fillId="0" borderId="22">
      <alignment horizontal="center" vertical="top" shrinkToFit="1"/>
    </xf>
    <xf numFmtId="49" fontId="71" fillId="0" borderId="22">
      <alignment horizontal="center" vertical="top" shrinkToFit="1"/>
    </xf>
    <xf numFmtId="49" fontId="71" fillId="0" borderId="22">
      <alignment horizontal="center" vertical="top" shrinkToFit="1"/>
    </xf>
    <xf numFmtId="49" fontId="71" fillId="0" borderId="22">
      <alignment horizontal="center" vertical="top" shrinkToFit="1"/>
    </xf>
    <xf numFmtId="49" fontId="71" fillId="0" borderId="22">
      <alignment horizontal="center" vertical="top" shrinkToFit="1"/>
    </xf>
    <xf numFmtId="49" fontId="71" fillId="0" borderId="22">
      <alignment horizontal="center" vertical="top" shrinkToFit="1"/>
    </xf>
    <xf numFmtId="49" fontId="71" fillId="0" borderId="22">
      <alignment horizontal="center" vertical="top" shrinkToFit="1"/>
    </xf>
    <xf numFmtId="49" fontId="71" fillId="0" borderId="22">
      <alignment horizontal="center" vertical="top" shrinkToFit="1"/>
    </xf>
    <xf numFmtId="49" fontId="71" fillId="0" borderId="22">
      <alignment horizontal="center" vertical="top" shrinkToFit="1"/>
    </xf>
    <xf numFmtId="0" fontId="71" fillId="0" borderId="22">
      <alignment horizontal="left" vertical="top" wrapText="1"/>
    </xf>
    <xf numFmtId="0" fontId="71" fillId="0" borderId="22">
      <alignment horizontal="left" vertical="top" wrapText="1"/>
    </xf>
    <xf numFmtId="0" fontId="71" fillId="0" borderId="22">
      <alignment horizontal="left" vertical="top" wrapText="1"/>
    </xf>
    <xf numFmtId="0" fontId="71" fillId="0" borderId="22">
      <alignment horizontal="left" vertical="top" wrapText="1"/>
    </xf>
    <xf numFmtId="0" fontId="71" fillId="0" borderId="22">
      <alignment horizontal="left" vertical="top" wrapText="1"/>
    </xf>
    <xf numFmtId="0" fontId="71" fillId="0" borderId="22">
      <alignment horizontal="left" vertical="top" wrapText="1"/>
    </xf>
    <xf numFmtId="0" fontId="71" fillId="0" borderId="22">
      <alignment horizontal="left" vertical="top" wrapText="1"/>
    </xf>
    <xf numFmtId="0" fontId="71" fillId="0" borderId="22">
      <alignment horizontal="left" vertical="top" wrapText="1"/>
    </xf>
    <xf numFmtId="0" fontId="71" fillId="0" borderId="22">
      <alignment horizontal="left" vertical="top" wrapText="1"/>
    </xf>
    <xf numFmtId="0" fontId="71" fillId="0" borderId="22">
      <alignment horizontal="left" vertical="top" wrapText="1"/>
    </xf>
    <xf numFmtId="0" fontId="71" fillId="0" borderId="22">
      <alignment horizontal="left" vertical="top" wrapText="1"/>
    </xf>
    <xf numFmtId="0" fontId="71" fillId="0" borderId="22">
      <alignment horizontal="left" vertical="top" wrapText="1"/>
    </xf>
    <xf numFmtId="0" fontId="71" fillId="0" borderId="22">
      <alignment horizontal="left" vertical="top" wrapText="1"/>
    </xf>
    <xf numFmtId="0" fontId="71" fillId="0" borderId="22">
      <alignment horizontal="left" vertical="top" wrapText="1"/>
    </xf>
    <xf numFmtId="0" fontId="71" fillId="0" borderId="22">
      <alignment horizontal="left" vertical="top" wrapText="1"/>
    </xf>
    <xf numFmtId="0" fontId="71" fillId="0" borderId="22">
      <alignment horizontal="left" vertical="top" wrapText="1"/>
    </xf>
    <xf numFmtId="4" fontId="71" fillId="0" borderId="22">
      <alignment horizontal="right" vertical="top" shrinkToFit="1"/>
    </xf>
    <xf numFmtId="4" fontId="71" fillId="0" borderId="22">
      <alignment horizontal="right" vertical="top" shrinkToFit="1"/>
    </xf>
    <xf numFmtId="4" fontId="71" fillId="0" borderId="22">
      <alignment horizontal="right" vertical="top" shrinkToFit="1"/>
    </xf>
    <xf numFmtId="4" fontId="71" fillId="0" borderId="22">
      <alignment horizontal="right" vertical="top" shrinkToFit="1"/>
    </xf>
    <xf numFmtId="4" fontId="71" fillId="0" borderId="22">
      <alignment horizontal="right" vertical="top" shrinkToFit="1"/>
    </xf>
    <xf numFmtId="4" fontId="71" fillId="0" borderId="22">
      <alignment horizontal="right" vertical="top" shrinkToFit="1"/>
    </xf>
    <xf numFmtId="4" fontId="71" fillId="0" borderId="22">
      <alignment horizontal="right" vertical="top" shrinkToFit="1"/>
    </xf>
    <xf numFmtId="4" fontId="71" fillId="0" borderId="22">
      <alignment horizontal="right" vertical="top" shrinkToFit="1"/>
    </xf>
    <xf numFmtId="4" fontId="71" fillId="0" borderId="22">
      <alignment horizontal="right" vertical="top" shrinkToFit="1"/>
    </xf>
    <xf numFmtId="4" fontId="71" fillId="0" borderId="22">
      <alignment horizontal="right" vertical="top" shrinkToFit="1"/>
    </xf>
    <xf numFmtId="4" fontId="71" fillId="0" borderId="22">
      <alignment horizontal="right" vertical="top" shrinkToFit="1"/>
    </xf>
    <xf numFmtId="4" fontId="71" fillId="0" borderId="22">
      <alignment horizontal="right" vertical="top" shrinkToFit="1"/>
    </xf>
    <xf numFmtId="4" fontId="71" fillId="0" borderId="22">
      <alignment horizontal="right" vertical="top" shrinkToFit="1"/>
    </xf>
    <xf numFmtId="4" fontId="71" fillId="0" borderId="22">
      <alignment horizontal="right" vertical="top" shrinkToFit="1"/>
    </xf>
    <xf numFmtId="4" fontId="71" fillId="0" borderId="22">
      <alignment horizontal="right" vertical="top" shrinkToFit="1"/>
    </xf>
    <xf numFmtId="4" fontId="71" fillId="0" borderId="22">
      <alignment horizontal="right" vertical="top" shrinkToFit="1"/>
    </xf>
    <xf numFmtId="0" fontId="71" fillId="0" borderId="23">
      <alignment vertical="top" shrinkToFit="1"/>
    </xf>
    <xf numFmtId="4" fontId="71" fillId="0" borderId="23">
      <alignment horizontal="right" vertical="top" shrinkToFit="1"/>
    </xf>
    <xf numFmtId="4" fontId="71" fillId="0" borderId="23">
      <alignment horizontal="right" vertical="top" shrinkToFit="1"/>
    </xf>
    <xf numFmtId="4" fontId="71" fillId="0" borderId="23">
      <alignment horizontal="right" vertical="top" shrinkToFit="1"/>
    </xf>
    <xf numFmtId="4" fontId="71" fillId="0" borderId="23">
      <alignment horizontal="right" vertical="top" shrinkToFit="1"/>
    </xf>
    <xf numFmtId="4" fontId="71" fillId="0" borderId="23">
      <alignment horizontal="right" vertical="top" shrinkToFit="1"/>
    </xf>
    <xf numFmtId="4" fontId="71" fillId="0" borderId="23">
      <alignment horizontal="right" vertical="top" shrinkToFit="1"/>
    </xf>
    <xf numFmtId="4" fontId="71" fillId="0" borderId="23">
      <alignment horizontal="right" vertical="top" shrinkToFit="1"/>
    </xf>
    <xf numFmtId="4" fontId="71" fillId="0" borderId="23">
      <alignment horizontal="right" vertical="top" shrinkToFit="1"/>
    </xf>
    <xf numFmtId="169" fontId="71" fillId="0" borderId="23">
      <alignment horizontal="right" vertical="top" shrinkToFit="1"/>
    </xf>
    <xf numFmtId="169" fontId="71" fillId="0" borderId="23">
      <alignment horizontal="right" vertical="top" shrinkToFit="1"/>
    </xf>
    <xf numFmtId="169" fontId="71" fillId="0" borderId="23">
      <alignment horizontal="right" vertical="top" shrinkToFit="1"/>
    </xf>
    <xf numFmtId="169" fontId="71" fillId="0" borderId="23">
      <alignment horizontal="right" vertical="top" shrinkToFit="1"/>
    </xf>
    <xf numFmtId="169" fontId="71" fillId="0" borderId="23">
      <alignment horizontal="right" vertical="top" shrinkToFit="1"/>
    </xf>
    <xf numFmtId="169" fontId="71" fillId="0" borderId="23">
      <alignment horizontal="right" vertical="top" shrinkToFit="1"/>
    </xf>
    <xf numFmtId="169" fontId="71" fillId="0" borderId="23">
      <alignment horizontal="right" vertical="top" shrinkToFit="1"/>
    </xf>
    <xf numFmtId="169" fontId="71" fillId="0" borderId="23">
      <alignment horizontal="right" vertical="top" shrinkToFit="1"/>
    </xf>
    <xf numFmtId="0" fontId="71" fillId="0" borderId="23">
      <alignment vertical="top" shrinkToFit="1"/>
    </xf>
    <xf numFmtId="0" fontId="71" fillId="0" borderId="23">
      <alignment vertical="top" shrinkToFit="1"/>
    </xf>
    <xf numFmtId="0" fontId="71" fillId="0" borderId="23">
      <alignment vertical="top" shrinkToFit="1"/>
    </xf>
    <xf numFmtId="0" fontId="71" fillId="0" borderId="23">
      <alignment vertical="top" shrinkToFit="1"/>
    </xf>
    <xf numFmtId="0" fontId="71" fillId="0" borderId="23">
      <alignment vertical="top" shrinkToFit="1"/>
    </xf>
    <xf numFmtId="0" fontId="71" fillId="0" borderId="23">
      <alignment vertical="top" shrinkToFit="1"/>
    </xf>
    <xf numFmtId="0" fontId="71" fillId="0" borderId="23">
      <alignment vertical="top" shrinkToFit="1"/>
    </xf>
    <xf numFmtId="49" fontId="71" fillId="0" borderId="22">
      <alignment horizontal="center" vertical="top" shrinkToFit="1"/>
    </xf>
    <xf numFmtId="49" fontId="71" fillId="0" borderId="22">
      <alignment horizontal="center" vertical="top" shrinkToFit="1"/>
    </xf>
    <xf numFmtId="49" fontId="71" fillId="0" borderId="22">
      <alignment horizontal="center" vertical="top" shrinkToFit="1"/>
    </xf>
    <xf numFmtId="49" fontId="71" fillId="0" borderId="22">
      <alignment horizontal="center" vertical="top" shrinkToFit="1"/>
    </xf>
    <xf numFmtId="49" fontId="71" fillId="0" borderId="22">
      <alignment horizontal="center" vertical="top" shrinkToFit="1"/>
    </xf>
    <xf numFmtId="49" fontId="71" fillId="0" borderId="22">
      <alignment horizontal="center" vertical="top" shrinkToFit="1"/>
    </xf>
    <xf numFmtId="49" fontId="71" fillId="0" borderId="22">
      <alignment horizontal="center" vertical="top" shrinkToFit="1"/>
    </xf>
    <xf numFmtId="49" fontId="71" fillId="0" borderId="22">
      <alignment horizontal="center" vertical="top" shrinkToFit="1"/>
    </xf>
    <xf numFmtId="49" fontId="71" fillId="0" borderId="22">
      <alignment horizontal="center" vertical="top" shrinkToFit="1"/>
    </xf>
    <xf numFmtId="49" fontId="71" fillId="0" borderId="22">
      <alignment horizontal="center" vertical="top" shrinkToFit="1"/>
    </xf>
    <xf numFmtId="49" fontId="71" fillId="0" borderId="22">
      <alignment horizontal="center" vertical="top" shrinkToFit="1"/>
    </xf>
    <xf numFmtId="49" fontId="71" fillId="0" borderId="22">
      <alignment horizontal="center" vertical="top" shrinkToFit="1"/>
    </xf>
    <xf numFmtId="49" fontId="71" fillId="0" borderId="22">
      <alignment horizontal="center" vertical="top" shrinkToFit="1"/>
    </xf>
    <xf numFmtId="49" fontId="71" fillId="0" borderId="22">
      <alignment horizontal="center" vertical="top" shrinkToFit="1"/>
    </xf>
    <xf numFmtId="49" fontId="71" fillId="0" borderId="22">
      <alignment horizontal="center" vertical="top" shrinkToFit="1"/>
    </xf>
    <xf numFmtId="49" fontId="71" fillId="0" borderId="22">
      <alignment horizontal="center" vertical="top" shrinkToFit="1"/>
    </xf>
    <xf numFmtId="0" fontId="71" fillId="0" borderId="22">
      <alignment horizontal="left" vertical="top" wrapText="1"/>
    </xf>
    <xf numFmtId="0" fontId="71" fillId="0" borderId="22">
      <alignment horizontal="left" vertical="top" wrapText="1"/>
    </xf>
    <xf numFmtId="0" fontId="71" fillId="0" borderId="22">
      <alignment horizontal="left" vertical="top" wrapText="1"/>
    </xf>
    <xf numFmtId="0" fontId="71" fillId="0" borderId="22">
      <alignment horizontal="left" vertical="top" wrapText="1"/>
    </xf>
    <xf numFmtId="0" fontId="71" fillId="0" borderId="22">
      <alignment horizontal="left" vertical="top" wrapText="1"/>
    </xf>
    <xf numFmtId="0" fontId="71" fillId="0" borderId="22">
      <alignment horizontal="left" vertical="top" wrapText="1"/>
    </xf>
    <xf numFmtId="0" fontId="71" fillId="0" borderId="22">
      <alignment horizontal="left" vertical="top" wrapText="1"/>
    </xf>
    <xf numFmtId="0" fontId="71" fillId="0" borderId="22">
      <alignment horizontal="left" vertical="top" wrapText="1"/>
    </xf>
    <xf numFmtId="0" fontId="71" fillId="0" borderId="22">
      <alignment horizontal="left" vertical="top" wrapText="1"/>
    </xf>
    <xf numFmtId="0" fontId="71" fillId="0" borderId="22">
      <alignment horizontal="left" vertical="top" wrapText="1"/>
    </xf>
    <xf numFmtId="0" fontId="71" fillId="0" borderId="22">
      <alignment horizontal="left" vertical="top" wrapText="1"/>
    </xf>
    <xf numFmtId="0" fontId="71" fillId="0" borderId="22">
      <alignment horizontal="left" vertical="top" wrapText="1"/>
    </xf>
    <xf numFmtId="0" fontId="71" fillId="0" borderId="22">
      <alignment horizontal="left" vertical="top" wrapText="1"/>
    </xf>
    <xf numFmtId="0" fontId="71" fillId="0" borderId="22">
      <alignment horizontal="left" vertical="top" wrapText="1"/>
    </xf>
    <xf numFmtId="0" fontId="71" fillId="0" borderId="22">
      <alignment horizontal="left" vertical="top" wrapText="1"/>
    </xf>
    <xf numFmtId="0" fontId="71" fillId="0" borderId="22">
      <alignment horizontal="left" vertical="top" wrapText="1"/>
    </xf>
    <xf numFmtId="4" fontId="71" fillId="0" borderId="22">
      <alignment horizontal="right" vertical="top" shrinkToFit="1"/>
    </xf>
    <xf numFmtId="4" fontId="71" fillId="0" borderId="22">
      <alignment horizontal="right" vertical="top" shrinkToFit="1"/>
    </xf>
    <xf numFmtId="4" fontId="71" fillId="0" borderId="22">
      <alignment horizontal="right" vertical="top" shrinkToFit="1"/>
    </xf>
    <xf numFmtId="4" fontId="71" fillId="0" borderId="22">
      <alignment horizontal="right" vertical="top" shrinkToFit="1"/>
    </xf>
    <xf numFmtId="4" fontId="71" fillId="0" borderId="22">
      <alignment horizontal="right" vertical="top" shrinkToFit="1"/>
    </xf>
    <xf numFmtId="4" fontId="71" fillId="0" borderId="22">
      <alignment horizontal="right" vertical="top" shrinkToFit="1"/>
    </xf>
    <xf numFmtId="4" fontId="71" fillId="0" borderId="22">
      <alignment horizontal="right" vertical="top" shrinkToFit="1"/>
    </xf>
    <xf numFmtId="4" fontId="71" fillId="0" borderId="22">
      <alignment horizontal="right" vertical="top" shrinkToFit="1"/>
    </xf>
    <xf numFmtId="4" fontId="71" fillId="0" borderId="22">
      <alignment horizontal="right" vertical="top" shrinkToFit="1"/>
    </xf>
    <xf numFmtId="4" fontId="71" fillId="0" borderId="22">
      <alignment horizontal="right" vertical="top" shrinkToFit="1"/>
    </xf>
    <xf numFmtId="4" fontId="71" fillId="0" borderId="22">
      <alignment horizontal="right" vertical="top" shrinkToFit="1"/>
    </xf>
    <xf numFmtId="4" fontId="71" fillId="0" borderId="22">
      <alignment horizontal="right" vertical="top" shrinkToFit="1"/>
    </xf>
    <xf numFmtId="4" fontId="71" fillId="0" borderId="22">
      <alignment horizontal="right" vertical="top" shrinkToFit="1"/>
    </xf>
    <xf numFmtId="4" fontId="71" fillId="0" borderId="22">
      <alignment horizontal="right" vertical="top" shrinkToFit="1"/>
    </xf>
    <xf numFmtId="4" fontId="71" fillId="0" borderId="22">
      <alignment horizontal="right" vertical="top" shrinkToFit="1"/>
    </xf>
    <xf numFmtId="4" fontId="71" fillId="0" borderId="22">
      <alignment horizontal="right" vertical="top" shrinkToFit="1"/>
    </xf>
    <xf numFmtId="4" fontId="71" fillId="0" borderId="23">
      <alignment horizontal="right" vertical="top" shrinkToFit="1"/>
    </xf>
    <xf numFmtId="4" fontId="71" fillId="0" borderId="23">
      <alignment horizontal="right" vertical="top" shrinkToFit="1"/>
    </xf>
    <xf numFmtId="4" fontId="71" fillId="0" borderId="23">
      <alignment horizontal="right" vertical="top" shrinkToFit="1"/>
    </xf>
    <xf numFmtId="4" fontId="71" fillId="0" borderId="23">
      <alignment horizontal="right" vertical="top" shrinkToFit="1"/>
    </xf>
    <xf numFmtId="4" fontId="71" fillId="0" borderId="23">
      <alignment horizontal="right" vertical="top" shrinkToFit="1"/>
    </xf>
    <xf numFmtId="4" fontId="71" fillId="0" borderId="23">
      <alignment horizontal="right" vertical="top" shrinkToFit="1"/>
    </xf>
    <xf numFmtId="4" fontId="71" fillId="0" borderId="23">
      <alignment horizontal="right" vertical="top" shrinkToFit="1"/>
    </xf>
    <xf numFmtId="4" fontId="71" fillId="0" borderId="23">
      <alignment horizontal="right" vertical="top" shrinkToFit="1"/>
    </xf>
    <xf numFmtId="0" fontId="71" fillId="0" borderId="23">
      <alignment vertical="top" shrinkToFit="1"/>
    </xf>
    <xf numFmtId="0" fontId="71" fillId="0" borderId="23">
      <alignment vertical="top" shrinkToFit="1"/>
    </xf>
    <xf numFmtId="0" fontId="71" fillId="0" borderId="23">
      <alignment vertical="top" shrinkToFit="1"/>
    </xf>
    <xf numFmtId="0" fontId="71" fillId="0" borderId="23">
      <alignment vertical="top" shrinkToFit="1"/>
    </xf>
    <xf numFmtId="0" fontId="71" fillId="0" borderId="23">
      <alignment vertical="top" shrinkToFit="1"/>
    </xf>
    <xf numFmtId="0" fontId="71" fillId="0" borderId="23">
      <alignment vertical="top" shrinkToFit="1"/>
    </xf>
    <xf numFmtId="0" fontId="71" fillId="0" borderId="23">
      <alignment vertical="top" shrinkToFit="1"/>
    </xf>
    <xf numFmtId="0" fontId="71" fillId="0" borderId="23">
      <alignment vertical="top" shrinkToFit="1"/>
    </xf>
    <xf numFmtId="49" fontId="71" fillId="0" borderId="22">
      <alignment horizontal="center" vertical="top" shrinkToFit="1"/>
    </xf>
    <xf numFmtId="49" fontId="71" fillId="0" borderId="22">
      <alignment horizontal="center" vertical="top" shrinkToFit="1"/>
    </xf>
    <xf numFmtId="49" fontId="71" fillId="0" borderId="22">
      <alignment horizontal="center" vertical="top" shrinkToFit="1"/>
    </xf>
    <xf numFmtId="49" fontId="71" fillId="0" borderId="22">
      <alignment horizontal="center" vertical="top" shrinkToFit="1"/>
    </xf>
    <xf numFmtId="49" fontId="71" fillId="0" borderId="22">
      <alignment horizontal="center" vertical="top" shrinkToFit="1"/>
    </xf>
    <xf numFmtId="49" fontId="71" fillId="0" borderId="22">
      <alignment horizontal="center" vertical="top" shrinkToFit="1"/>
    </xf>
    <xf numFmtId="49" fontId="71" fillId="0" borderId="22">
      <alignment horizontal="center" vertical="top" shrinkToFit="1"/>
    </xf>
    <xf numFmtId="49" fontId="71" fillId="0" borderId="22">
      <alignment horizontal="center" vertical="top" shrinkToFit="1"/>
    </xf>
    <xf numFmtId="0" fontId="71" fillId="0" borderId="22">
      <alignment horizontal="left" vertical="top" wrapText="1"/>
    </xf>
    <xf numFmtId="0" fontId="71" fillId="0" borderId="22">
      <alignment horizontal="left" vertical="top" wrapText="1"/>
    </xf>
    <xf numFmtId="0" fontId="71" fillId="0" borderId="22">
      <alignment horizontal="left" vertical="top" wrapText="1"/>
    </xf>
    <xf numFmtId="0" fontId="71" fillId="0" borderId="22">
      <alignment horizontal="left" vertical="top" wrapText="1"/>
    </xf>
    <xf numFmtId="0" fontId="71" fillId="0" borderId="22">
      <alignment horizontal="left" vertical="top" wrapText="1"/>
    </xf>
    <xf numFmtId="0" fontId="71" fillId="0" borderId="22">
      <alignment horizontal="left" vertical="top" wrapText="1"/>
    </xf>
    <xf numFmtId="0" fontId="71" fillId="0" borderId="22">
      <alignment horizontal="left" vertical="top" wrapText="1"/>
    </xf>
    <xf numFmtId="0" fontId="71" fillId="0" borderId="22">
      <alignment horizontal="left" vertical="top" wrapText="1"/>
    </xf>
    <xf numFmtId="4" fontId="71" fillId="0" borderId="22">
      <alignment horizontal="right" vertical="top" shrinkToFit="1"/>
    </xf>
    <xf numFmtId="4" fontId="71" fillId="0" borderId="22">
      <alignment horizontal="right" vertical="top" shrinkToFit="1"/>
    </xf>
    <xf numFmtId="4" fontId="71" fillId="0" borderId="22">
      <alignment horizontal="right" vertical="top" shrinkToFit="1"/>
    </xf>
    <xf numFmtId="4" fontId="71" fillId="0" borderId="22">
      <alignment horizontal="right" vertical="top" shrinkToFit="1"/>
    </xf>
    <xf numFmtId="4" fontId="71" fillId="0" borderId="22">
      <alignment horizontal="right" vertical="top" shrinkToFit="1"/>
    </xf>
    <xf numFmtId="4" fontId="71" fillId="0" borderId="22">
      <alignment horizontal="right" vertical="top" shrinkToFit="1"/>
    </xf>
    <xf numFmtId="4" fontId="71" fillId="0" borderId="22">
      <alignment horizontal="right" vertical="top" shrinkToFit="1"/>
    </xf>
    <xf numFmtId="4" fontId="71" fillId="0" borderId="22">
      <alignment horizontal="right" vertical="top" shrinkToFit="1"/>
    </xf>
    <xf numFmtId="4" fontId="71" fillId="0" borderId="23">
      <alignment horizontal="right" vertical="top" shrinkToFit="1"/>
    </xf>
    <xf numFmtId="4" fontId="71" fillId="0" borderId="23">
      <alignment horizontal="right" vertical="top" shrinkToFit="1"/>
    </xf>
    <xf numFmtId="4" fontId="71" fillId="0" borderId="23">
      <alignment horizontal="right" vertical="top" shrinkToFit="1"/>
    </xf>
    <xf numFmtId="4" fontId="71" fillId="0" borderId="23">
      <alignment horizontal="right" vertical="top" shrinkToFit="1"/>
    </xf>
    <xf numFmtId="4" fontId="71" fillId="0" borderId="23">
      <alignment horizontal="right" vertical="top" shrinkToFit="1"/>
    </xf>
    <xf numFmtId="4" fontId="71" fillId="0" borderId="23">
      <alignment horizontal="right" vertical="top" shrinkToFit="1"/>
    </xf>
    <xf numFmtId="4" fontId="71" fillId="0" borderId="23">
      <alignment horizontal="right" vertical="top" shrinkToFit="1"/>
    </xf>
    <xf numFmtId="4" fontId="71" fillId="0" borderId="23">
      <alignment horizontal="right" vertical="top" shrinkToFit="1"/>
    </xf>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Protection="0"/>
    <xf numFmtId="0" fontId="53" fillId="0" borderId="0" applyNumberFormat="0" applyFill="0" applyBorder="0" applyProtection="0"/>
    <xf numFmtId="0" fontId="53" fillId="0" borderId="0" applyNumberFormat="0" applyFill="0" applyBorder="0" applyProtection="0"/>
    <xf numFmtId="0" fontId="53" fillId="0" borderId="0" applyNumberFormat="0" applyFill="0" applyBorder="0" applyProtection="0"/>
    <xf numFmtId="0" fontId="53" fillId="0" borderId="0" applyNumberFormat="0" applyFill="0" applyBorder="0" applyProtection="0"/>
    <xf numFmtId="0" fontId="53" fillId="0" borderId="0" applyNumberFormat="0" applyFill="0" applyBorder="0" applyProtection="0"/>
    <xf numFmtId="0" fontId="53" fillId="0" borderId="0" applyNumberFormat="0" applyFill="0" applyBorder="0" applyProtection="0"/>
    <xf numFmtId="0" fontId="53" fillId="0" borderId="0" applyNumberFormat="0" applyFill="0" applyBorder="0" applyProtection="0"/>
    <xf numFmtId="0" fontId="45" fillId="104" borderId="0" applyNumberFormat="0" applyBorder="0" applyAlignment="0" applyProtection="0"/>
    <xf numFmtId="0" fontId="45" fillId="104" borderId="0" applyNumberFormat="0" applyBorder="0" applyAlignment="0" applyProtection="0"/>
    <xf numFmtId="0" fontId="45" fillId="104" borderId="0" applyNumberFormat="0" applyBorder="0" applyAlignment="0" applyProtection="0"/>
    <xf numFmtId="0" fontId="45" fillId="104" borderId="0" applyNumberFormat="0" applyBorder="0" applyAlignment="0" applyProtection="0"/>
    <xf numFmtId="0" fontId="45" fillId="104" borderId="0" applyNumberFormat="0" applyBorder="0" applyAlignment="0" applyProtection="0"/>
    <xf numFmtId="0" fontId="45" fillId="104" borderId="0" applyNumberFormat="0" applyBorder="0" applyAlignment="0" applyProtection="0"/>
    <xf numFmtId="0" fontId="45" fillId="104" borderId="0" applyNumberFormat="0" applyBorder="0" applyAlignment="0" applyProtection="0"/>
    <xf numFmtId="0" fontId="45" fillId="104" borderId="0" applyNumberFormat="0" applyBorder="0" applyAlignment="0" applyProtection="0"/>
    <xf numFmtId="0" fontId="45" fillId="104" borderId="0" applyNumberFormat="0" applyBorder="0" applyAlignment="0" applyProtection="0"/>
    <xf numFmtId="0" fontId="45" fillId="104" borderId="0" applyNumberFormat="0" applyBorder="0" applyAlignment="0" applyProtection="0"/>
    <xf numFmtId="0" fontId="45" fillId="104" borderId="0" applyNumberFormat="0" applyBorder="0" applyAlignment="0" applyProtection="0"/>
    <xf numFmtId="0" fontId="45" fillId="104" borderId="0" applyNumberFormat="0" applyBorder="0" applyAlignment="0" applyProtection="0"/>
    <xf numFmtId="0" fontId="45" fillId="104" borderId="0" applyNumberFormat="0" applyBorder="0" applyAlignment="0" applyProtection="0"/>
    <xf numFmtId="0" fontId="45" fillId="104" borderId="0" applyNumberFormat="0" applyBorder="0" applyAlignment="0" applyProtection="0"/>
    <xf numFmtId="0" fontId="45" fillId="104" borderId="0" applyNumberFormat="0" applyBorder="0" applyAlignment="0" applyProtection="0"/>
    <xf numFmtId="0" fontId="45" fillId="104" borderId="0" applyNumberFormat="0" applyBorder="0" applyAlignment="0" applyProtection="0"/>
    <xf numFmtId="0" fontId="45" fillId="104" borderId="0" applyNumberFormat="0" applyBorder="0" applyAlignment="0" applyProtection="0"/>
    <xf numFmtId="0" fontId="45" fillId="104" borderId="0" applyNumberFormat="0" applyBorder="0" applyAlignment="0" applyProtection="0"/>
    <xf numFmtId="0" fontId="45" fillId="104" borderId="0" applyNumberFormat="0" applyBorder="0" applyAlignment="0" applyProtection="0"/>
    <xf numFmtId="0" fontId="45" fillId="104" borderId="0" applyNumberFormat="0" applyBorder="0" applyAlignment="0" applyProtection="0"/>
    <xf numFmtId="0" fontId="45" fillId="103" borderId="0" applyNumberFormat="0" applyBorder="0" applyProtection="0"/>
    <xf numFmtId="0" fontId="45" fillId="103" borderId="0" applyNumberFormat="0" applyBorder="0" applyProtection="0"/>
    <xf numFmtId="0" fontId="45" fillId="103" borderId="0" applyNumberFormat="0" applyBorder="0" applyProtection="0"/>
    <xf numFmtId="0" fontId="45" fillId="103" borderId="0" applyNumberFormat="0" applyBorder="0" applyProtection="0"/>
    <xf numFmtId="0" fontId="45" fillId="103" borderId="0" applyNumberFormat="0" applyBorder="0" applyProtection="0"/>
    <xf numFmtId="0" fontId="45" fillId="103" borderId="0" applyNumberFormat="0" applyBorder="0" applyProtection="0"/>
    <xf numFmtId="0" fontId="45" fillId="103" borderId="0" applyNumberFormat="0" applyBorder="0" applyProtection="0"/>
    <xf numFmtId="0" fontId="45" fillId="103" borderId="0" applyNumberFormat="0" applyBorder="0" applyProtection="0"/>
    <xf numFmtId="0" fontId="42" fillId="0" borderId="27" applyNumberFormat="0" applyFill="0" applyAlignment="0" applyProtection="0"/>
    <xf numFmtId="0" fontId="42" fillId="0" borderId="27" applyNumberFormat="0" applyFill="0" applyAlignment="0" applyProtection="0"/>
    <xf numFmtId="0" fontId="42" fillId="0" borderId="27" applyNumberFormat="0" applyFill="0" applyAlignment="0" applyProtection="0"/>
    <xf numFmtId="0" fontId="42" fillId="0" borderId="27" applyNumberFormat="0" applyFill="0" applyAlignment="0" applyProtection="0"/>
    <xf numFmtId="0" fontId="42" fillId="0" borderId="27" applyNumberFormat="0" applyFill="0" applyAlignment="0" applyProtection="0"/>
    <xf numFmtId="0" fontId="42" fillId="0" borderId="27" applyNumberFormat="0" applyFill="0" applyAlignment="0" applyProtection="0"/>
    <xf numFmtId="0" fontId="42" fillId="0" borderId="27" applyNumberFormat="0" applyFill="0" applyAlignment="0" applyProtection="0"/>
    <xf numFmtId="0" fontId="42" fillId="0" borderId="27" applyNumberFormat="0" applyFill="0" applyAlignment="0" applyProtection="0"/>
    <xf numFmtId="0" fontId="42" fillId="0" borderId="27" applyNumberFormat="0" applyFill="0" applyAlignment="0" applyProtection="0"/>
    <xf numFmtId="0" fontId="42" fillId="0" borderId="27" applyNumberFormat="0" applyFill="0" applyAlignment="0" applyProtection="0"/>
    <xf numFmtId="0" fontId="42" fillId="0" borderId="27" applyNumberFormat="0" applyFill="0" applyAlignment="0" applyProtection="0"/>
    <xf numFmtId="0" fontId="42" fillId="0" borderId="27" applyNumberFormat="0" applyFill="0" applyAlignment="0" applyProtection="0"/>
    <xf numFmtId="0" fontId="42" fillId="0" borderId="27" applyNumberFormat="0" applyFill="0" applyAlignment="0" applyProtection="0"/>
    <xf numFmtId="0" fontId="42" fillId="0" borderId="27" applyNumberFormat="0" applyFill="0" applyAlignment="0" applyProtection="0"/>
    <xf numFmtId="0" fontId="42" fillId="0" borderId="27" applyNumberFormat="0" applyFill="0" applyAlignment="0" applyProtection="0"/>
    <xf numFmtId="0" fontId="42" fillId="0" borderId="27" applyNumberFormat="0" applyFill="0" applyAlignment="0" applyProtection="0"/>
    <xf numFmtId="0" fontId="42" fillId="0" borderId="27" applyNumberFormat="0" applyFill="0" applyAlignment="0" applyProtection="0"/>
    <xf numFmtId="0" fontId="42" fillId="0" borderId="27" applyNumberFormat="0" applyFill="0" applyAlignment="0" applyProtection="0"/>
    <xf numFmtId="0" fontId="42" fillId="0" borderId="27" applyNumberFormat="0" applyFill="0" applyAlignment="0" applyProtection="0"/>
    <xf numFmtId="0" fontId="42" fillId="0" borderId="27" applyNumberFormat="0" applyFill="0" applyAlignment="0" applyProtection="0"/>
    <xf numFmtId="0" fontId="42" fillId="0" borderId="27" applyNumberFormat="0" applyFill="0" applyProtection="0"/>
    <xf numFmtId="0" fontId="42" fillId="0" borderId="27" applyNumberFormat="0" applyFill="0" applyProtection="0"/>
    <xf numFmtId="0" fontId="42" fillId="0" borderId="27" applyNumberFormat="0" applyFill="0" applyProtection="0"/>
    <xf numFmtId="0" fontId="42" fillId="0" borderId="27" applyNumberFormat="0" applyFill="0" applyProtection="0"/>
    <xf numFmtId="0" fontId="42" fillId="0" borderId="27" applyNumberFormat="0" applyFill="0" applyProtection="0"/>
    <xf numFmtId="0" fontId="42" fillId="0" borderId="27" applyNumberFormat="0" applyFill="0" applyProtection="0"/>
    <xf numFmtId="0" fontId="42" fillId="0" borderId="27" applyNumberFormat="0" applyFill="0" applyProtection="0"/>
    <xf numFmtId="0" fontId="42" fillId="0" borderId="27" applyNumberFormat="0" applyFill="0" applyProtection="0"/>
    <xf numFmtId="0" fontId="43" fillId="0" borderId="28" applyNumberFormat="0" applyFill="0" applyAlignment="0" applyProtection="0"/>
    <xf numFmtId="0" fontId="43" fillId="0" borderId="28" applyNumberFormat="0" applyFill="0" applyAlignment="0" applyProtection="0"/>
    <xf numFmtId="0" fontId="43" fillId="0" borderId="28" applyNumberFormat="0" applyFill="0" applyAlignment="0" applyProtection="0"/>
    <xf numFmtId="0" fontId="43" fillId="0" borderId="28" applyNumberFormat="0" applyFill="0" applyAlignment="0" applyProtection="0"/>
    <xf numFmtId="0" fontId="43" fillId="0" borderId="28" applyNumberFormat="0" applyFill="0" applyAlignment="0" applyProtection="0"/>
    <xf numFmtId="0" fontId="43" fillId="0" borderId="28" applyNumberFormat="0" applyFill="0" applyAlignment="0" applyProtection="0"/>
    <xf numFmtId="0" fontId="43" fillId="0" borderId="28" applyNumberFormat="0" applyFill="0" applyAlignment="0" applyProtection="0"/>
    <xf numFmtId="0" fontId="43" fillId="0" borderId="28" applyNumberFormat="0" applyFill="0" applyAlignment="0" applyProtection="0"/>
    <xf numFmtId="0" fontId="43" fillId="0" borderId="28" applyNumberFormat="0" applyFill="0" applyAlignment="0" applyProtection="0"/>
    <xf numFmtId="0" fontId="43" fillId="0" borderId="28" applyNumberFormat="0" applyFill="0" applyAlignment="0" applyProtection="0"/>
    <xf numFmtId="0" fontId="43" fillId="0" borderId="28" applyNumberFormat="0" applyFill="0" applyAlignment="0" applyProtection="0"/>
    <xf numFmtId="0" fontId="43" fillId="0" borderId="28" applyNumberFormat="0" applyFill="0" applyAlignment="0" applyProtection="0"/>
    <xf numFmtId="0" fontId="43" fillId="0" borderId="28" applyNumberFormat="0" applyFill="0" applyAlignment="0" applyProtection="0"/>
    <xf numFmtId="0" fontId="43" fillId="0" borderId="28" applyNumberFormat="0" applyFill="0" applyAlignment="0" applyProtection="0"/>
    <xf numFmtId="0" fontId="43" fillId="0" borderId="28" applyNumberFormat="0" applyFill="0" applyAlignment="0" applyProtection="0"/>
    <xf numFmtId="0" fontId="43" fillId="0" borderId="28" applyNumberFormat="0" applyFill="0" applyAlignment="0" applyProtection="0"/>
    <xf numFmtId="0" fontId="43" fillId="0" borderId="28" applyNumberFormat="0" applyFill="0" applyAlignment="0" applyProtection="0"/>
    <xf numFmtId="0" fontId="43" fillId="0" borderId="28" applyNumberFormat="0" applyFill="0" applyAlignment="0" applyProtection="0"/>
    <xf numFmtId="0" fontId="43" fillId="0" borderId="28" applyNumberFormat="0" applyFill="0" applyAlignment="0" applyProtection="0"/>
    <xf numFmtId="0" fontId="43" fillId="0" borderId="28" applyNumberFormat="0" applyFill="0" applyAlignment="0" applyProtection="0"/>
    <xf numFmtId="0" fontId="43" fillId="0" borderId="28" applyNumberFormat="0" applyFill="0" applyProtection="0"/>
    <xf numFmtId="0" fontId="43" fillId="0" borderId="28" applyNumberFormat="0" applyFill="0" applyProtection="0"/>
    <xf numFmtId="0" fontId="43" fillId="0" borderId="28" applyNumberFormat="0" applyFill="0" applyProtection="0"/>
    <xf numFmtId="0" fontId="43" fillId="0" borderId="28" applyNumberFormat="0" applyFill="0" applyProtection="0"/>
    <xf numFmtId="0" fontId="43" fillId="0" borderId="28" applyNumberFormat="0" applyFill="0" applyProtection="0"/>
    <xf numFmtId="0" fontId="43" fillId="0" borderId="28" applyNumberFormat="0" applyFill="0" applyProtection="0"/>
    <xf numFmtId="0" fontId="43" fillId="0" borderId="28" applyNumberFormat="0" applyFill="0" applyProtection="0"/>
    <xf numFmtId="0" fontId="43" fillId="0" borderId="28" applyNumberFormat="0" applyFill="0" applyProtection="0"/>
    <xf numFmtId="0" fontId="44" fillId="0" borderId="29" applyNumberFormat="0" applyFill="0" applyAlignment="0" applyProtection="0"/>
    <xf numFmtId="0" fontId="44" fillId="0" borderId="29" applyNumberFormat="0" applyFill="0" applyAlignment="0" applyProtection="0"/>
    <xf numFmtId="0" fontId="44" fillId="0" borderId="29" applyNumberFormat="0" applyFill="0" applyAlignment="0" applyProtection="0"/>
    <xf numFmtId="0" fontId="44" fillId="0" borderId="29" applyNumberFormat="0" applyFill="0" applyAlignment="0" applyProtection="0"/>
    <xf numFmtId="0" fontId="44" fillId="0" borderId="29" applyNumberFormat="0" applyFill="0" applyAlignment="0" applyProtection="0"/>
    <xf numFmtId="0" fontId="44" fillId="0" borderId="29" applyNumberFormat="0" applyFill="0" applyAlignment="0" applyProtection="0"/>
    <xf numFmtId="0" fontId="44" fillId="0" borderId="29" applyNumberFormat="0" applyFill="0" applyAlignment="0" applyProtection="0"/>
    <xf numFmtId="0" fontId="44" fillId="0" borderId="29" applyNumberFormat="0" applyFill="0" applyAlignment="0" applyProtection="0"/>
    <xf numFmtId="0" fontId="44" fillId="0" borderId="29" applyNumberFormat="0" applyFill="0" applyAlignment="0" applyProtection="0"/>
    <xf numFmtId="0" fontId="44" fillId="0" borderId="29" applyNumberFormat="0" applyFill="0" applyAlignment="0" applyProtection="0"/>
    <xf numFmtId="0" fontId="44" fillId="0" borderId="29" applyNumberFormat="0" applyFill="0" applyAlignment="0" applyProtection="0"/>
    <xf numFmtId="0" fontId="44" fillId="0" borderId="29" applyNumberFormat="0" applyFill="0" applyAlignment="0" applyProtection="0"/>
    <xf numFmtId="0" fontId="44" fillId="0" borderId="29" applyNumberFormat="0" applyFill="0" applyAlignment="0" applyProtection="0"/>
    <xf numFmtId="0" fontId="44" fillId="0" borderId="29" applyNumberFormat="0" applyFill="0" applyAlignment="0" applyProtection="0"/>
    <xf numFmtId="0" fontId="44" fillId="0" borderId="29" applyNumberFormat="0" applyFill="0" applyAlignment="0" applyProtection="0"/>
    <xf numFmtId="0" fontId="44" fillId="0" borderId="29" applyNumberFormat="0" applyFill="0" applyAlignment="0" applyProtection="0"/>
    <xf numFmtId="0" fontId="44" fillId="0" borderId="29" applyNumberFormat="0" applyFill="0" applyAlignment="0" applyProtection="0"/>
    <xf numFmtId="0" fontId="44" fillId="0" borderId="29" applyNumberFormat="0" applyFill="0" applyAlignment="0" applyProtection="0"/>
    <xf numFmtId="0" fontId="44" fillId="0" borderId="29" applyNumberFormat="0" applyFill="0" applyAlignment="0" applyProtection="0"/>
    <xf numFmtId="0" fontId="44" fillId="0" borderId="29" applyNumberFormat="0" applyFill="0" applyAlignment="0" applyProtection="0"/>
    <xf numFmtId="0" fontId="44" fillId="0" borderId="29" applyNumberFormat="0" applyFill="0" applyProtection="0"/>
    <xf numFmtId="0" fontId="44" fillId="0" borderId="29" applyNumberFormat="0" applyFill="0" applyProtection="0"/>
    <xf numFmtId="0" fontId="44" fillId="0" borderId="29" applyNumberFormat="0" applyFill="0" applyProtection="0"/>
    <xf numFmtId="0" fontId="44" fillId="0" borderId="29" applyNumberFormat="0" applyFill="0" applyProtection="0"/>
    <xf numFmtId="0" fontId="44" fillId="0" borderId="29" applyNumberFormat="0" applyFill="0" applyProtection="0"/>
    <xf numFmtId="0" fontId="44" fillId="0" borderId="29" applyNumberFormat="0" applyFill="0" applyProtection="0"/>
    <xf numFmtId="0" fontId="44" fillId="0" borderId="29" applyNumberFormat="0" applyFill="0" applyProtection="0"/>
    <xf numFmtId="0" fontId="44" fillId="0" borderId="29" applyNumberFormat="0" applyFill="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Protection="0"/>
    <xf numFmtId="0" fontId="44" fillId="0" borderId="0" applyNumberFormat="0" applyFill="0" applyBorder="0" applyProtection="0"/>
    <xf numFmtId="0" fontId="44" fillId="0" borderId="0" applyNumberFormat="0" applyFill="0" applyBorder="0" applyProtection="0"/>
    <xf numFmtId="0" fontId="44" fillId="0" borderId="0" applyNumberFormat="0" applyFill="0" applyBorder="0" applyProtection="0"/>
    <xf numFmtId="0" fontId="44" fillId="0" borderId="0" applyNumberFormat="0" applyFill="0" applyBorder="0" applyProtection="0"/>
    <xf numFmtId="0" fontId="44" fillId="0" borderId="0" applyNumberFormat="0" applyFill="0" applyBorder="0" applyProtection="0"/>
    <xf numFmtId="0" fontId="44" fillId="0" borderId="0" applyNumberFormat="0" applyFill="0" applyBorder="0" applyProtection="0"/>
    <xf numFmtId="0" fontId="44" fillId="0" borderId="0" applyNumberFormat="0" applyFill="0" applyBorder="0" applyProtection="0"/>
    <xf numFmtId="0" fontId="48" fillId="105" borderId="30" applyNumberFormat="0" applyAlignment="0" applyProtection="0"/>
    <xf numFmtId="0" fontId="48" fillId="105" borderId="30" applyNumberFormat="0" applyAlignment="0" applyProtection="0"/>
    <xf numFmtId="0" fontId="48" fillId="105" borderId="30" applyNumberFormat="0" applyAlignment="0" applyProtection="0"/>
    <xf numFmtId="0" fontId="48" fillId="105" borderId="30" applyNumberFormat="0" applyAlignment="0" applyProtection="0"/>
    <xf numFmtId="0" fontId="48" fillId="105" borderId="30" applyNumberFormat="0" applyAlignment="0" applyProtection="0"/>
    <xf numFmtId="0" fontId="48" fillId="105" borderId="30" applyNumberFormat="0" applyAlignment="0" applyProtection="0"/>
    <xf numFmtId="0" fontId="48" fillId="105" borderId="30" applyNumberFormat="0" applyAlignment="0" applyProtection="0"/>
    <xf numFmtId="0" fontId="48" fillId="105" borderId="30" applyNumberFormat="0" applyAlignment="0" applyProtection="0"/>
    <xf numFmtId="0" fontId="48" fillId="105" borderId="30" applyNumberFormat="0" applyAlignment="0" applyProtection="0"/>
    <xf numFmtId="0" fontId="48" fillId="105" borderId="30" applyNumberFormat="0" applyAlignment="0" applyProtection="0"/>
    <xf numFmtId="0" fontId="48" fillId="105" borderId="30" applyNumberFormat="0" applyAlignment="0" applyProtection="0"/>
    <xf numFmtId="0" fontId="48" fillId="105" borderId="30" applyNumberFormat="0" applyAlignment="0" applyProtection="0"/>
    <xf numFmtId="0" fontId="48" fillId="105" borderId="30" applyNumberFormat="0" applyAlignment="0" applyProtection="0"/>
    <xf numFmtId="0" fontId="48" fillId="105" borderId="30" applyNumberFormat="0" applyAlignment="0" applyProtection="0"/>
    <xf numFmtId="0" fontId="48" fillId="105" borderId="30" applyNumberFormat="0" applyAlignment="0" applyProtection="0"/>
    <xf numFmtId="0" fontId="48" fillId="105" borderId="30" applyNumberFormat="0" applyAlignment="0" applyProtection="0"/>
    <xf numFmtId="0" fontId="48" fillId="105" borderId="30" applyNumberFormat="0" applyAlignment="0" applyProtection="0"/>
    <xf numFmtId="0" fontId="48" fillId="105" borderId="30" applyNumberFormat="0" applyAlignment="0" applyProtection="0"/>
    <xf numFmtId="0" fontId="48" fillId="105" borderId="30" applyNumberFormat="0" applyAlignment="0" applyProtection="0"/>
    <xf numFmtId="0" fontId="48" fillId="105" borderId="30" applyNumberFormat="0" applyAlignment="0" applyProtection="0"/>
    <xf numFmtId="0" fontId="48" fillId="41" borderId="30" applyNumberFormat="0" applyProtection="0"/>
    <xf numFmtId="0" fontId="48" fillId="41" borderId="30" applyNumberFormat="0" applyProtection="0"/>
    <xf numFmtId="0" fontId="48" fillId="41" borderId="30" applyNumberFormat="0" applyProtection="0"/>
    <xf numFmtId="0" fontId="48" fillId="41" borderId="30" applyNumberFormat="0" applyProtection="0"/>
    <xf numFmtId="0" fontId="48" fillId="41" borderId="30" applyNumberFormat="0" applyProtection="0"/>
    <xf numFmtId="0" fontId="48" fillId="41" borderId="30" applyNumberFormat="0" applyProtection="0"/>
    <xf numFmtId="0" fontId="48" fillId="41" borderId="30" applyNumberFormat="0" applyProtection="0"/>
    <xf numFmtId="0" fontId="48" fillId="41" borderId="30" applyNumberFormat="0" applyProtection="0"/>
    <xf numFmtId="0" fontId="51" fillId="0" borderId="32" applyNumberFormat="0" applyFill="0" applyAlignment="0" applyProtection="0"/>
    <xf numFmtId="0" fontId="51" fillId="0" borderId="32" applyNumberFormat="0" applyFill="0" applyAlignment="0" applyProtection="0"/>
    <xf numFmtId="0" fontId="51" fillId="0" borderId="32" applyNumberFormat="0" applyFill="0" applyAlignment="0" applyProtection="0"/>
    <xf numFmtId="0" fontId="51" fillId="0" borderId="32" applyNumberFormat="0" applyFill="0" applyAlignment="0" applyProtection="0"/>
    <xf numFmtId="0" fontId="51" fillId="0" borderId="32" applyNumberFormat="0" applyFill="0" applyAlignment="0" applyProtection="0"/>
    <xf numFmtId="0" fontId="51" fillId="0" borderId="32" applyNumberFormat="0" applyFill="0" applyAlignment="0" applyProtection="0"/>
    <xf numFmtId="0" fontId="51" fillId="0" borderId="32" applyNumberFormat="0" applyFill="0" applyAlignment="0" applyProtection="0"/>
    <xf numFmtId="0" fontId="51" fillId="0" borderId="32" applyNumberFormat="0" applyFill="0" applyAlignment="0" applyProtection="0"/>
    <xf numFmtId="0" fontId="51" fillId="0" borderId="32" applyNumberFormat="0" applyFill="0" applyAlignment="0" applyProtection="0"/>
    <xf numFmtId="0" fontId="51" fillId="0" borderId="32" applyNumberFormat="0" applyFill="0" applyAlignment="0" applyProtection="0"/>
    <xf numFmtId="0" fontId="51" fillId="0" borderId="32" applyNumberFormat="0" applyFill="0" applyAlignment="0" applyProtection="0"/>
    <xf numFmtId="0" fontId="51" fillId="0" borderId="32" applyNumberFormat="0" applyFill="0" applyAlignment="0" applyProtection="0"/>
    <xf numFmtId="0" fontId="51" fillId="0" borderId="32" applyNumberFormat="0" applyFill="0" applyAlignment="0" applyProtection="0"/>
    <xf numFmtId="0" fontId="51" fillId="0" borderId="32" applyNumberFormat="0" applyFill="0" applyAlignment="0" applyProtection="0"/>
    <xf numFmtId="0" fontId="51" fillId="0" borderId="32" applyNumberFormat="0" applyFill="0" applyAlignment="0" applyProtection="0"/>
    <xf numFmtId="0" fontId="51" fillId="0" borderId="32" applyNumberFormat="0" applyFill="0" applyAlignment="0" applyProtection="0"/>
    <xf numFmtId="0" fontId="51" fillId="0" borderId="32" applyNumberFormat="0" applyFill="0" applyAlignment="0" applyProtection="0"/>
    <xf numFmtId="0" fontId="51" fillId="0" borderId="32" applyNumberFormat="0" applyFill="0" applyAlignment="0" applyProtection="0"/>
    <xf numFmtId="0" fontId="51" fillId="0" borderId="32" applyNumberFormat="0" applyFill="0" applyAlignment="0" applyProtection="0"/>
    <xf numFmtId="0" fontId="51" fillId="0" borderId="32" applyNumberFormat="0" applyFill="0" applyAlignment="0" applyProtection="0"/>
    <xf numFmtId="0" fontId="51" fillId="0" borderId="32" applyNumberFormat="0" applyFill="0" applyProtection="0"/>
    <xf numFmtId="0" fontId="51" fillId="0" borderId="32" applyNumberFormat="0" applyFill="0" applyProtection="0"/>
    <xf numFmtId="0" fontId="51" fillId="0" borderId="32" applyNumberFormat="0" applyFill="0" applyProtection="0"/>
    <xf numFmtId="0" fontId="51" fillId="0" borderId="32" applyNumberFormat="0" applyFill="0" applyProtection="0"/>
    <xf numFmtId="0" fontId="51" fillId="0" borderId="32" applyNumberFormat="0" applyFill="0" applyProtection="0"/>
    <xf numFmtId="0" fontId="51" fillId="0" borderId="32" applyNumberFormat="0" applyFill="0" applyProtection="0"/>
    <xf numFmtId="0" fontId="51" fillId="0" borderId="32" applyNumberFormat="0" applyFill="0" applyProtection="0"/>
    <xf numFmtId="0" fontId="51" fillId="0" borderId="32" applyNumberFormat="0" applyFill="0" applyProtection="0"/>
    <xf numFmtId="0" fontId="47" fillId="107" borderId="0" applyNumberFormat="0" applyBorder="0" applyAlignment="0" applyProtection="0"/>
    <xf numFmtId="0" fontId="47" fillId="107" borderId="0" applyNumberFormat="0" applyBorder="0" applyAlignment="0" applyProtection="0"/>
    <xf numFmtId="0" fontId="47" fillId="107" borderId="0" applyNumberFormat="0" applyBorder="0" applyAlignment="0" applyProtection="0"/>
    <xf numFmtId="0" fontId="47" fillId="107" borderId="0" applyNumberFormat="0" applyBorder="0" applyAlignment="0" applyProtection="0"/>
    <xf numFmtId="0" fontId="47" fillId="107" borderId="0" applyNumberFormat="0" applyBorder="0" applyAlignment="0" applyProtection="0"/>
    <xf numFmtId="0" fontId="47" fillId="107" borderId="0" applyNumberFormat="0" applyBorder="0" applyAlignment="0" applyProtection="0"/>
    <xf numFmtId="0" fontId="47" fillId="107" borderId="0" applyNumberFormat="0" applyBorder="0" applyAlignment="0" applyProtection="0"/>
    <xf numFmtId="0" fontId="47" fillId="107" borderId="0" applyNumberFormat="0" applyBorder="0" applyAlignment="0" applyProtection="0"/>
    <xf numFmtId="0" fontId="47" fillId="107" borderId="0" applyNumberFormat="0" applyBorder="0" applyAlignment="0" applyProtection="0"/>
    <xf numFmtId="0" fontId="47" fillId="107" borderId="0" applyNumberFormat="0" applyBorder="0" applyAlignment="0" applyProtection="0"/>
    <xf numFmtId="0" fontId="47" fillId="107" borderId="0" applyNumberFormat="0" applyBorder="0" applyAlignment="0" applyProtection="0"/>
    <xf numFmtId="0" fontId="47" fillId="107" borderId="0" applyNumberFormat="0" applyBorder="0" applyAlignment="0" applyProtection="0"/>
    <xf numFmtId="0" fontId="47" fillId="107" borderId="0" applyNumberFormat="0" applyBorder="0" applyAlignment="0" applyProtection="0"/>
    <xf numFmtId="0" fontId="47" fillId="107" borderId="0" applyNumberFormat="0" applyBorder="0" applyAlignment="0" applyProtection="0"/>
    <xf numFmtId="0" fontId="47" fillId="107" borderId="0" applyNumberFormat="0" applyBorder="0" applyAlignment="0" applyProtection="0"/>
    <xf numFmtId="0" fontId="47" fillId="107" borderId="0" applyNumberFormat="0" applyBorder="0" applyAlignment="0" applyProtection="0"/>
    <xf numFmtId="0" fontId="47" fillId="107" borderId="0" applyNumberFormat="0" applyBorder="0" applyAlignment="0" applyProtection="0"/>
    <xf numFmtId="0" fontId="47" fillId="107" borderId="0" applyNumberFormat="0" applyBorder="0" applyAlignment="0" applyProtection="0"/>
    <xf numFmtId="0" fontId="47" fillId="107" borderId="0" applyNumberFormat="0" applyBorder="0" applyAlignment="0" applyProtection="0"/>
    <xf numFmtId="0" fontId="47" fillId="107" borderId="0" applyNumberFormat="0" applyBorder="0" applyAlignment="0" applyProtection="0"/>
    <xf numFmtId="0" fontId="47" fillId="106" borderId="0" applyNumberFormat="0" applyBorder="0" applyProtection="0"/>
    <xf numFmtId="0" fontId="47" fillId="106" borderId="0" applyNumberFormat="0" applyBorder="0" applyProtection="0"/>
    <xf numFmtId="0" fontId="47" fillId="106" borderId="0" applyNumberFormat="0" applyBorder="0" applyProtection="0"/>
    <xf numFmtId="0" fontId="47" fillId="106" borderId="0" applyNumberFormat="0" applyBorder="0" applyProtection="0"/>
    <xf numFmtId="0" fontId="47" fillId="106" borderId="0" applyNumberFormat="0" applyBorder="0" applyProtection="0"/>
    <xf numFmtId="0" fontId="47" fillId="106" borderId="0" applyNumberFormat="0" applyBorder="0" applyProtection="0"/>
    <xf numFmtId="0" fontId="47" fillId="106" borderId="0" applyNumberFormat="0" applyBorder="0" applyProtection="0"/>
    <xf numFmtId="0" fontId="47" fillId="106" borderId="0" applyNumberFormat="0" applyBorder="0" applyProtection="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59" fillId="108" borderId="34" applyNumberFormat="0" applyFont="0" applyProtection="0"/>
    <xf numFmtId="0" fontId="59" fillId="108" borderId="34" applyNumberFormat="0" applyFont="0" applyProtection="0"/>
    <xf numFmtId="0" fontId="59" fillId="108" borderId="34" applyNumberFormat="0" applyFont="0" applyProtection="0"/>
    <xf numFmtId="0" fontId="59" fillId="108" borderId="34" applyNumberFormat="0" applyFont="0" applyProtection="0"/>
    <xf numFmtId="0" fontId="59" fillId="108" borderId="34" applyNumberFormat="0" applyFont="0" applyProtection="0"/>
    <xf numFmtId="0" fontId="59" fillId="108" borderId="34" applyNumberFormat="0" applyFont="0" applyProtection="0"/>
    <xf numFmtId="0" fontId="59" fillId="108" borderId="34" applyNumberFormat="0" applyFont="0" applyProtection="0"/>
    <xf numFmtId="0" fontId="59" fillId="108" borderId="34" applyNumberFormat="0" applyFont="0" applyProtection="0"/>
    <xf numFmtId="0" fontId="59" fillId="108" borderId="34" applyNumberFormat="0" applyFont="0" applyProtection="0"/>
    <xf numFmtId="0" fontId="59" fillId="108" borderId="34" applyNumberFormat="0" applyFont="0" applyProtection="0"/>
    <xf numFmtId="0" fontId="59" fillId="108" borderId="34" applyNumberFormat="0" applyFont="0" applyProtection="0"/>
    <xf numFmtId="0" fontId="59" fillId="108" borderId="34" applyNumberFormat="0" applyFont="0" applyProtection="0"/>
    <xf numFmtId="0" fontId="59" fillId="108" borderId="34" applyNumberFormat="0" applyFont="0" applyProtection="0"/>
    <xf numFmtId="0" fontId="59" fillId="108" borderId="34" applyNumberFormat="0" applyFont="0" applyProtection="0"/>
    <xf numFmtId="0" fontId="59" fillId="108" borderId="34" applyNumberFormat="0" applyFont="0" applyProtection="0"/>
    <xf numFmtId="0" fontId="59" fillId="108" borderId="34" applyNumberFormat="0" applyFont="0" applyProtection="0"/>
    <xf numFmtId="0" fontId="59" fillId="108" borderId="34" applyNumberFormat="0" applyFont="0" applyProtection="0"/>
    <xf numFmtId="0" fontId="59" fillId="108" borderId="34" applyNumberFormat="0" applyFont="0" applyProtection="0"/>
    <xf numFmtId="0" fontId="59" fillId="108" borderId="34" applyNumberFormat="0" applyFont="0" applyProtection="0"/>
    <xf numFmtId="0" fontId="59" fillId="108" borderId="34" applyNumberFormat="0" applyFont="0" applyProtection="0"/>
    <xf numFmtId="0" fontId="59" fillId="108" borderId="34" applyNumberFormat="0" applyFont="0" applyProtection="0"/>
    <xf numFmtId="0" fontId="59" fillId="108" borderId="34" applyNumberFormat="0" applyFont="0" applyProtection="0"/>
    <xf numFmtId="0" fontId="59" fillId="108" borderId="34" applyNumberFormat="0" applyFont="0" applyProtection="0"/>
    <xf numFmtId="0" fontId="59" fillId="108" borderId="34" applyNumberFormat="0" applyFont="0" applyProtection="0"/>
    <xf numFmtId="0" fontId="59" fillId="108" borderId="34" applyNumberFormat="0" applyFont="0" applyProtection="0"/>
    <xf numFmtId="0" fontId="59" fillId="108" borderId="34" applyNumberFormat="0" applyFont="0" applyProtection="0"/>
    <xf numFmtId="0" fontId="59" fillId="108" borderId="34" applyNumberFormat="0" applyFont="0" applyProtection="0"/>
    <xf numFmtId="0" fontId="59" fillId="108" borderId="34" applyNumberFormat="0" applyFont="0" applyProtection="0"/>
    <xf numFmtId="0" fontId="59" fillId="108" borderId="34" applyNumberFormat="0" applyFont="0" applyProtection="0"/>
    <xf numFmtId="0" fontId="59" fillId="108" borderId="34" applyNumberFormat="0" applyFont="0" applyProtection="0"/>
    <xf numFmtId="0" fontId="59" fillId="108" borderId="34" applyNumberFormat="0" applyFont="0" applyProtection="0"/>
    <xf numFmtId="0" fontId="59" fillId="108" borderId="34" applyNumberFormat="0" applyFont="0" applyProtection="0"/>
    <xf numFmtId="0" fontId="59" fillId="108" borderId="34" applyNumberFormat="0" applyFont="0" applyProtection="0"/>
    <xf numFmtId="0" fontId="59" fillId="108" borderId="34" applyNumberFormat="0" applyFont="0" applyProtection="0"/>
    <xf numFmtId="0" fontId="59" fillId="108" borderId="34" applyNumberFormat="0" applyFont="0" applyProtection="0"/>
    <xf numFmtId="0" fontId="59" fillId="108" borderId="34" applyNumberFormat="0" applyFont="0" applyProtection="0"/>
    <xf numFmtId="0" fontId="59" fillId="108" borderId="34" applyNumberFormat="0" applyFont="0" applyProtection="0"/>
    <xf numFmtId="0" fontId="59" fillId="108" borderId="34" applyNumberFormat="0" applyFont="0" applyProtection="0"/>
    <xf numFmtId="0" fontId="59" fillId="108" borderId="34" applyNumberFormat="0" applyFont="0" applyProtection="0"/>
    <xf numFmtId="0" fontId="59" fillId="108" borderId="34" applyNumberFormat="0" applyFont="0" applyProtection="0"/>
    <xf numFmtId="0" fontId="59" fillId="108" borderId="34" applyNumberFormat="0" applyFont="0" applyProtection="0"/>
    <xf numFmtId="0" fontId="59" fillId="108" borderId="34" applyNumberFormat="0" applyFont="0" applyProtection="0"/>
    <xf numFmtId="0" fontId="59" fillId="108" borderId="34" applyNumberFormat="0" applyFont="0" applyProtection="0"/>
    <xf numFmtId="0" fontId="59" fillId="108" borderId="34" applyNumberFormat="0" applyFont="0" applyProtection="0"/>
    <xf numFmtId="0" fontId="59" fillId="108" borderId="34" applyNumberFormat="0" applyFont="0" applyProtection="0"/>
    <xf numFmtId="0" fontId="59" fillId="108" borderId="34" applyNumberFormat="0" applyFont="0" applyProtection="0"/>
    <xf numFmtId="0" fontId="59" fillId="108" borderId="34" applyNumberFormat="0" applyFont="0" applyProtection="0"/>
    <xf numFmtId="0" fontId="59" fillId="108" borderId="34" applyNumberFormat="0" applyFont="0" applyProtection="0"/>
    <xf numFmtId="0" fontId="49" fillId="96" borderId="31" applyNumberFormat="0" applyAlignment="0" applyProtection="0"/>
    <xf numFmtId="0" fontId="49" fillId="96" borderId="31" applyNumberFormat="0" applyAlignment="0" applyProtection="0"/>
    <xf numFmtId="0" fontId="49" fillId="96" borderId="31" applyNumberFormat="0" applyAlignment="0" applyProtection="0"/>
    <xf numFmtId="0" fontId="49" fillId="96" borderId="31" applyNumberFormat="0" applyAlignment="0" applyProtection="0"/>
    <xf numFmtId="0" fontId="49" fillId="96" borderId="31" applyNumberFormat="0" applyAlignment="0" applyProtection="0"/>
    <xf numFmtId="0" fontId="49" fillId="96" borderId="31" applyNumberFormat="0" applyAlignment="0" applyProtection="0"/>
    <xf numFmtId="0" fontId="49" fillId="96" borderId="31" applyNumberFormat="0" applyAlignment="0" applyProtection="0"/>
    <xf numFmtId="0" fontId="49" fillId="96" borderId="31" applyNumberFormat="0" applyAlignment="0" applyProtection="0"/>
    <xf numFmtId="0" fontId="49" fillId="96" borderId="31" applyNumberFormat="0" applyAlignment="0" applyProtection="0"/>
    <xf numFmtId="0" fontId="49" fillId="96" borderId="31" applyNumberFormat="0" applyAlignment="0" applyProtection="0"/>
    <xf numFmtId="0" fontId="49" fillId="96" borderId="31" applyNumberFormat="0" applyAlignment="0" applyProtection="0"/>
    <xf numFmtId="0" fontId="49" fillId="96" borderId="31" applyNumberFormat="0" applyAlignment="0" applyProtection="0"/>
    <xf numFmtId="0" fontId="49" fillId="96" borderId="31" applyNumberFormat="0" applyAlignment="0" applyProtection="0"/>
    <xf numFmtId="0" fontId="49" fillId="96" borderId="31" applyNumberFormat="0" applyAlignment="0" applyProtection="0"/>
    <xf numFmtId="0" fontId="49" fillId="96" borderId="31" applyNumberFormat="0" applyAlignment="0" applyProtection="0"/>
    <xf numFmtId="0" fontId="49" fillId="96" borderId="31" applyNumberFormat="0" applyAlignment="0" applyProtection="0"/>
    <xf numFmtId="0" fontId="49" fillId="96" borderId="31" applyNumberFormat="0" applyAlignment="0" applyProtection="0"/>
    <xf numFmtId="0" fontId="49" fillId="96" borderId="31" applyNumberFormat="0" applyAlignment="0" applyProtection="0"/>
    <xf numFmtId="0" fontId="49" fillId="96" borderId="31" applyNumberFormat="0" applyAlignment="0" applyProtection="0"/>
    <xf numFmtId="0" fontId="49" fillId="96" borderId="31" applyNumberFormat="0" applyAlignment="0" applyProtection="0"/>
    <xf numFmtId="0" fontId="49" fillId="95" borderId="31" applyNumberFormat="0" applyProtection="0"/>
    <xf numFmtId="0" fontId="49" fillId="95" borderId="31" applyNumberFormat="0" applyProtection="0"/>
    <xf numFmtId="0" fontId="49" fillId="95" borderId="31" applyNumberFormat="0" applyProtection="0"/>
    <xf numFmtId="0" fontId="49" fillId="95" borderId="31" applyNumberFormat="0" applyProtection="0"/>
    <xf numFmtId="0" fontId="49" fillId="95" borderId="31" applyNumberFormat="0" applyProtection="0"/>
    <xf numFmtId="0" fontId="49" fillId="95" borderId="31" applyNumberFormat="0" applyProtection="0"/>
    <xf numFmtId="0" fontId="49" fillId="95" borderId="31" applyNumberFormat="0" applyProtection="0"/>
    <xf numFmtId="0" fontId="49" fillId="95" borderId="31" applyNumberFormat="0" applyProtection="0"/>
    <xf numFmtId="0" fontId="71" fillId="0" borderId="0">
      <alignment horizontal="right" vertical="top" wrapText="1"/>
    </xf>
    <xf numFmtId="0" fontId="71" fillId="0" borderId="0">
      <alignment horizontal="right" vertical="top" wrapText="1"/>
    </xf>
    <xf numFmtId="0" fontId="71" fillId="0" borderId="0">
      <alignment horizontal="right" vertical="top" wrapText="1"/>
    </xf>
    <xf numFmtId="0" fontId="71" fillId="0" borderId="0">
      <alignment horizontal="right" vertical="top" wrapText="1"/>
    </xf>
    <xf numFmtId="0" fontId="71" fillId="0" borderId="0">
      <alignment horizontal="right" vertical="top" wrapText="1"/>
    </xf>
    <xf numFmtId="0" fontId="71" fillId="0" borderId="0">
      <alignment horizontal="right" vertical="top" wrapText="1"/>
    </xf>
    <xf numFmtId="0" fontId="71" fillId="0" borderId="0">
      <alignment horizontal="right" vertical="top" wrapText="1"/>
    </xf>
    <xf numFmtId="0" fontId="71" fillId="0" borderId="0">
      <alignment horizontal="right" vertical="top" wrapText="1"/>
    </xf>
    <xf numFmtId="0" fontId="71" fillId="0" borderId="0">
      <alignment horizontal="right" vertical="top" wrapText="1"/>
    </xf>
    <xf numFmtId="0" fontId="71" fillId="0" borderId="0">
      <alignment horizontal="right" vertical="top" wrapText="1"/>
    </xf>
    <xf numFmtId="0" fontId="71" fillId="0" borderId="0">
      <alignment horizontal="right" vertical="top" wrapText="1"/>
    </xf>
    <xf numFmtId="0" fontId="71" fillId="0" borderId="0">
      <alignment horizontal="right" vertical="top" wrapText="1"/>
    </xf>
    <xf numFmtId="0" fontId="71" fillId="0" borderId="0">
      <alignment horizontal="right" vertical="top" wrapText="1"/>
    </xf>
    <xf numFmtId="0" fontId="71" fillId="0" borderId="0">
      <alignment horizontal="right" vertical="top" wrapText="1"/>
    </xf>
    <xf numFmtId="0" fontId="71" fillId="0" borderId="0">
      <alignment horizontal="right" vertical="top" wrapText="1"/>
    </xf>
    <xf numFmtId="0" fontId="71" fillId="0" borderId="0">
      <alignment horizontal="right" vertical="top" wrapText="1"/>
    </xf>
    <xf numFmtId="4" fontId="68" fillId="99" borderId="24">
      <alignment horizontal="right" shrinkToFit="1"/>
    </xf>
    <xf numFmtId="4" fontId="68" fillId="99" borderId="24">
      <alignment horizontal="right" shrinkToFit="1"/>
    </xf>
    <xf numFmtId="4" fontId="68" fillId="99" borderId="24">
      <alignment horizontal="right" shrinkToFit="1"/>
    </xf>
    <xf numFmtId="4" fontId="68" fillId="99" borderId="24">
      <alignment horizontal="right" shrinkToFit="1"/>
    </xf>
    <xf numFmtId="4" fontId="68" fillId="99" borderId="24">
      <alignment horizontal="right" shrinkToFit="1"/>
    </xf>
    <xf numFmtId="4" fontId="68" fillId="99" borderId="24">
      <alignment horizontal="right" shrinkToFit="1"/>
    </xf>
    <xf numFmtId="4" fontId="68" fillId="99" borderId="24">
      <alignment horizontal="right" shrinkToFit="1"/>
    </xf>
    <xf numFmtId="4" fontId="68" fillId="99" borderId="24">
      <alignment horizontal="right" shrinkToFit="1"/>
    </xf>
    <xf numFmtId="169" fontId="68" fillId="99" borderId="25">
      <alignment horizontal="right" shrinkToFit="1"/>
    </xf>
    <xf numFmtId="169" fontId="68" fillId="99" borderId="25">
      <alignment horizontal="right" shrinkToFit="1"/>
    </xf>
    <xf numFmtId="169" fontId="68" fillId="99" borderId="25">
      <alignment horizontal="right" shrinkToFit="1"/>
    </xf>
    <xf numFmtId="169" fontId="68" fillId="99" borderId="25">
      <alignment horizontal="right" shrinkToFit="1"/>
    </xf>
    <xf numFmtId="169" fontId="68" fillId="99" borderId="25">
      <alignment horizontal="right" shrinkToFit="1"/>
    </xf>
    <xf numFmtId="169" fontId="68" fillId="99" borderId="25">
      <alignment horizontal="right" shrinkToFit="1"/>
    </xf>
    <xf numFmtId="169" fontId="68" fillId="99" borderId="25">
      <alignment horizontal="right" shrinkToFit="1"/>
    </xf>
    <xf numFmtId="169" fontId="68" fillId="99" borderId="25">
      <alignment horizontal="right" shrinkToFit="1"/>
    </xf>
    <xf numFmtId="0" fontId="71" fillId="0" borderId="26"/>
    <xf numFmtId="0" fontId="71" fillId="0" borderId="26"/>
    <xf numFmtId="0" fontId="71" fillId="0" borderId="26"/>
    <xf numFmtId="0" fontId="71" fillId="0" borderId="26"/>
    <xf numFmtId="0" fontId="71" fillId="0" borderId="26"/>
    <xf numFmtId="0" fontId="71" fillId="0" borderId="26"/>
    <xf numFmtId="0" fontId="71" fillId="0" borderId="26"/>
    <xf numFmtId="0" fontId="71" fillId="0" borderId="26"/>
    <xf numFmtId="0" fontId="71" fillId="0" borderId="23">
      <alignment horizontal="right" vertical="top" wrapText="1"/>
    </xf>
    <xf numFmtId="49" fontId="68" fillId="0" borderId="13">
      <alignment horizontal="center" vertical="center" wrapText="1"/>
    </xf>
    <xf numFmtId="49" fontId="68" fillId="0" borderId="13">
      <alignment horizontal="center" vertical="center" wrapText="1"/>
    </xf>
    <xf numFmtId="49" fontId="68" fillId="0" borderId="13">
      <alignment horizontal="center" vertical="center" wrapText="1"/>
    </xf>
    <xf numFmtId="49" fontId="68" fillId="0" borderId="13">
      <alignment horizontal="center" vertical="center" wrapText="1"/>
    </xf>
    <xf numFmtId="49" fontId="68" fillId="0" borderId="13">
      <alignment horizontal="center" vertical="center" wrapText="1"/>
    </xf>
    <xf numFmtId="49" fontId="68" fillId="0" borderId="13">
      <alignment horizontal="center" vertical="center" wrapText="1"/>
    </xf>
    <xf numFmtId="49" fontId="68" fillId="0" borderId="13">
      <alignment horizontal="center" vertical="center" wrapText="1"/>
    </xf>
    <xf numFmtId="49" fontId="68" fillId="0" borderId="13">
      <alignment horizontal="center" vertical="center" wrapText="1"/>
    </xf>
    <xf numFmtId="4" fontId="68" fillId="101" borderId="22">
      <alignment horizontal="right" vertical="top" shrinkToFit="1"/>
    </xf>
    <xf numFmtId="4" fontId="68" fillId="101" borderId="22">
      <alignment horizontal="right" vertical="top" shrinkToFit="1"/>
    </xf>
    <xf numFmtId="4" fontId="68" fillId="101" borderId="22">
      <alignment horizontal="right" vertical="top" shrinkToFit="1"/>
    </xf>
    <xf numFmtId="4" fontId="68" fillId="101" borderId="22">
      <alignment horizontal="right" vertical="top" shrinkToFit="1"/>
    </xf>
    <xf numFmtId="4" fontId="68" fillId="101" borderId="22">
      <alignment horizontal="right" vertical="top" shrinkToFit="1"/>
    </xf>
    <xf numFmtId="4" fontId="68" fillId="101" borderId="22">
      <alignment horizontal="right" vertical="top" shrinkToFit="1"/>
    </xf>
    <xf numFmtId="4" fontId="68" fillId="101" borderId="22">
      <alignment horizontal="right" vertical="top" shrinkToFit="1"/>
    </xf>
    <xf numFmtId="4" fontId="68" fillId="101" borderId="22">
      <alignment horizontal="right" vertical="top" shrinkToFit="1"/>
    </xf>
    <xf numFmtId="0" fontId="71" fillId="0" borderId="23">
      <alignment horizontal="right" vertical="top" wrapText="1"/>
    </xf>
    <xf numFmtId="0" fontId="71" fillId="0" borderId="23">
      <alignment horizontal="right" vertical="top" wrapText="1"/>
    </xf>
    <xf numFmtId="0" fontId="71" fillId="0" borderId="23">
      <alignment horizontal="right" vertical="top" wrapText="1"/>
    </xf>
    <xf numFmtId="0" fontId="71" fillId="0" borderId="23">
      <alignment horizontal="right" vertical="top" wrapText="1"/>
    </xf>
    <xf numFmtId="0" fontId="71" fillId="0" borderId="23">
      <alignment horizontal="right" vertical="top" wrapText="1"/>
    </xf>
    <xf numFmtId="0" fontId="71" fillId="0" borderId="23">
      <alignment horizontal="right" vertical="top" wrapText="1"/>
    </xf>
    <xf numFmtId="0" fontId="71" fillId="0" borderId="23">
      <alignment horizontal="right" vertical="top" wrapText="1"/>
    </xf>
    <xf numFmtId="49" fontId="68" fillId="0" borderId="14">
      <alignment horizontal="center" vertical="center" wrapText="1"/>
    </xf>
    <xf numFmtId="49" fontId="68" fillId="0" borderId="14">
      <alignment horizontal="center" vertical="center" wrapText="1"/>
    </xf>
    <xf numFmtId="49" fontId="68" fillId="0" borderId="14">
      <alignment horizontal="center" vertical="center" wrapText="1"/>
    </xf>
    <xf numFmtId="49" fontId="68" fillId="0" borderId="14">
      <alignment horizontal="center" vertical="center" wrapText="1"/>
    </xf>
    <xf numFmtId="49" fontId="68" fillId="0" borderId="14">
      <alignment horizontal="center" vertical="center" wrapText="1"/>
    </xf>
    <xf numFmtId="49" fontId="68" fillId="0" borderId="14">
      <alignment horizontal="center" vertical="center" wrapText="1"/>
    </xf>
    <xf numFmtId="49" fontId="68" fillId="0" borderId="14">
      <alignment horizontal="center" vertical="center" wrapText="1"/>
    </xf>
    <xf numFmtId="49" fontId="68" fillId="0" borderId="14">
      <alignment horizontal="center" vertical="center" wrapText="1"/>
    </xf>
    <xf numFmtId="169" fontId="68" fillId="101" borderId="23">
      <alignment horizontal="right" vertical="top" shrinkToFit="1"/>
    </xf>
    <xf numFmtId="169" fontId="68" fillId="101" borderId="23">
      <alignment horizontal="right" vertical="top" shrinkToFit="1"/>
    </xf>
    <xf numFmtId="169" fontId="68" fillId="101" borderId="23">
      <alignment horizontal="right" vertical="top" shrinkToFit="1"/>
    </xf>
    <xf numFmtId="169" fontId="68" fillId="101" borderId="23">
      <alignment horizontal="right" vertical="top" shrinkToFit="1"/>
    </xf>
    <xf numFmtId="169" fontId="68" fillId="101" borderId="23">
      <alignment horizontal="right" vertical="top" shrinkToFit="1"/>
    </xf>
    <xf numFmtId="169" fontId="68" fillId="101" borderId="23">
      <alignment horizontal="right" vertical="top" shrinkToFit="1"/>
    </xf>
    <xf numFmtId="169" fontId="68" fillId="101" borderId="23">
      <alignment horizontal="right" vertical="top" shrinkToFit="1"/>
    </xf>
    <xf numFmtId="169" fontId="68" fillId="101" borderId="23">
      <alignment horizontal="right" vertical="top" shrinkToFit="1"/>
    </xf>
    <xf numFmtId="0" fontId="71" fillId="0" borderId="23">
      <alignment horizontal="right" vertical="top" shrinkToFit="1"/>
    </xf>
    <xf numFmtId="4" fontId="68" fillId="100" borderId="16">
      <alignment horizontal="right" vertical="top" wrapText="1" shrinkToFit="1"/>
    </xf>
    <xf numFmtId="4" fontId="68" fillId="100" borderId="16">
      <alignment horizontal="right" vertical="top" wrapText="1" shrinkToFit="1"/>
    </xf>
    <xf numFmtId="4" fontId="68" fillId="100" borderId="16">
      <alignment horizontal="right" vertical="top" wrapText="1" shrinkToFit="1"/>
    </xf>
    <xf numFmtId="4" fontId="68" fillId="100" borderId="16">
      <alignment horizontal="right" vertical="top" wrapText="1" shrinkToFit="1"/>
    </xf>
    <xf numFmtId="4" fontId="68" fillId="100" borderId="16">
      <alignment horizontal="right" vertical="top" wrapText="1" shrinkToFit="1"/>
    </xf>
    <xf numFmtId="4" fontId="68" fillId="100" borderId="16">
      <alignment horizontal="right" vertical="top" wrapText="1" shrinkToFit="1"/>
    </xf>
    <xf numFmtId="4" fontId="68" fillId="100" borderId="16">
      <alignment horizontal="right" vertical="top" wrapText="1" shrinkToFit="1"/>
    </xf>
    <xf numFmtId="4" fontId="68" fillId="100" borderId="16">
      <alignment horizontal="right" vertical="top" wrapText="1" shrinkToFit="1"/>
    </xf>
    <xf numFmtId="4" fontId="71" fillId="0" borderId="22">
      <alignment horizontal="right" vertical="top" shrinkToFit="1"/>
    </xf>
    <xf numFmtId="4" fontId="71" fillId="0" borderId="22">
      <alignment horizontal="right" vertical="top" shrinkToFit="1"/>
    </xf>
    <xf numFmtId="4" fontId="71" fillId="0" borderId="22">
      <alignment horizontal="right" vertical="top" shrinkToFit="1"/>
    </xf>
    <xf numFmtId="4" fontId="71" fillId="0" borderId="22">
      <alignment horizontal="right" vertical="top" shrinkToFit="1"/>
    </xf>
    <xf numFmtId="4" fontId="71" fillId="0" borderId="22">
      <alignment horizontal="right" vertical="top" shrinkToFit="1"/>
    </xf>
    <xf numFmtId="4" fontId="71" fillId="0" borderId="22">
      <alignment horizontal="right" vertical="top" shrinkToFit="1"/>
    </xf>
    <xf numFmtId="4" fontId="71" fillId="0" borderId="22">
      <alignment horizontal="right" vertical="top" shrinkToFit="1"/>
    </xf>
    <xf numFmtId="4" fontId="71" fillId="0" borderId="22">
      <alignment horizontal="right" vertical="top" shrinkToFit="1"/>
    </xf>
    <xf numFmtId="0" fontId="71" fillId="0" borderId="23">
      <alignment horizontal="right" vertical="top" shrinkToFit="1"/>
    </xf>
    <xf numFmtId="0" fontId="71" fillId="0" borderId="23">
      <alignment horizontal="right" vertical="top" shrinkToFit="1"/>
    </xf>
    <xf numFmtId="0" fontId="71" fillId="0" borderId="23">
      <alignment horizontal="right" vertical="top" shrinkToFit="1"/>
    </xf>
    <xf numFmtId="0" fontId="71" fillId="0" borderId="23">
      <alignment horizontal="right" vertical="top" shrinkToFit="1"/>
    </xf>
    <xf numFmtId="0" fontId="71" fillId="0" borderId="23">
      <alignment horizontal="right" vertical="top" shrinkToFit="1"/>
    </xf>
    <xf numFmtId="0" fontId="71" fillId="0" borderId="23">
      <alignment horizontal="right" vertical="top" shrinkToFit="1"/>
    </xf>
    <xf numFmtId="0" fontId="71" fillId="0" borderId="23">
      <alignment horizontal="right" vertical="top" shrinkToFit="1"/>
    </xf>
    <xf numFmtId="0" fontId="68" fillId="101" borderId="23">
      <alignment horizontal="right" vertical="top" shrinkToFit="1"/>
    </xf>
    <xf numFmtId="169" fontId="68" fillId="100" borderId="17">
      <alignment horizontal="right" vertical="top" shrinkToFit="1"/>
    </xf>
    <xf numFmtId="169" fontId="68" fillId="100" borderId="17">
      <alignment horizontal="right" vertical="top" shrinkToFit="1"/>
    </xf>
    <xf numFmtId="169" fontId="68" fillId="100" borderId="17">
      <alignment horizontal="right" vertical="top" shrinkToFit="1"/>
    </xf>
    <xf numFmtId="169" fontId="68" fillId="100" borderId="17">
      <alignment horizontal="right" vertical="top" shrinkToFit="1"/>
    </xf>
    <xf numFmtId="169" fontId="68" fillId="100" borderId="17">
      <alignment horizontal="right" vertical="top" shrinkToFit="1"/>
    </xf>
    <xf numFmtId="169" fontId="68" fillId="100" borderId="17">
      <alignment horizontal="right" vertical="top" shrinkToFit="1"/>
    </xf>
    <xf numFmtId="169" fontId="68" fillId="100" borderId="17">
      <alignment horizontal="right" vertical="top" shrinkToFit="1"/>
    </xf>
    <xf numFmtId="169" fontId="68" fillId="100" borderId="17">
      <alignment horizontal="right" vertical="top" shrinkToFit="1"/>
    </xf>
    <xf numFmtId="169" fontId="71" fillId="0" borderId="23">
      <alignment horizontal="right" vertical="top" shrinkToFit="1"/>
    </xf>
    <xf numFmtId="169" fontId="71" fillId="0" borderId="23">
      <alignment horizontal="right" vertical="top" shrinkToFit="1"/>
    </xf>
    <xf numFmtId="169" fontId="71" fillId="0" borderId="23">
      <alignment horizontal="right" vertical="top" shrinkToFit="1"/>
    </xf>
    <xf numFmtId="169" fontId="71" fillId="0" borderId="23">
      <alignment horizontal="right" vertical="top" shrinkToFit="1"/>
    </xf>
    <xf numFmtId="169" fontId="71" fillId="0" borderId="23">
      <alignment horizontal="right" vertical="top" shrinkToFit="1"/>
    </xf>
    <xf numFmtId="169" fontId="71" fillId="0" borderId="23">
      <alignment horizontal="right" vertical="top" shrinkToFit="1"/>
    </xf>
    <xf numFmtId="169" fontId="71" fillId="0" borderId="23">
      <alignment horizontal="right" vertical="top" shrinkToFit="1"/>
    </xf>
    <xf numFmtId="169" fontId="71" fillId="0" borderId="23">
      <alignment horizontal="right" vertical="top" shrinkToFit="1"/>
    </xf>
    <xf numFmtId="0" fontId="68" fillId="101" borderId="23">
      <alignment horizontal="right" vertical="top" shrinkToFit="1"/>
    </xf>
    <xf numFmtId="0" fontId="68" fillId="101" borderId="23">
      <alignment horizontal="right" vertical="top" shrinkToFit="1"/>
    </xf>
    <xf numFmtId="0" fontId="68" fillId="101" borderId="23">
      <alignment horizontal="right" vertical="top" shrinkToFit="1"/>
    </xf>
    <xf numFmtId="0" fontId="68" fillId="101" borderId="23">
      <alignment horizontal="right" vertical="top" shrinkToFit="1"/>
    </xf>
    <xf numFmtId="0" fontId="68" fillId="101" borderId="23">
      <alignment horizontal="right" vertical="top" shrinkToFit="1"/>
    </xf>
    <xf numFmtId="0" fontId="68" fillId="101" borderId="23">
      <alignment horizontal="right" vertical="top" shrinkToFit="1"/>
    </xf>
    <xf numFmtId="0" fontId="68" fillId="101" borderId="23">
      <alignment horizontal="right" vertical="top" shrinkToFit="1"/>
    </xf>
    <xf numFmtId="4" fontId="68" fillId="102" borderId="19">
      <alignment horizontal="right" vertical="top" shrinkToFit="1"/>
    </xf>
    <xf numFmtId="4" fontId="68" fillId="102" borderId="19">
      <alignment horizontal="right" vertical="top" shrinkToFit="1"/>
    </xf>
    <xf numFmtId="4" fontId="68" fillId="102" borderId="19">
      <alignment horizontal="right" vertical="top" shrinkToFit="1"/>
    </xf>
    <xf numFmtId="4" fontId="68" fillId="102" borderId="19">
      <alignment horizontal="right" vertical="top" shrinkToFit="1"/>
    </xf>
    <xf numFmtId="4" fontId="68" fillId="102" borderId="19">
      <alignment horizontal="right" vertical="top" shrinkToFit="1"/>
    </xf>
    <xf numFmtId="4" fontId="68" fillId="102" borderId="19">
      <alignment horizontal="right" vertical="top" shrinkToFit="1"/>
    </xf>
    <xf numFmtId="4" fontId="68" fillId="102" borderId="19">
      <alignment horizontal="right" vertical="top" shrinkToFit="1"/>
    </xf>
    <xf numFmtId="4" fontId="68" fillId="102" borderId="19">
      <alignment horizontal="right" vertical="top" shrinkToFit="1"/>
    </xf>
    <xf numFmtId="0" fontId="68" fillId="102" borderId="20">
      <alignment horizontal="right" vertical="top" shrinkToFit="1"/>
    </xf>
    <xf numFmtId="0" fontId="68" fillId="102" borderId="20">
      <alignment horizontal="right" vertical="top" shrinkToFit="1"/>
    </xf>
    <xf numFmtId="0" fontId="68" fillId="102" borderId="20">
      <alignment horizontal="right" vertical="top" shrinkToFit="1"/>
    </xf>
    <xf numFmtId="0" fontId="68" fillId="102" borderId="20">
      <alignment horizontal="right" vertical="top" shrinkToFit="1"/>
    </xf>
    <xf numFmtId="0" fontId="68" fillId="102" borderId="20">
      <alignment horizontal="right" vertical="top" shrinkToFit="1"/>
    </xf>
    <xf numFmtId="0" fontId="68" fillId="102" borderId="20">
      <alignment horizontal="right" vertical="top" shrinkToFit="1"/>
    </xf>
    <xf numFmtId="0" fontId="68" fillId="102" borderId="20">
      <alignment horizontal="right" vertical="top" shrinkToFit="1"/>
    </xf>
    <xf numFmtId="0" fontId="68" fillId="102" borderId="20">
      <alignment horizontal="right" vertical="top" shrinkToFit="1"/>
    </xf>
    <xf numFmtId="169" fontId="68" fillId="102" borderId="20">
      <alignment horizontal="right" vertical="top" shrinkToFit="1"/>
    </xf>
    <xf numFmtId="169" fontId="68" fillId="102" borderId="20">
      <alignment horizontal="right" vertical="top" shrinkToFit="1"/>
    </xf>
    <xf numFmtId="169" fontId="68" fillId="102" borderId="20">
      <alignment horizontal="right" vertical="top" shrinkToFit="1"/>
    </xf>
    <xf numFmtId="169" fontId="68" fillId="102" borderId="20">
      <alignment horizontal="right" vertical="top" shrinkToFit="1"/>
    </xf>
    <xf numFmtId="169" fontId="68" fillId="102" borderId="20">
      <alignment horizontal="right" vertical="top" shrinkToFit="1"/>
    </xf>
    <xf numFmtId="169" fontId="68" fillId="102" borderId="20">
      <alignment horizontal="right" vertical="top" shrinkToFit="1"/>
    </xf>
    <xf numFmtId="169" fontId="68" fillId="102" borderId="20">
      <alignment horizontal="right" vertical="top" shrinkToFit="1"/>
    </xf>
    <xf numFmtId="169" fontId="68" fillId="102" borderId="20">
      <alignment horizontal="right" vertical="top" shrinkToFit="1"/>
    </xf>
    <xf numFmtId="0" fontId="67" fillId="100" borderId="17">
      <alignment horizontal="right" vertical="top" shrinkToFit="1"/>
    </xf>
    <xf numFmtId="0" fontId="67" fillId="100" borderId="17">
      <alignment horizontal="right" vertical="top" shrinkToFit="1"/>
    </xf>
    <xf numFmtId="0" fontId="67" fillId="100" borderId="17">
      <alignment horizontal="right" vertical="top" shrinkToFit="1"/>
    </xf>
    <xf numFmtId="0" fontId="67" fillId="100" borderId="17">
      <alignment horizontal="right" vertical="top" shrinkToFit="1"/>
    </xf>
    <xf numFmtId="0" fontId="67" fillId="100" borderId="17">
      <alignment horizontal="right" vertical="top" shrinkToFit="1"/>
    </xf>
    <xf numFmtId="0" fontId="67" fillId="100" borderId="17">
      <alignment horizontal="right" vertical="top" shrinkToFit="1"/>
    </xf>
    <xf numFmtId="0" fontId="67" fillId="100" borderId="17">
      <alignment horizontal="right" vertical="top" shrinkToFit="1"/>
    </xf>
    <xf numFmtId="0" fontId="67" fillId="100" borderId="17">
      <alignment horizontal="right" vertical="top" shrinkToFit="1"/>
    </xf>
    <xf numFmtId="4" fontId="68" fillId="101" borderId="22">
      <alignment horizontal="right" vertical="top" shrinkToFit="1"/>
    </xf>
    <xf numFmtId="4" fontId="68" fillId="101" borderId="22">
      <alignment horizontal="right" vertical="top" shrinkToFit="1"/>
    </xf>
    <xf numFmtId="4" fontId="68" fillId="101" borderId="22">
      <alignment horizontal="right" vertical="top" shrinkToFit="1"/>
    </xf>
    <xf numFmtId="4" fontId="68" fillId="101" borderId="22">
      <alignment horizontal="right" vertical="top" shrinkToFit="1"/>
    </xf>
    <xf numFmtId="4" fontId="68" fillId="101" borderId="22">
      <alignment horizontal="right" vertical="top" shrinkToFit="1"/>
    </xf>
    <xf numFmtId="4" fontId="68" fillId="101" borderId="22">
      <alignment horizontal="right" vertical="top" shrinkToFit="1"/>
    </xf>
    <xf numFmtId="4" fontId="68" fillId="101" borderId="22">
      <alignment horizontal="right" vertical="top" shrinkToFit="1"/>
    </xf>
    <xf numFmtId="4" fontId="68" fillId="101" borderId="22">
      <alignment horizontal="right" vertical="top" shrinkToFit="1"/>
    </xf>
    <xf numFmtId="169" fontId="68" fillId="101" borderId="23">
      <alignment horizontal="right" vertical="top" shrinkToFit="1"/>
    </xf>
    <xf numFmtId="169" fontId="68" fillId="101" borderId="23">
      <alignment horizontal="right" vertical="top" shrinkToFit="1"/>
    </xf>
    <xf numFmtId="169" fontId="68" fillId="101" borderId="23">
      <alignment horizontal="right" vertical="top" shrinkToFit="1"/>
    </xf>
    <xf numFmtId="169" fontId="68" fillId="101" borderId="23">
      <alignment horizontal="right" vertical="top" shrinkToFit="1"/>
    </xf>
    <xf numFmtId="169" fontId="68" fillId="101" borderId="23">
      <alignment horizontal="right" vertical="top" shrinkToFit="1"/>
    </xf>
    <xf numFmtId="169" fontId="68" fillId="101" borderId="23">
      <alignment horizontal="right" vertical="top" shrinkToFit="1"/>
    </xf>
    <xf numFmtId="169" fontId="68" fillId="101" borderId="23">
      <alignment horizontal="right" vertical="top" shrinkToFit="1"/>
    </xf>
    <xf numFmtId="169" fontId="68" fillId="101" borderId="23">
      <alignment horizontal="right" vertical="top" shrinkToFit="1"/>
    </xf>
    <xf numFmtId="4" fontId="71" fillId="0" borderId="22">
      <alignment horizontal="right" vertical="top" shrinkToFit="1"/>
    </xf>
    <xf numFmtId="4" fontId="71" fillId="0" borderId="22">
      <alignment horizontal="right" vertical="top" shrinkToFit="1"/>
    </xf>
    <xf numFmtId="4" fontId="71" fillId="0" borderId="22">
      <alignment horizontal="right" vertical="top" shrinkToFit="1"/>
    </xf>
    <xf numFmtId="4" fontId="71" fillId="0" borderId="22">
      <alignment horizontal="right" vertical="top" shrinkToFit="1"/>
    </xf>
    <xf numFmtId="4" fontId="71" fillId="0" borderId="22">
      <alignment horizontal="right" vertical="top" shrinkToFit="1"/>
    </xf>
    <xf numFmtId="4" fontId="71" fillId="0" borderId="22">
      <alignment horizontal="right" vertical="top" shrinkToFit="1"/>
    </xf>
    <xf numFmtId="4" fontId="71" fillId="0" borderId="22">
      <alignment horizontal="right" vertical="top" shrinkToFit="1"/>
    </xf>
    <xf numFmtId="4" fontId="71" fillId="0" borderId="22">
      <alignment horizontal="right" vertical="top" shrinkToFit="1"/>
    </xf>
    <xf numFmtId="169" fontId="71" fillId="0" borderId="23">
      <alignment horizontal="right" vertical="top" shrinkToFit="1"/>
    </xf>
    <xf numFmtId="169" fontId="71" fillId="0" borderId="23">
      <alignment horizontal="right" vertical="top" shrinkToFit="1"/>
    </xf>
    <xf numFmtId="169" fontId="71" fillId="0" borderId="23">
      <alignment horizontal="right" vertical="top" shrinkToFit="1"/>
    </xf>
    <xf numFmtId="169" fontId="71" fillId="0" borderId="23">
      <alignment horizontal="right" vertical="top" shrinkToFit="1"/>
    </xf>
    <xf numFmtId="169" fontId="71" fillId="0" borderId="23">
      <alignment horizontal="right" vertical="top" shrinkToFit="1"/>
    </xf>
    <xf numFmtId="169" fontId="71" fillId="0" borderId="23">
      <alignment horizontal="right" vertical="top" shrinkToFit="1"/>
    </xf>
    <xf numFmtId="169" fontId="71" fillId="0" borderId="23">
      <alignment horizontal="right" vertical="top" shrinkToFit="1"/>
    </xf>
    <xf numFmtId="169" fontId="71" fillId="0" borderId="23">
      <alignment horizontal="right" vertical="top" shrinkToFit="1"/>
    </xf>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82" fillId="0" borderId="0" applyNumberFormat="0" applyFill="0" applyBorder="0" applyProtection="0"/>
    <xf numFmtId="0" fontId="82" fillId="0" borderId="0" applyNumberFormat="0" applyFill="0" applyBorder="0" applyProtection="0"/>
    <xf numFmtId="0" fontId="82" fillId="0" borderId="0" applyNumberFormat="0" applyFill="0" applyBorder="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Protection="0"/>
    <xf numFmtId="0" fontId="84" fillId="0" borderId="0" applyNumberFormat="0" applyFill="0" applyBorder="0" applyProtection="0"/>
    <xf numFmtId="0" fontId="84" fillId="0" borderId="0" applyNumberFormat="0" applyFill="0" applyBorder="0" applyProtection="0"/>
    <xf numFmtId="0" fontId="84" fillId="0" borderId="0" applyNumberFormat="0" applyFill="0" applyBorder="0" applyProtection="0"/>
    <xf numFmtId="0" fontId="84" fillId="0" borderId="0" applyNumberFormat="0" applyFill="0" applyBorder="0" applyProtection="0"/>
    <xf numFmtId="0" fontId="84" fillId="0" borderId="0" applyNumberFormat="0" applyFill="0" applyBorder="0" applyProtection="0"/>
    <xf numFmtId="0" fontId="84" fillId="0" borderId="0" applyNumberFormat="0" applyFill="0" applyBorder="0" applyProtection="0"/>
    <xf numFmtId="0" fontId="84" fillId="0" borderId="0" applyNumberFormat="0" applyFill="0" applyBorder="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Protection="0"/>
    <xf numFmtId="0" fontId="84" fillId="0" borderId="0" applyNumberFormat="0" applyFill="0" applyBorder="0" applyProtection="0"/>
    <xf numFmtId="0" fontId="84" fillId="0" borderId="0" applyNumberFormat="0" applyFill="0" applyBorder="0" applyProtection="0"/>
    <xf numFmtId="0" fontId="84" fillId="0" borderId="0" applyNumberFormat="0" applyFill="0" applyBorder="0" applyProtection="0"/>
    <xf numFmtId="0" fontId="84" fillId="0" borderId="0" applyNumberFormat="0" applyFill="0" applyBorder="0" applyProtection="0"/>
    <xf numFmtId="0" fontId="84" fillId="0" borderId="0" applyNumberFormat="0" applyFill="0" applyBorder="0" applyProtection="0"/>
    <xf numFmtId="0" fontId="84" fillId="0" borderId="0" applyNumberFormat="0" applyFill="0" applyBorder="0" applyProtection="0"/>
    <xf numFmtId="0" fontId="84" fillId="0" borderId="0" applyNumberFormat="0" applyFill="0" applyBorder="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Protection="0"/>
    <xf numFmtId="0" fontId="84" fillId="0" borderId="0" applyNumberFormat="0" applyFill="0" applyBorder="0" applyProtection="0"/>
    <xf numFmtId="0" fontId="84" fillId="0" borderId="0" applyNumberFormat="0" applyFill="0" applyBorder="0" applyProtection="0"/>
    <xf numFmtId="0" fontId="84" fillId="0" borderId="0" applyNumberFormat="0" applyFill="0" applyBorder="0" applyProtection="0"/>
    <xf numFmtId="0" fontId="84" fillId="0" borderId="0" applyNumberFormat="0" applyFill="0" applyBorder="0" applyProtection="0"/>
    <xf numFmtId="0" fontId="84" fillId="0" borderId="0" applyNumberFormat="0" applyFill="0" applyBorder="0" applyProtection="0"/>
    <xf numFmtId="0" fontId="84" fillId="0" borderId="0" applyNumberFormat="0" applyFill="0" applyBorder="0" applyProtection="0"/>
    <xf numFmtId="0" fontId="84" fillId="0" borderId="0" applyNumberFormat="0" applyFill="0" applyBorder="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Protection="0"/>
    <xf numFmtId="0" fontId="84" fillId="0" borderId="0" applyNumberFormat="0" applyFill="0" applyBorder="0" applyProtection="0"/>
    <xf numFmtId="0" fontId="84" fillId="0" borderId="0" applyNumberFormat="0" applyFill="0" applyBorder="0" applyProtection="0"/>
    <xf numFmtId="0" fontId="84" fillId="0" borderId="0" applyNumberFormat="0" applyFill="0" applyBorder="0" applyProtection="0"/>
    <xf numFmtId="0" fontId="84" fillId="0" borderId="0" applyNumberFormat="0" applyFill="0" applyBorder="0" applyProtection="0"/>
    <xf numFmtId="0" fontId="84" fillId="0" borderId="0" applyNumberFormat="0" applyFill="0" applyBorder="0" applyProtection="0"/>
    <xf numFmtId="0" fontId="84" fillId="0" borderId="0" applyNumberFormat="0" applyFill="0" applyBorder="0" applyProtection="0"/>
    <xf numFmtId="0" fontId="84" fillId="0" borderId="0" applyNumberFormat="0" applyFill="0" applyBorder="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Protection="0"/>
    <xf numFmtId="0" fontId="82" fillId="0" borderId="0" applyNumberFormat="0" applyFill="0" applyBorder="0" applyProtection="0"/>
    <xf numFmtId="0" fontId="82" fillId="0" borderId="0" applyNumberFormat="0" applyFill="0" applyBorder="0" applyProtection="0"/>
    <xf numFmtId="0" fontId="82" fillId="0" borderId="0" applyNumberFormat="0" applyFill="0" applyBorder="0" applyProtection="0"/>
    <xf numFmtId="0" fontId="82" fillId="0" borderId="0" applyNumberFormat="0" applyFill="0" applyBorder="0" applyProtection="0"/>
    <xf numFmtId="0" fontId="29" fillId="0" borderId="35" applyNumberFormat="0" applyFill="0" applyAlignment="0" applyProtection="0"/>
    <xf numFmtId="0" fontId="29" fillId="0" borderId="35" applyNumberFormat="0" applyFill="0" applyAlignment="0" applyProtection="0"/>
    <xf numFmtId="0" fontId="29" fillId="0" borderId="35" applyNumberFormat="0" applyFill="0" applyAlignment="0" applyProtection="0"/>
    <xf numFmtId="0" fontId="29" fillId="0" borderId="35" applyNumberFormat="0" applyFill="0" applyAlignment="0" applyProtection="0"/>
    <xf numFmtId="0" fontId="29" fillId="0" borderId="35" applyNumberFormat="0" applyFill="0" applyAlignment="0" applyProtection="0"/>
    <xf numFmtId="0" fontId="29" fillId="0" borderId="35" applyNumberFormat="0" applyFill="0" applyAlignment="0" applyProtection="0"/>
    <xf numFmtId="0" fontId="29" fillId="0" borderId="35" applyNumberFormat="0" applyFill="0" applyAlignment="0" applyProtection="0"/>
    <xf numFmtId="0" fontId="29" fillId="0" borderId="35" applyNumberFormat="0" applyFill="0" applyAlignment="0" applyProtection="0"/>
    <xf numFmtId="0" fontId="29" fillId="0" borderId="35" applyNumberFormat="0" applyFill="0" applyAlignment="0" applyProtection="0"/>
    <xf numFmtId="0" fontId="29" fillId="0" borderId="35" applyNumberFormat="0" applyFill="0" applyAlignment="0" applyProtection="0"/>
    <xf numFmtId="0" fontId="29" fillId="0" borderId="35" applyNumberFormat="0" applyFill="0" applyAlignment="0" applyProtection="0"/>
    <xf numFmtId="0" fontId="29" fillId="0" borderId="35" applyNumberFormat="0" applyFill="0" applyAlignment="0" applyProtection="0"/>
    <xf numFmtId="0" fontId="29" fillId="0" borderId="35" applyNumberFormat="0" applyFill="0" applyAlignment="0" applyProtection="0"/>
    <xf numFmtId="0" fontId="29" fillId="0" borderId="35" applyNumberFormat="0" applyFill="0" applyAlignment="0" applyProtection="0"/>
    <xf numFmtId="0" fontId="29" fillId="0" borderId="35" applyNumberFormat="0" applyFill="0" applyAlignment="0" applyProtection="0"/>
    <xf numFmtId="0" fontId="29" fillId="0" borderId="35" applyNumberFormat="0" applyFill="0" applyAlignment="0" applyProtection="0"/>
    <xf numFmtId="0" fontId="29" fillId="0" borderId="35" applyNumberFormat="0" applyFill="0" applyAlignment="0" applyProtection="0"/>
    <xf numFmtId="0" fontId="29" fillId="0" borderId="35" applyNumberFormat="0" applyFill="0" applyAlignment="0" applyProtection="0"/>
    <xf numFmtId="0" fontId="29" fillId="0" borderId="35" applyNumberFormat="0" applyFill="0" applyAlignment="0" applyProtection="0"/>
    <xf numFmtId="0" fontId="29" fillId="0" borderId="35" applyNumberFormat="0" applyFill="0" applyAlignment="0" applyProtection="0"/>
    <xf numFmtId="0" fontId="29" fillId="0" borderId="35" applyNumberFormat="0" applyFill="0" applyProtection="0"/>
    <xf numFmtId="0" fontId="29" fillId="0" borderId="35" applyNumberFormat="0" applyFill="0" applyProtection="0"/>
    <xf numFmtId="0" fontId="29" fillId="0" borderId="35" applyNumberFormat="0" applyFill="0" applyProtection="0"/>
    <xf numFmtId="0" fontId="29" fillId="0" borderId="35" applyNumberFormat="0" applyFill="0" applyProtection="0"/>
    <xf numFmtId="0" fontId="29" fillId="0" borderId="35" applyNumberFormat="0" applyFill="0" applyProtection="0"/>
    <xf numFmtId="0" fontId="29" fillId="0" borderId="35" applyNumberFormat="0" applyFill="0" applyProtection="0"/>
    <xf numFmtId="0" fontId="29" fillId="0" borderId="35" applyNumberFormat="0" applyFill="0" applyProtection="0"/>
    <xf numFmtId="0" fontId="29" fillId="0" borderId="35" applyNumberFormat="0" applyFill="0" applyProtection="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87" fillId="0" borderId="0" applyNumberFormat="0" applyFill="0" applyBorder="0" applyProtection="0"/>
    <xf numFmtId="0" fontId="87" fillId="0" borderId="0" applyNumberFormat="0" applyFill="0" applyBorder="0" applyProtection="0"/>
    <xf numFmtId="0" fontId="87" fillId="0" borderId="0" applyNumberFormat="0" applyFill="0" applyBorder="0" applyProtection="0"/>
    <xf numFmtId="0" fontId="87" fillId="0" borderId="0" applyNumberFormat="0" applyFill="0" applyBorder="0" applyProtection="0"/>
    <xf numFmtId="0" fontId="87" fillId="0" borderId="0" applyNumberFormat="0" applyFill="0" applyBorder="0" applyProtection="0"/>
    <xf numFmtId="0" fontId="87" fillId="0" borderId="0" applyNumberFormat="0" applyFill="0" applyBorder="0" applyProtection="0"/>
    <xf numFmtId="0" fontId="87" fillId="0" borderId="0" applyNumberFormat="0" applyFill="0" applyBorder="0" applyProtection="0"/>
    <xf numFmtId="0" fontId="87" fillId="0" borderId="0" applyNumberFormat="0" applyFill="0" applyBorder="0" applyProtection="0"/>
    <xf numFmtId="4" fontId="69" fillId="0" borderId="46">
      <alignment horizontal="right" vertical="top" shrinkToFit="1"/>
    </xf>
    <xf numFmtId="4" fontId="69" fillId="0" borderId="46">
      <alignment horizontal="right" vertical="top" shrinkToFit="1"/>
    </xf>
    <xf numFmtId="4" fontId="69" fillId="0" borderId="46">
      <alignment horizontal="right" vertical="top" shrinkToFit="1"/>
    </xf>
    <xf numFmtId="4" fontId="69" fillId="0" borderId="46">
      <alignment horizontal="right" vertical="top" shrinkToFit="1"/>
    </xf>
    <xf numFmtId="4" fontId="89" fillId="39" borderId="46">
      <alignment horizontal="right" vertical="top" shrinkToFit="1"/>
    </xf>
    <xf numFmtId="4" fontId="89" fillId="39" borderId="46">
      <alignment horizontal="right" vertical="top" shrinkToFit="1"/>
    </xf>
    <xf numFmtId="4" fontId="89" fillId="39" borderId="46">
      <alignment horizontal="right" vertical="top" shrinkToFit="1"/>
    </xf>
    <xf numFmtId="4" fontId="89" fillId="39" borderId="46">
      <alignment horizontal="right" vertical="top" shrinkToFit="1"/>
    </xf>
    <xf numFmtId="0" fontId="91" fillId="112" borderId="0" applyNumberFormat="0" applyBorder="0" applyProtection="0"/>
    <xf numFmtId="0" fontId="91" fillId="112" borderId="0" applyNumberFormat="0" applyBorder="0" applyProtection="0"/>
    <xf numFmtId="0" fontId="91" fillId="112" borderId="0" applyNumberFormat="0" applyBorder="0" applyProtection="0"/>
    <xf numFmtId="0" fontId="91" fillId="112" borderId="0" applyNumberFormat="0" applyBorder="0" applyProtection="0"/>
    <xf numFmtId="0" fontId="91" fillId="112" borderId="0" applyNumberFormat="0" applyBorder="0" applyProtection="0"/>
    <xf numFmtId="0" fontId="91" fillId="112" borderId="0" applyNumberFormat="0" applyBorder="0" applyProtection="0"/>
    <xf numFmtId="0" fontId="91" fillId="112" borderId="0" applyNumberFormat="0" applyBorder="0" applyProtection="0"/>
    <xf numFmtId="0" fontId="91" fillId="112" borderId="0" applyNumberFormat="0" applyBorder="0" applyProtection="0"/>
    <xf numFmtId="0" fontId="60" fillId="111" borderId="0" applyNumberFormat="0" applyBorder="0" applyProtection="0"/>
    <xf numFmtId="0" fontId="60" fillId="111" borderId="0" applyNumberFormat="0" applyBorder="0" applyProtection="0"/>
    <xf numFmtId="0" fontId="60" fillId="111" borderId="0" applyNumberFormat="0" applyBorder="0" applyProtection="0"/>
    <xf numFmtId="0" fontId="60" fillId="111" borderId="0" applyNumberFormat="0" applyBorder="0" applyProtection="0"/>
    <xf numFmtId="0" fontId="60" fillId="111" borderId="0" applyNumberFormat="0" applyBorder="0" applyProtection="0"/>
    <xf numFmtId="0" fontId="60" fillId="111" borderId="0" applyNumberFormat="0" applyBorder="0" applyProtection="0"/>
    <xf numFmtId="0" fontId="60" fillId="111" borderId="0" applyNumberFormat="0" applyBorder="0" applyProtection="0"/>
    <xf numFmtId="0" fontId="60" fillId="111" borderId="0" applyNumberFormat="0" applyBorder="0" applyProtection="0"/>
    <xf numFmtId="0" fontId="60" fillId="111" borderId="0" applyNumberFormat="0" applyBorder="0" applyProtection="0"/>
    <xf numFmtId="0" fontId="60" fillId="111" borderId="0" applyNumberFormat="0" applyBorder="0" applyProtection="0"/>
    <xf numFmtId="0" fontId="60" fillId="111" borderId="0" applyNumberFormat="0" applyBorder="0" applyProtection="0"/>
    <xf numFmtId="0" fontId="60" fillId="111" borderId="0" applyNumberFormat="0" applyBorder="0" applyProtection="0"/>
    <xf numFmtId="0" fontId="60" fillId="111" borderId="0" applyNumberFormat="0" applyBorder="0" applyProtection="0"/>
    <xf numFmtId="0" fontId="60" fillId="111" borderId="0" applyNumberFormat="0" applyBorder="0" applyProtection="0"/>
    <xf numFmtId="0" fontId="60" fillId="111" borderId="0" applyNumberFormat="0" applyBorder="0" applyProtection="0"/>
    <xf numFmtId="0" fontId="60" fillId="111" borderId="0" applyNumberFormat="0" applyBorder="0" applyProtection="0"/>
    <xf numFmtId="0" fontId="60" fillId="111" borderId="0" applyNumberFormat="0" applyBorder="0" applyProtection="0"/>
    <xf numFmtId="0" fontId="60" fillId="111" borderId="0" applyNumberFormat="0" applyBorder="0" applyProtection="0"/>
    <xf numFmtId="0" fontId="60" fillId="111" borderId="0" applyNumberFormat="0" applyBorder="0" applyProtection="0"/>
    <xf numFmtId="0" fontId="60" fillId="111" borderId="0" applyNumberFormat="0" applyBorder="0" applyProtection="0"/>
    <xf numFmtId="0" fontId="60" fillId="111" borderId="0" applyNumberFormat="0" applyBorder="0" applyProtection="0"/>
    <xf numFmtId="0" fontId="60" fillId="111" borderId="0" applyNumberFormat="0" applyBorder="0" applyProtection="0"/>
    <xf numFmtId="0" fontId="60" fillId="111" borderId="0" applyNumberFormat="0" applyBorder="0" applyProtection="0"/>
    <xf numFmtId="0" fontId="60" fillId="111" borderId="0" applyNumberFormat="0" applyBorder="0" applyProtection="0"/>
    <xf numFmtId="0" fontId="60" fillId="111" borderId="0" applyNumberFormat="0" applyBorder="0" applyProtection="0"/>
    <xf numFmtId="0" fontId="60" fillId="111" borderId="0" applyNumberFormat="0" applyBorder="0" applyProtection="0"/>
    <xf numFmtId="0" fontId="60" fillId="111" borderId="0" applyNumberFormat="0" applyBorder="0" applyProtection="0"/>
    <xf numFmtId="0" fontId="60" fillId="111" borderId="0" applyNumberFormat="0" applyBorder="0" applyProtection="0"/>
    <xf numFmtId="0" fontId="60" fillId="111" borderId="0" applyNumberFormat="0" applyBorder="0" applyProtection="0"/>
    <xf numFmtId="0" fontId="60" fillId="111" borderId="0" applyNumberFormat="0" applyBorder="0" applyProtection="0"/>
    <xf numFmtId="0" fontId="60" fillId="111" borderId="0" applyNumberFormat="0" applyBorder="0" applyProtection="0"/>
    <xf numFmtId="0" fontId="60" fillId="111" borderId="0" applyNumberFormat="0" applyBorder="0" applyProtection="0"/>
    <xf numFmtId="0" fontId="60" fillId="111" borderId="0" applyNumberFormat="0" applyBorder="0" applyProtection="0"/>
    <xf numFmtId="0" fontId="60" fillId="111" borderId="0" applyNumberFormat="0" applyBorder="0" applyProtection="0"/>
    <xf numFmtId="0" fontId="60" fillId="111" borderId="0" applyNumberFormat="0" applyBorder="0" applyProtection="0"/>
    <xf numFmtId="0" fontId="60" fillId="111" borderId="0" applyNumberFormat="0" applyBorder="0" applyProtection="0"/>
    <xf numFmtId="0" fontId="60" fillId="111" borderId="0" applyNumberFormat="0" applyBorder="0" applyProtection="0"/>
    <xf numFmtId="0" fontId="60" fillId="111" borderId="0" applyNumberFormat="0" applyBorder="0" applyProtection="0"/>
    <xf numFmtId="0" fontId="60" fillId="111" borderId="0" applyNumberFormat="0" applyBorder="0" applyProtection="0"/>
    <xf numFmtId="0" fontId="60" fillId="111" borderId="0" applyNumberFormat="0" applyBorder="0" applyProtection="0"/>
    <xf numFmtId="0" fontId="91" fillId="115" borderId="0" applyNumberFormat="0" applyBorder="0" applyProtection="0"/>
    <xf numFmtId="0" fontId="91" fillId="115" borderId="0" applyNumberFormat="0" applyBorder="0" applyProtection="0"/>
    <xf numFmtId="0" fontId="91" fillId="115" borderId="0" applyNumberFormat="0" applyBorder="0" applyProtection="0"/>
    <xf numFmtId="0" fontId="91" fillId="115" borderId="0" applyNumberFormat="0" applyBorder="0" applyProtection="0"/>
    <xf numFmtId="0" fontId="91" fillId="115" borderId="0" applyNumberFormat="0" applyBorder="0" applyProtection="0"/>
    <xf numFmtId="0" fontId="91" fillId="115" borderId="0" applyNumberFormat="0" applyBorder="0" applyProtection="0"/>
    <xf numFmtId="0" fontId="91" fillId="115" borderId="0" applyNumberFormat="0" applyBorder="0" applyProtection="0"/>
    <xf numFmtId="0" fontId="91" fillId="115" borderId="0" applyNumberFormat="0" applyBorder="0" applyProtection="0"/>
    <xf numFmtId="0" fontId="60" fillId="114" borderId="0" applyNumberFormat="0" applyBorder="0" applyProtection="0"/>
    <xf numFmtId="0" fontId="60" fillId="114" borderId="0" applyNumberFormat="0" applyBorder="0" applyProtection="0"/>
    <xf numFmtId="0" fontId="60" fillId="114" borderId="0" applyNumberFormat="0" applyBorder="0" applyProtection="0"/>
    <xf numFmtId="0" fontId="60" fillId="114" borderId="0" applyNumberFormat="0" applyBorder="0" applyProtection="0"/>
    <xf numFmtId="0" fontId="60" fillId="114" borderId="0" applyNumberFormat="0" applyBorder="0" applyProtection="0"/>
    <xf numFmtId="0" fontId="60" fillId="114" borderId="0" applyNumberFormat="0" applyBorder="0" applyProtection="0"/>
    <xf numFmtId="0" fontId="60" fillId="114" borderId="0" applyNumberFormat="0" applyBorder="0" applyProtection="0"/>
    <xf numFmtId="0" fontId="60" fillId="114" borderId="0" applyNumberFormat="0" applyBorder="0" applyProtection="0"/>
    <xf numFmtId="0" fontId="60" fillId="114" borderId="0" applyNumberFormat="0" applyBorder="0" applyProtection="0"/>
    <xf numFmtId="0" fontId="60" fillId="114" borderId="0" applyNumberFormat="0" applyBorder="0" applyProtection="0"/>
    <xf numFmtId="0" fontId="60" fillId="114" borderId="0" applyNumberFormat="0" applyBorder="0" applyProtection="0"/>
    <xf numFmtId="0" fontId="60" fillId="114" borderId="0" applyNumberFormat="0" applyBorder="0" applyProtection="0"/>
    <xf numFmtId="0" fontId="60" fillId="114" borderId="0" applyNumberFormat="0" applyBorder="0" applyProtection="0"/>
    <xf numFmtId="0" fontId="60" fillId="114" borderId="0" applyNumberFormat="0" applyBorder="0" applyProtection="0"/>
    <xf numFmtId="0" fontId="60" fillId="114" borderId="0" applyNumberFormat="0" applyBorder="0" applyProtection="0"/>
    <xf numFmtId="0" fontId="60" fillId="114" borderId="0" applyNumberFormat="0" applyBorder="0" applyProtection="0"/>
    <xf numFmtId="0" fontId="60" fillId="114" borderId="0" applyNumberFormat="0" applyBorder="0" applyProtection="0"/>
    <xf numFmtId="0" fontId="60" fillId="114" borderId="0" applyNumberFormat="0" applyBorder="0" applyProtection="0"/>
    <xf numFmtId="0" fontId="60" fillId="114" borderId="0" applyNumberFormat="0" applyBorder="0" applyProtection="0"/>
    <xf numFmtId="0" fontId="60" fillId="114" borderId="0" applyNumberFormat="0" applyBorder="0" applyProtection="0"/>
    <xf numFmtId="0" fontId="60" fillId="114" borderId="0" applyNumberFormat="0" applyBorder="0" applyProtection="0"/>
    <xf numFmtId="0" fontId="60" fillId="114" borderId="0" applyNumberFormat="0" applyBorder="0" applyProtection="0"/>
    <xf numFmtId="0" fontId="60" fillId="114" borderId="0" applyNumberFormat="0" applyBorder="0" applyProtection="0"/>
    <xf numFmtId="0" fontId="60" fillId="114" borderId="0" applyNumberFormat="0" applyBorder="0" applyProtection="0"/>
    <xf numFmtId="0" fontId="60" fillId="114" borderId="0" applyNumberFormat="0" applyBorder="0" applyProtection="0"/>
    <xf numFmtId="0" fontId="60" fillId="114" borderId="0" applyNumberFormat="0" applyBorder="0" applyProtection="0"/>
    <xf numFmtId="0" fontId="60" fillId="114" borderId="0" applyNumberFormat="0" applyBorder="0" applyProtection="0"/>
    <xf numFmtId="0" fontId="60" fillId="114" borderId="0" applyNumberFormat="0" applyBorder="0" applyProtection="0"/>
    <xf numFmtId="0" fontId="60" fillId="114" borderId="0" applyNumberFormat="0" applyBorder="0" applyProtection="0"/>
    <xf numFmtId="0" fontId="60" fillId="114" borderId="0" applyNumberFormat="0" applyBorder="0" applyProtection="0"/>
    <xf numFmtId="0" fontId="60" fillId="114" borderId="0" applyNumberFormat="0" applyBorder="0" applyProtection="0"/>
    <xf numFmtId="0" fontId="60" fillId="114" borderId="0" applyNumberFormat="0" applyBorder="0" applyProtection="0"/>
    <xf numFmtId="0" fontId="60" fillId="114" borderId="0" applyNumberFormat="0" applyBorder="0" applyProtection="0"/>
    <xf numFmtId="0" fontId="60" fillId="114" borderId="0" applyNumberFormat="0" applyBorder="0" applyProtection="0"/>
    <xf numFmtId="0" fontId="60" fillId="114" borderId="0" applyNumberFormat="0" applyBorder="0" applyProtection="0"/>
    <xf numFmtId="0" fontId="60" fillId="114" borderId="0" applyNumberFormat="0" applyBorder="0" applyProtection="0"/>
    <xf numFmtId="0" fontId="60" fillId="114" borderId="0" applyNumberFormat="0" applyBorder="0" applyProtection="0"/>
    <xf numFmtId="0" fontId="60" fillId="114" borderId="0" applyNumberFormat="0" applyBorder="0" applyProtection="0"/>
    <xf numFmtId="0" fontId="60" fillId="114" borderId="0" applyNumberFormat="0" applyBorder="0" applyProtection="0"/>
    <xf numFmtId="0" fontId="60" fillId="114" borderId="0" applyNumberFormat="0" applyBorder="0" applyProtection="0"/>
    <xf numFmtId="0" fontId="91" fillId="119" borderId="0" applyNumberFormat="0" applyBorder="0" applyProtection="0"/>
    <xf numFmtId="0" fontId="91" fillId="119" borderId="0" applyNumberFormat="0" applyBorder="0" applyProtection="0"/>
    <xf numFmtId="0" fontId="91" fillId="119" borderId="0" applyNumberFormat="0" applyBorder="0" applyProtection="0"/>
    <xf numFmtId="0" fontId="91" fillId="119" borderId="0" applyNumberFormat="0" applyBorder="0" applyProtection="0"/>
    <xf numFmtId="0" fontId="91" fillId="119" borderId="0" applyNumberFormat="0" applyBorder="0" applyProtection="0"/>
    <xf numFmtId="0" fontId="91" fillId="119" borderId="0" applyNumberFormat="0" applyBorder="0" applyProtection="0"/>
    <xf numFmtId="0" fontId="91" fillId="119" borderId="0" applyNumberFormat="0" applyBorder="0" applyProtection="0"/>
    <xf numFmtId="0" fontId="91" fillId="119" borderId="0" applyNumberFormat="0" applyBorder="0" applyProtection="0"/>
    <xf numFmtId="0" fontId="60" fillId="118" borderId="0" applyNumberFormat="0" applyBorder="0" applyProtection="0"/>
    <xf numFmtId="0" fontId="60" fillId="118" borderId="0" applyNumberFormat="0" applyBorder="0" applyProtection="0"/>
    <xf numFmtId="0" fontId="60" fillId="118" borderId="0" applyNumberFormat="0" applyBorder="0" applyProtection="0"/>
    <xf numFmtId="0" fontId="60" fillId="118" borderId="0" applyNumberFormat="0" applyBorder="0" applyProtection="0"/>
    <xf numFmtId="0" fontId="60" fillId="118" borderId="0" applyNumberFormat="0" applyBorder="0" applyProtection="0"/>
    <xf numFmtId="0" fontId="60" fillId="118" borderId="0" applyNumberFormat="0" applyBorder="0" applyProtection="0"/>
    <xf numFmtId="0" fontId="60" fillId="118" borderId="0" applyNumberFormat="0" applyBorder="0" applyProtection="0"/>
    <xf numFmtId="0" fontId="60" fillId="118" borderId="0" applyNumberFormat="0" applyBorder="0" applyProtection="0"/>
    <xf numFmtId="0" fontId="60" fillId="118" borderId="0" applyNumberFormat="0" applyBorder="0" applyProtection="0"/>
    <xf numFmtId="0" fontId="60" fillId="118" borderId="0" applyNumberFormat="0" applyBorder="0" applyProtection="0"/>
    <xf numFmtId="0" fontId="60" fillId="118" borderId="0" applyNumberFormat="0" applyBorder="0" applyProtection="0"/>
    <xf numFmtId="0" fontId="60" fillId="118" borderId="0" applyNumberFormat="0" applyBorder="0" applyProtection="0"/>
    <xf numFmtId="0" fontId="60" fillId="118" borderId="0" applyNumberFormat="0" applyBorder="0" applyProtection="0"/>
    <xf numFmtId="0" fontId="60" fillId="118" borderId="0" applyNumberFormat="0" applyBorder="0" applyProtection="0"/>
    <xf numFmtId="0" fontId="60" fillId="118" borderId="0" applyNumberFormat="0" applyBorder="0" applyProtection="0"/>
    <xf numFmtId="0" fontId="60" fillId="118" borderId="0" applyNumberFormat="0" applyBorder="0" applyProtection="0"/>
    <xf numFmtId="0" fontId="60" fillId="118" borderId="0" applyNumberFormat="0" applyBorder="0" applyProtection="0"/>
    <xf numFmtId="0" fontId="60" fillId="118" borderId="0" applyNumberFormat="0" applyBorder="0" applyProtection="0"/>
    <xf numFmtId="0" fontId="60" fillId="118" borderId="0" applyNumberFormat="0" applyBorder="0" applyProtection="0"/>
    <xf numFmtId="0" fontId="60" fillId="118" borderId="0" applyNumberFormat="0" applyBorder="0" applyProtection="0"/>
    <xf numFmtId="0" fontId="60" fillId="118" borderId="0" applyNumberFormat="0" applyBorder="0" applyProtection="0"/>
    <xf numFmtId="0" fontId="60" fillId="118" borderId="0" applyNumberFormat="0" applyBorder="0" applyProtection="0"/>
    <xf numFmtId="0" fontId="60" fillId="118" borderId="0" applyNumberFormat="0" applyBorder="0" applyProtection="0"/>
    <xf numFmtId="0" fontId="60" fillId="118" borderId="0" applyNumberFormat="0" applyBorder="0" applyProtection="0"/>
    <xf numFmtId="0" fontId="60" fillId="118" borderId="0" applyNumberFormat="0" applyBorder="0" applyProtection="0"/>
    <xf numFmtId="0" fontId="60" fillId="118" borderId="0" applyNumberFormat="0" applyBorder="0" applyProtection="0"/>
    <xf numFmtId="0" fontId="60" fillId="118" borderId="0" applyNumberFormat="0" applyBorder="0" applyProtection="0"/>
    <xf numFmtId="0" fontId="60" fillId="118" borderId="0" applyNumberFormat="0" applyBorder="0" applyProtection="0"/>
    <xf numFmtId="0" fontId="60" fillId="118" borderId="0" applyNumberFormat="0" applyBorder="0" applyProtection="0"/>
    <xf numFmtId="0" fontId="60" fillId="118" borderId="0" applyNumberFormat="0" applyBorder="0" applyProtection="0"/>
    <xf numFmtId="0" fontId="60" fillId="118" borderId="0" applyNumberFormat="0" applyBorder="0" applyProtection="0"/>
    <xf numFmtId="0" fontId="60" fillId="118" borderId="0" applyNumberFormat="0" applyBorder="0" applyProtection="0"/>
    <xf numFmtId="0" fontId="60" fillId="118" borderId="0" applyNumberFormat="0" applyBorder="0" applyProtection="0"/>
    <xf numFmtId="0" fontId="60" fillId="118" borderId="0" applyNumberFormat="0" applyBorder="0" applyProtection="0"/>
    <xf numFmtId="0" fontId="60" fillId="118" borderId="0" applyNumberFormat="0" applyBorder="0" applyProtection="0"/>
    <xf numFmtId="0" fontId="60" fillId="118" borderId="0" applyNumberFormat="0" applyBorder="0" applyProtection="0"/>
    <xf numFmtId="0" fontId="60" fillId="118" borderId="0" applyNumberFormat="0" applyBorder="0" applyProtection="0"/>
    <xf numFmtId="0" fontId="60" fillId="118" borderId="0" applyNumberFormat="0" applyBorder="0" applyProtection="0"/>
    <xf numFmtId="0" fontId="60" fillId="118" borderId="0" applyNumberFormat="0" applyBorder="0" applyProtection="0"/>
    <xf numFmtId="0" fontId="60" fillId="118" borderId="0" applyNumberFormat="0" applyBorder="0" applyProtection="0"/>
    <xf numFmtId="0" fontId="60" fillId="75" borderId="0" applyNumberFormat="0" applyBorder="0" applyProtection="0"/>
    <xf numFmtId="0" fontId="60" fillId="75" borderId="0" applyNumberFormat="0" applyBorder="0" applyProtection="0"/>
    <xf numFmtId="0" fontId="60" fillId="75" borderId="0" applyNumberFormat="0" applyBorder="0" applyProtection="0"/>
    <xf numFmtId="0" fontId="60" fillId="75" borderId="0" applyNumberFormat="0" applyBorder="0" applyProtection="0"/>
    <xf numFmtId="0" fontId="60" fillId="75" borderId="0" applyNumberFormat="0" applyBorder="0" applyProtection="0"/>
    <xf numFmtId="0" fontId="60" fillId="75" borderId="0" applyNumberFormat="0" applyBorder="0" applyProtection="0"/>
    <xf numFmtId="0" fontId="60" fillId="75" borderId="0" applyNumberFormat="0" applyBorder="0" applyProtection="0"/>
    <xf numFmtId="0" fontId="60" fillId="75" borderId="0" applyNumberFormat="0" applyBorder="0" applyProtection="0"/>
    <xf numFmtId="0" fontId="60" fillId="75" borderId="0" applyNumberFormat="0" applyBorder="0" applyProtection="0"/>
    <xf numFmtId="0" fontId="60" fillId="75" borderId="0" applyNumberFormat="0" applyBorder="0" applyProtection="0"/>
    <xf numFmtId="0" fontId="60" fillId="75" borderId="0" applyNumberFormat="0" applyBorder="0" applyProtection="0"/>
    <xf numFmtId="0" fontId="60" fillId="75" borderId="0" applyNumberFormat="0" applyBorder="0" applyProtection="0"/>
    <xf numFmtId="0" fontId="91" fillId="75" borderId="0" applyNumberFormat="0" applyBorder="0" applyProtection="0"/>
    <xf numFmtId="0" fontId="91" fillId="75" borderId="0" applyNumberFormat="0" applyBorder="0" applyProtection="0"/>
    <xf numFmtId="0" fontId="91" fillId="75" borderId="0" applyNumberFormat="0" applyBorder="0" applyProtection="0"/>
    <xf numFmtId="0" fontId="91" fillId="75" borderId="0" applyNumberFormat="0" applyBorder="0" applyProtection="0"/>
    <xf numFmtId="0" fontId="91" fillId="75" borderId="0" applyNumberFormat="0" applyBorder="0" applyProtection="0"/>
    <xf numFmtId="0" fontId="91" fillId="75" borderId="0" applyNumberFormat="0" applyBorder="0" applyProtection="0"/>
    <xf numFmtId="0" fontId="91" fillId="75" borderId="0" applyNumberFormat="0" applyBorder="0" applyProtection="0"/>
    <xf numFmtId="0" fontId="91" fillId="75" borderId="0" applyNumberFormat="0" applyBorder="0" applyProtection="0"/>
    <xf numFmtId="0" fontId="60" fillId="75" borderId="0" applyNumberFormat="0" applyBorder="0" applyProtection="0"/>
    <xf numFmtId="0" fontId="60" fillId="75" borderId="0" applyNumberFormat="0" applyBorder="0" applyProtection="0"/>
    <xf numFmtId="0" fontId="60" fillId="75" borderId="0" applyNumberFormat="0" applyBorder="0" applyProtection="0"/>
    <xf numFmtId="0" fontId="60" fillId="75" borderId="0" applyNumberFormat="0" applyBorder="0" applyProtection="0"/>
    <xf numFmtId="0" fontId="60" fillId="75" borderId="0" applyNumberFormat="0" applyBorder="0" applyProtection="0"/>
    <xf numFmtId="0" fontId="60" fillId="75" borderId="0" applyNumberFormat="0" applyBorder="0" applyProtection="0"/>
    <xf numFmtId="0" fontId="60" fillId="75" borderId="0" applyNumberFormat="0" applyBorder="0" applyProtection="0"/>
    <xf numFmtId="0" fontId="60" fillId="75" borderId="0" applyNumberFormat="0" applyBorder="0" applyProtection="0"/>
    <xf numFmtId="0" fontId="60" fillId="75" borderId="0" applyNumberFormat="0" applyBorder="0" applyProtection="0"/>
    <xf numFmtId="0" fontId="60" fillId="75" borderId="0" applyNumberFormat="0" applyBorder="0" applyProtection="0"/>
    <xf numFmtId="0" fontId="60" fillId="75" borderId="0" applyNumberFormat="0" applyBorder="0" applyProtection="0"/>
    <xf numFmtId="0" fontId="60" fillId="75" borderId="0" applyNumberFormat="0" applyBorder="0" applyProtection="0"/>
    <xf numFmtId="0" fontId="60" fillId="75" borderId="0" applyNumberFormat="0" applyBorder="0" applyProtection="0"/>
    <xf numFmtId="0" fontId="60" fillId="75" borderId="0" applyNumberFormat="0" applyBorder="0" applyProtection="0"/>
    <xf numFmtId="0" fontId="60" fillId="75" borderId="0" applyNumberFormat="0" applyBorder="0" applyProtection="0"/>
    <xf numFmtId="0" fontId="60" fillId="75" borderId="0" applyNumberFormat="0" applyBorder="0" applyProtection="0"/>
    <xf numFmtId="0" fontId="60" fillId="75" borderId="0" applyNumberFormat="0" applyBorder="0" applyProtection="0"/>
    <xf numFmtId="0" fontId="60" fillId="75" borderId="0" applyNumberFormat="0" applyBorder="0" applyProtection="0"/>
    <xf numFmtId="0" fontId="60" fillId="75" borderId="0" applyNumberFormat="0" applyBorder="0" applyProtection="0"/>
    <xf numFmtId="0" fontId="60" fillId="75" borderId="0" applyNumberFormat="0" applyBorder="0" applyProtection="0"/>
    <xf numFmtId="0" fontId="60" fillId="75" borderId="0" applyNumberFormat="0" applyBorder="0" applyProtection="0"/>
    <xf numFmtId="0" fontId="60" fillId="75" borderId="0" applyNumberFormat="0" applyBorder="0" applyProtection="0"/>
    <xf numFmtId="0" fontId="60" fillId="75" borderId="0" applyNumberFormat="0" applyBorder="0" applyProtection="0"/>
    <xf numFmtId="0" fontId="60" fillId="75" borderId="0" applyNumberFormat="0" applyBorder="0" applyProtection="0"/>
    <xf numFmtId="0" fontId="60" fillId="75" borderId="0" applyNumberFormat="0" applyBorder="0" applyProtection="0"/>
    <xf numFmtId="0" fontId="60" fillId="75" borderId="0" applyNumberFormat="0" applyBorder="0" applyProtection="0"/>
    <xf numFmtId="0" fontId="60" fillId="75" borderId="0" applyNumberFormat="0" applyBorder="0" applyProtection="0"/>
    <xf numFmtId="0" fontId="60" fillId="75" borderId="0" applyNumberFormat="0" applyBorder="0" applyProtection="0"/>
    <xf numFmtId="0" fontId="60" fillId="75" borderId="0" applyNumberFormat="0" applyBorder="0" applyProtection="0"/>
    <xf numFmtId="0" fontId="60" fillId="75" borderId="0" applyNumberFormat="0" applyBorder="0" applyProtection="0"/>
    <xf numFmtId="0" fontId="60" fillId="75" borderId="0" applyNumberFormat="0" applyBorder="0" applyProtection="0"/>
    <xf numFmtId="0" fontId="60" fillId="75" borderId="0" applyNumberFormat="0" applyBorder="0" applyProtection="0"/>
    <xf numFmtId="0" fontId="60" fillId="75" borderId="0" applyNumberFormat="0" applyBorder="0" applyProtection="0"/>
    <xf numFmtId="0" fontId="60" fillId="75" borderId="0" applyNumberFormat="0" applyBorder="0" applyProtection="0"/>
    <xf numFmtId="0" fontId="60" fillId="75" borderId="0" applyNumberFormat="0" applyBorder="0" applyProtection="0"/>
    <xf numFmtId="0" fontId="60" fillId="75" borderId="0" applyNumberFormat="0" applyBorder="0" applyProtection="0"/>
    <xf numFmtId="0" fontId="60" fillId="75" borderId="0" applyNumberFormat="0" applyBorder="0" applyProtection="0"/>
    <xf numFmtId="0" fontId="60" fillId="75" borderId="0" applyNumberFormat="0" applyBorder="0" applyProtection="0"/>
    <xf numFmtId="0" fontId="60" fillId="75" borderId="0" applyNumberFormat="0" applyBorder="0" applyProtection="0"/>
    <xf numFmtId="0" fontId="60" fillId="75" borderId="0" applyNumberFormat="0" applyBorder="0" applyProtection="0"/>
    <xf numFmtId="0" fontId="60" fillId="75" borderId="0" applyNumberFormat="0" applyBorder="0" applyProtection="0"/>
    <xf numFmtId="0" fontId="60" fillId="75" borderId="0" applyNumberFormat="0" applyBorder="0" applyProtection="0"/>
    <xf numFmtId="0" fontId="60" fillId="75" borderId="0" applyNumberFormat="0" applyBorder="0" applyProtection="0"/>
    <xf numFmtId="0" fontId="60" fillId="75" borderId="0" applyNumberFormat="0" applyBorder="0" applyProtection="0"/>
    <xf numFmtId="0" fontId="60" fillId="75" borderId="0" applyNumberFormat="0" applyBorder="0" applyProtection="0"/>
    <xf numFmtId="0" fontId="60" fillId="75" borderId="0" applyNumberFormat="0" applyBorder="0" applyProtection="0"/>
    <xf numFmtId="0" fontId="60" fillId="75" borderId="0" applyNumberFormat="0" applyBorder="0" applyProtection="0"/>
    <xf numFmtId="0" fontId="60" fillId="75" borderId="0" applyNumberFormat="0" applyBorder="0" applyProtection="0"/>
    <xf numFmtId="0" fontId="60" fillId="75" borderId="0" applyNumberFormat="0" applyBorder="0" applyProtection="0"/>
    <xf numFmtId="0" fontId="60" fillId="75" borderId="0" applyNumberFormat="0" applyBorder="0" applyProtection="0"/>
    <xf numFmtId="0" fontId="60" fillId="75" borderId="0" applyNumberFormat="0" applyBorder="0" applyProtection="0"/>
    <xf numFmtId="0" fontId="60" fillId="75" borderId="0" applyNumberFormat="0" applyBorder="0" applyProtection="0"/>
    <xf numFmtId="0" fontId="60" fillId="75" borderId="0" applyNumberFormat="0" applyBorder="0" applyProtection="0"/>
    <xf numFmtId="0" fontId="60" fillId="75" borderId="0" applyNumberFormat="0" applyBorder="0" applyProtection="0"/>
    <xf numFmtId="0" fontId="60" fillId="75" borderId="0" applyNumberFormat="0" applyBorder="0" applyProtection="0"/>
    <xf numFmtId="0" fontId="60" fillId="75" borderId="0" applyNumberFormat="0" applyBorder="0" applyProtection="0"/>
    <xf numFmtId="0" fontId="60" fillId="75" borderId="0" applyNumberFormat="0" applyBorder="0" applyProtection="0"/>
    <xf numFmtId="0" fontId="60" fillId="75" borderId="0" applyNumberFormat="0" applyBorder="0" applyProtection="0"/>
    <xf numFmtId="0" fontId="60" fillId="75" borderId="0" applyNumberFormat="0" applyBorder="0" applyProtection="0"/>
    <xf numFmtId="0" fontId="60" fillId="75" borderId="0" applyNumberFormat="0" applyBorder="0" applyProtection="0"/>
    <xf numFmtId="0" fontId="60" fillId="75" borderId="0" applyNumberFormat="0" applyBorder="0" applyProtection="0"/>
    <xf numFmtId="0" fontId="60" fillId="75" borderId="0" applyNumberFormat="0" applyBorder="0" applyProtection="0"/>
    <xf numFmtId="0" fontId="60" fillId="75" borderId="0" applyNumberFormat="0" applyBorder="0" applyProtection="0"/>
    <xf numFmtId="0" fontId="60" fillId="75" borderId="0" applyNumberFormat="0" applyBorder="0" applyProtection="0"/>
    <xf numFmtId="0" fontId="60" fillId="75" borderId="0" applyNumberFormat="0" applyBorder="0" applyProtection="0"/>
    <xf numFmtId="0" fontId="60" fillId="75" borderId="0" applyNumberFormat="0" applyBorder="0" applyProtection="0"/>
    <xf numFmtId="0" fontId="60" fillId="75" borderId="0" applyNumberFormat="0" applyBorder="0" applyProtection="0"/>
    <xf numFmtId="0" fontId="60" fillId="75" borderId="0" applyNumberFormat="0" applyBorder="0" applyProtection="0"/>
    <xf numFmtId="0" fontId="60" fillId="75" borderId="0" applyNumberFormat="0" applyBorder="0" applyProtection="0"/>
    <xf numFmtId="0" fontId="60" fillId="75" borderId="0" applyNumberFormat="0" applyBorder="0" applyProtection="0"/>
    <xf numFmtId="0" fontId="60" fillId="75" borderId="0" applyNumberFormat="0" applyBorder="0" applyProtection="0"/>
    <xf numFmtId="0" fontId="60" fillId="75" borderId="0" applyNumberFormat="0" applyBorder="0" applyProtection="0"/>
    <xf numFmtId="0" fontId="60" fillId="75" borderId="0" applyNumberFormat="0" applyBorder="0" applyProtection="0"/>
    <xf numFmtId="0" fontId="60" fillId="75" borderId="0" applyNumberFormat="0" applyBorder="0" applyProtection="0"/>
    <xf numFmtId="0" fontId="60" fillId="75" borderId="0" applyNumberFormat="0" applyBorder="0" applyProtection="0"/>
    <xf numFmtId="0" fontId="60" fillId="75" borderId="0" applyNumberFormat="0" applyBorder="0" applyProtection="0"/>
    <xf numFmtId="0" fontId="60" fillId="75" borderId="0" applyNumberFormat="0" applyBorder="0" applyProtection="0"/>
    <xf numFmtId="0" fontId="60" fillId="75" borderId="0" applyNumberFormat="0" applyBorder="0" applyProtection="0"/>
    <xf numFmtId="0" fontId="60" fillId="75" borderId="0" applyNumberFormat="0" applyBorder="0" applyProtection="0"/>
    <xf numFmtId="0" fontId="60" fillId="75" borderId="0" applyNumberFormat="0" applyBorder="0" applyProtection="0"/>
    <xf numFmtId="0" fontId="60" fillId="75" borderId="0" applyNumberFormat="0" applyBorder="0" applyProtection="0"/>
    <xf numFmtId="0" fontId="60" fillId="75" borderId="0" applyNumberFormat="0" applyBorder="0" applyProtection="0"/>
    <xf numFmtId="0" fontId="60" fillId="75" borderId="0" applyNumberFormat="0" applyBorder="0" applyProtection="0"/>
    <xf numFmtId="0" fontId="60" fillId="75" borderId="0" applyNumberFormat="0" applyBorder="0" applyProtection="0"/>
    <xf numFmtId="0" fontId="60" fillId="75" borderId="0" applyNumberFormat="0" applyBorder="0" applyProtection="0"/>
    <xf numFmtId="0" fontId="60" fillId="75" borderId="0" applyNumberFormat="0" applyBorder="0" applyProtection="0"/>
    <xf numFmtId="0" fontId="60" fillId="75" borderId="0" applyNumberFormat="0" applyBorder="0" applyProtection="0"/>
    <xf numFmtId="0" fontId="60" fillId="75" borderId="0" applyNumberFormat="0" applyBorder="0" applyProtection="0"/>
    <xf numFmtId="0" fontId="60" fillId="75" borderId="0" applyNumberFormat="0" applyBorder="0" applyProtection="0"/>
    <xf numFmtId="0" fontId="60" fillId="75" borderId="0" applyNumberFormat="0" applyBorder="0" applyProtection="0"/>
    <xf numFmtId="0" fontId="60" fillId="75" borderId="0" applyNumberFormat="0" applyBorder="0" applyProtection="0"/>
    <xf numFmtId="0" fontId="60" fillId="75" borderId="0" applyNumberFormat="0" applyBorder="0" applyProtection="0"/>
    <xf numFmtId="0" fontId="60" fillId="75" borderId="0" applyNumberFormat="0" applyBorder="0" applyProtection="0"/>
    <xf numFmtId="0" fontId="60" fillId="75" borderId="0" applyNumberFormat="0" applyBorder="0" applyProtection="0"/>
    <xf numFmtId="0" fontId="60" fillId="75" borderId="0" applyNumberFormat="0" applyBorder="0" applyProtection="0"/>
    <xf numFmtId="0" fontId="60" fillId="75" borderId="0" applyNumberFormat="0" applyBorder="0" applyProtection="0"/>
    <xf numFmtId="0" fontId="60" fillId="75" borderId="0" applyNumberFormat="0" applyBorder="0" applyProtection="0"/>
    <xf numFmtId="0" fontId="60" fillId="75" borderId="0" applyNumberFormat="0" applyBorder="0" applyProtection="0"/>
    <xf numFmtId="0" fontId="60" fillId="75" borderId="0" applyNumberFormat="0" applyBorder="0" applyProtection="0"/>
    <xf numFmtId="0" fontId="60" fillId="75" borderId="0" applyNumberFormat="0" applyBorder="0" applyProtection="0"/>
    <xf numFmtId="0" fontId="60" fillId="75" borderId="0" applyNumberFormat="0" applyBorder="0" applyProtection="0"/>
    <xf numFmtId="0" fontId="60" fillId="75" borderId="0" applyNumberFormat="0" applyBorder="0" applyProtection="0"/>
    <xf numFmtId="0" fontId="60" fillId="75" borderId="0" applyNumberFormat="0" applyBorder="0" applyProtection="0"/>
    <xf numFmtId="0" fontId="60" fillId="75" borderId="0" applyNumberFormat="0" applyBorder="0" applyProtection="0"/>
    <xf numFmtId="0" fontId="60" fillId="75" borderId="0" applyNumberFormat="0" applyBorder="0" applyProtection="0"/>
    <xf numFmtId="0" fontId="60" fillId="75" borderId="0" applyNumberFormat="0" applyBorder="0" applyProtection="0"/>
    <xf numFmtId="0" fontId="60" fillId="75" borderId="0" applyNumberFormat="0" applyBorder="0" applyProtection="0"/>
    <xf numFmtId="0" fontId="60" fillId="75" borderId="0" applyNumberFormat="0" applyBorder="0" applyProtection="0"/>
    <xf numFmtId="0" fontId="60" fillId="75" borderId="0" applyNumberFormat="0" applyBorder="0" applyProtection="0"/>
    <xf numFmtId="0" fontId="60" fillId="75" borderId="0" applyNumberFormat="0" applyBorder="0" applyProtection="0"/>
    <xf numFmtId="0" fontId="60" fillId="75" borderId="0" applyNumberFormat="0" applyBorder="0" applyProtection="0"/>
    <xf numFmtId="0" fontId="60" fillId="75" borderId="0" applyNumberFormat="0" applyBorder="0" applyProtection="0"/>
    <xf numFmtId="0" fontId="60" fillId="75" borderId="0" applyNumberFormat="0" applyBorder="0" applyProtection="0"/>
    <xf numFmtId="0" fontId="60" fillId="75" borderId="0" applyNumberFormat="0" applyBorder="0" applyProtection="0"/>
    <xf numFmtId="0" fontId="60" fillId="75" borderId="0" applyNumberFormat="0" applyBorder="0" applyProtection="0"/>
    <xf numFmtId="0" fontId="60" fillId="75" borderId="0" applyNumberFormat="0" applyBorder="0" applyProtection="0"/>
    <xf numFmtId="0" fontId="60" fillId="75" borderId="0" applyNumberFormat="0" applyBorder="0" applyProtection="0"/>
    <xf numFmtId="0" fontId="60" fillId="75" borderId="0" applyNumberFormat="0" applyBorder="0" applyProtection="0"/>
    <xf numFmtId="0" fontId="60" fillId="75" borderId="0" applyNumberFormat="0" applyBorder="0" applyProtection="0"/>
    <xf numFmtId="0" fontId="60" fillId="75" borderId="0" applyNumberFormat="0" applyBorder="0" applyProtection="0"/>
    <xf numFmtId="0" fontId="60" fillId="75" borderId="0" applyNumberFormat="0" applyBorder="0" applyProtection="0"/>
    <xf numFmtId="0" fontId="60" fillId="75" borderId="0" applyNumberFormat="0" applyBorder="0" applyProtection="0"/>
    <xf numFmtId="0" fontId="60" fillId="75" borderId="0" applyNumberFormat="0" applyBorder="0" applyProtection="0"/>
    <xf numFmtId="0" fontId="60" fillId="75" borderId="0" applyNumberFormat="0" applyBorder="0" applyProtection="0"/>
    <xf numFmtId="0" fontId="60" fillId="75" borderId="0" applyNumberFormat="0" applyBorder="0" applyProtection="0"/>
    <xf numFmtId="0" fontId="60" fillId="75" borderId="0" applyNumberFormat="0" applyBorder="0" applyProtection="0"/>
    <xf numFmtId="0" fontId="60" fillId="75" borderId="0" applyNumberFormat="0" applyBorder="0" applyProtection="0"/>
    <xf numFmtId="0" fontId="60" fillId="75" borderId="0" applyNumberFormat="0" applyBorder="0" applyProtection="0"/>
    <xf numFmtId="0" fontId="60" fillId="75" borderId="0" applyNumberFormat="0" applyBorder="0" applyProtection="0"/>
    <xf numFmtId="0" fontId="60" fillId="75" borderId="0" applyNumberFormat="0" applyBorder="0" applyProtection="0"/>
    <xf numFmtId="0" fontId="60" fillId="75" borderId="0" applyNumberFormat="0" applyBorder="0" applyProtection="0"/>
    <xf numFmtId="0" fontId="60" fillId="75" borderId="0" applyNumberFormat="0" applyBorder="0" applyProtection="0"/>
    <xf numFmtId="0" fontId="60" fillId="75" borderId="0" applyNumberFormat="0" applyBorder="0" applyProtection="0"/>
    <xf numFmtId="0" fontId="60" fillId="75" borderId="0" applyNumberFormat="0" applyBorder="0" applyProtection="0"/>
    <xf numFmtId="0" fontId="60" fillId="75" borderId="0" applyNumberFormat="0" applyBorder="0" applyProtection="0"/>
    <xf numFmtId="0" fontId="60" fillId="75" borderId="0" applyNumberFormat="0" applyBorder="0" applyProtection="0"/>
    <xf numFmtId="0" fontId="60" fillId="75" borderId="0" applyNumberFormat="0" applyBorder="0" applyProtection="0"/>
    <xf numFmtId="0" fontId="60" fillId="75" borderId="0" applyNumberFormat="0" applyBorder="0" applyProtection="0"/>
    <xf numFmtId="0" fontId="60" fillId="75" borderId="0" applyNumberFormat="0" applyBorder="0" applyProtection="0"/>
    <xf numFmtId="0" fontId="60" fillId="75" borderId="0" applyNumberFormat="0" applyBorder="0" applyProtection="0"/>
    <xf numFmtId="0" fontId="60" fillId="75" borderId="0" applyNumberFormat="0" applyBorder="0" applyProtection="0"/>
    <xf numFmtId="0" fontId="60" fillId="75" borderId="0" applyNumberFormat="0" applyBorder="0" applyProtection="0"/>
    <xf numFmtId="0" fontId="60" fillId="75" borderId="0" applyNumberFormat="0" applyBorder="0" applyProtection="0"/>
    <xf numFmtId="0" fontId="60" fillId="75" borderId="0" applyNumberFormat="0" applyBorder="0" applyProtection="0"/>
    <xf numFmtId="0" fontId="60" fillId="75" borderId="0" applyNumberFormat="0" applyBorder="0" applyProtection="0"/>
    <xf numFmtId="0" fontId="60" fillId="75" borderId="0" applyNumberFormat="0" applyBorder="0" applyProtection="0"/>
    <xf numFmtId="0" fontId="60" fillId="75" borderId="0" applyNumberFormat="0" applyBorder="0" applyProtection="0"/>
    <xf numFmtId="0" fontId="60" fillId="75" borderId="0" applyNumberFormat="0" applyBorder="0" applyProtection="0"/>
    <xf numFmtId="0" fontId="91" fillId="122" borderId="0" applyNumberFormat="0" applyBorder="0" applyProtection="0"/>
    <xf numFmtId="0" fontId="91" fillId="122" borderId="0" applyNumberFormat="0" applyBorder="0" applyProtection="0"/>
    <xf numFmtId="0" fontId="91" fillId="122" borderId="0" applyNumberFormat="0" applyBorder="0" applyProtection="0"/>
    <xf numFmtId="0" fontId="91" fillId="122" borderId="0" applyNumberFormat="0" applyBorder="0" applyProtection="0"/>
    <xf numFmtId="0" fontId="91" fillId="122" borderId="0" applyNumberFormat="0" applyBorder="0" applyProtection="0"/>
    <xf numFmtId="0" fontId="91" fillId="122" borderId="0" applyNumberFormat="0" applyBorder="0" applyProtection="0"/>
    <xf numFmtId="0" fontId="91" fillId="122" borderId="0" applyNumberFormat="0" applyBorder="0" applyProtection="0"/>
    <xf numFmtId="0" fontId="91" fillId="122" borderId="0" applyNumberFormat="0" applyBorder="0" applyProtection="0"/>
    <xf numFmtId="0" fontId="60" fillId="77" borderId="0" applyNumberFormat="0" applyBorder="0" applyProtection="0"/>
    <xf numFmtId="0" fontId="60" fillId="77" borderId="0" applyNumberFormat="0" applyBorder="0" applyProtection="0"/>
    <xf numFmtId="0" fontId="60" fillId="77" borderId="0" applyNumberFormat="0" applyBorder="0" applyProtection="0"/>
    <xf numFmtId="0" fontId="60" fillId="77" borderId="0" applyNumberFormat="0" applyBorder="0" applyProtection="0"/>
    <xf numFmtId="0" fontId="60" fillId="77" borderId="0" applyNumberFormat="0" applyBorder="0" applyProtection="0"/>
    <xf numFmtId="0" fontId="60" fillId="77" borderId="0" applyNumberFormat="0" applyBorder="0" applyProtection="0"/>
    <xf numFmtId="0" fontId="60" fillId="77" borderId="0" applyNumberFormat="0" applyBorder="0" applyProtection="0"/>
    <xf numFmtId="0" fontId="60" fillId="77" borderId="0" applyNumberFormat="0" applyBorder="0" applyProtection="0"/>
    <xf numFmtId="0" fontId="60" fillId="77" borderId="0" applyNumberFormat="0" applyBorder="0" applyProtection="0"/>
    <xf numFmtId="0" fontId="60" fillId="77" borderId="0" applyNumberFormat="0" applyBorder="0" applyProtection="0"/>
    <xf numFmtId="0" fontId="60" fillId="77" borderId="0" applyNumberFormat="0" applyBorder="0" applyProtection="0"/>
    <xf numFmtId="0" fontId="60" fillId="77" borderId="0" applyNumberFormat="0" applyBorder="0" applyProtection="0"/>
    <xf numFmtId="0" fontId="60" fillId="77" borderId="0" applyNumberFormat="0" applyBorder="0" applyProtection="0"/>
    <xf numFmtId="0" fontId="60" fillId="77" borderId="0" applyNumberFormat="0" applyBorder="0" applyProtection="0"/>
    <xf numFmtId="0" fontId="60" fillId="77" borderId="0" applyNumberFormat="0" applyBorder="0" applyProtection="0"/>
    <xf numFmtId="0" fontId="60" fillId="77" borderId="0" applyNumberFormat="0" applyBorder="0" applyProtection="0"/>
    <xf numFmtId="0" fontId="60" fillId="77" borderId="0" applyNumberFormat="0" applyBorder="0" applyProtection="0"/>
    <xf numFmtId="0" fontId="60" fillId="77" borderId="0" applyNumberFormat="0" applyBorder="0" applyProtection="0"/>
    <xf numFmtId="0" fontId="60" fillId="77" borderId="0" applyNumberFormat="0" applyBorder="0" applyProtection="0"/>
    <xf numFmtId="0" fontId="60" fillId="77" borderId="0" applyNumberFormat="0" applyBorder="0" applyProtection="0"/>
    <xf numFmtId="0" fontId="60" fillId="77" borderId="0" applyNumberFormat="0" applyBorder="0" applyProtection="0"/>
    <xf numFmtId="0" fontId="60" fillId="77" borderId="0" applyNumberFormat="0" applyBorder="0" applyProtection="0"/>
    <xf numFmtId="0" fontId="60" fillId="77" borderId="0" applyNumberFormat="0" applyBorder="0" applyProtection="0"/>
    <xf numFmtId="0" fontId="60" fillId="77" borderId="0" applyNumberFormat="0" applyBorder="0" applyProtection="0"/>
    <xf numFmtId="0" fontId="60" fillId="77" borderId="0" applyNumberFormat="0" applyBorder="0" applyProtection="0"/>
    <xf numFmtId="0" fontId="60" fillId="77" borderId="0" applyNumberFormat="0" applyBorder="0" applyProtection="0"/>
    <xf numFmtId="0" fontId="60" fillId="77" borderId="0" applyNumberFormat="0" applyBorder="0" applyProtection="0"/>
    <xf numFmtId="0" fontId="60" fillId="77" borderId="0" applyNumberFormat="0" applyBorder="0" applyProtection="0"/>
    <xf numFmtId="0" fontId="60" fillId="77" borderId="0" applyNumberFormat="0" applyBorder="0" applyProtection="0"/>
    <xf numFmtId="0" fontId="60" fillId="77" borderId="0" applyNumberFormat="0" applyBorder="0" applyProtection="0"/>
    <xf numFmtId="0" fontId="60" fillId="77" borderId="0" applyNumberFormat="0" applyBorder="0" applyProtection="0"/>
    <xf numFmtId="0" fontId="60" fillId="77" borderId="0" applyNumberFormat="0" applyBorder="0" applyProtection="0"/>
    <xf numFmtId="0" fontId="60" fillId="77" borderId="0" applyNumberFormat="0" applyBorder="0" applyProtection="0"/>
    <xf numFmtId="0" fontId="60" fillId="77" borderId="0" applyNumberFormat="0" applyBorder="0" applyProtection="0"/>
    <xf numFmtId="0" fontId="60" fillId="77" borderId="0" applyNumberFormat="0" applyBorder="0" applyProtection="0"/>
    <xf numFmtId="0" fontId="60" fillId="77" borderId="0" applyNumberFormat="0" applyBorder="0" applyProtection="0"/>
    <xf numFmtId="0" fontId="60" fillId="77" borderId="0" applyNumberFormat="0" applyBorder="0" applyProtection="0"/>
    <xf numFmtId="0" fontId="60" fillId="77" borderId="0" applyNumberFormat="0" applyBorder="0" applyProtection="0"/>
    <xf numFmtId="0" fontId="60" fillId="77" borderId="0" applyNumberFormat="0" applyBorder="0" applyProtection="0"/>
    <xf numFmtId="0" fontId="60" fillId="77" borderId="0" applyNumberFormat="0" applyBorder="0" applyProtection="0"/>
    <xf numFmtId="0" fontId="91" fillId="124" borderId="0" applyNumberFormat="0" applyBorder="0" applyProtection="0"/>
    <xf numFmtId="0" fontId="91" fillId="124" borderId="0" applyNumberFormat="0" applyBorder="0" applyProtection="0"/>
    <xf numFmtId="0" fontId="91" fillId="124" borderId="0" applyNumberFormat="0" applyBorder="0" applyProtection="0"/>
    <xf numFmtId="0" fontId="91" fillId="124" borderId="0" applyNumberFormat="0" applyBorder="0" applyProtection="0"/>
    <xf numFmtId="0" fontId="91" fillId="124" borderId="0" applyNumberFormat="0" applyBorder="0" applyProtection="0"/>
    <xf numFmtId="0" fontId="91" fillId="124" borderId="0" applyNumberFormat="0" applyBorder="0" applyProtection="0"/>
    <xf numFmtId="0" fontId="91" fillId="124" borderId="0" applyNumberFormat="0" applyBorder="0" applyProtection="0"/>
    <xf numFmtId="0" fontId="91" fillId="124" borderId="0" applyNumberFormat="0" applyBorder="0" applyProtection="0"/>
    <xf numFmtId="0" fontId="60" fillId="123" borderId="0" applyNumberFormat="0" applyBorder="0" applyProtection="0"/>
    <xf numFmtId="0" fontId="60" fillId="123" borderId="0" applyNumberFormat="0" applyBorder="0" applyProtection="0"/>
    <xf numFmtId="0" fontId="60" fillId="123" borderId="0" applyNumberFormat="0" applyBorder="0" applyProtection="0"/>
    <xf numFmtId="0" fontId="60" fillId="123" borderId="0" applyNumberFormat="0" applyBorder="0" applyProtection="0"/>
    <xf numFmtId="0" fontId="60" fillId="123" borderId="0" applyNumberFormat="0" applyBorder="0" applyProtection="0"/>
    <xf numFmtId="0" fontId="60" fillId="123" borderId="0" applyNumberFormat="0" applyBorder="0" applyProtection="0"/>
    <xf numFmtId="0" fontId="60" fillId="123" borderId="0" applyNumberFormat="0" applyBorder="0" applyProtection="0"/>
    <xf numFmtId="0" fontId="60" fillId="123" borderId="0" applyNumberFormat="0" applyBorder="0" applyProtection="0"/>
    <xf numFmtId="0" fontId="60" fillId="123" borderId="0" applyNumberFormat="0" applyBorder="0" applyProtection="0"/>
    <xf numFmtId="0" fontId="60" fillId="123" borderId="0" applyNumberFormat="0" applyBorder="0" applyProtection="0"/>
    <xf numFmtId="0" fontId="60" fillId="123" borderId="0" applyNumberFormat="0" applyBorder="0" applyProtection="0"/>
    <xf numFmtId="0" fontId="60" fillId="123" borderId="0" applyNumberFormat="0" applyBorder="0" applyProtection="0"/>
    <xf numFmtId="0" fontId="60" fillId="123" borderId="0" applyNumberFormat="0" applyBorder="0" applyProtection="0"/>
    <xf numFmtId="0" fontId="60" fillId="123" borderId="0" applyNumberFormat="0" applyBorder="0" applyProtection="0"/>
    <xf numFmtId="0" fontId="60" fillId="123" borderId="0" applyNumberFormat="0" applyBorder="0" applyProtection="0"/>
    <xf numFmtId="0" fontId="60" fillId="123" borderId="0" applyNumberFormat="0" applyBorder="0" applyProtection="0"/>
    <xf numFmtId="0" fontId="60" fillId="123" borderId="0" applyNumberFormat="0" applyBorder="0" applyProtection="0"/>
    <xf numFmtId="0" fontId="60" fillId="123" borderId="0" applyNumberFormat="0" applyBorder="0" applyProtection="0"/>
    <xf numFmtId="0" fontId="60" fillId="123" borderId="0" applyNumberFormat="0" applyBorder="0" applyProtection="0"/>
    <xf numFmtId="0" fontId="60" fillId="123" borderId="0" applyNumberFormat="0" applyBorder="0" applyProtection="0"/>
    <xf numFmtId="0" fontId="60" fillId="123" borderId="0" applyNumberFormat="0" applyBorder="0" applyProtection="0"/>
    <xf numFmtId="0" fontId="60" fillId="123" borderId="0" applyNumberFormat="0" applyBorder="0" applyProtection="0"/>
    <xf numFmtId="0" fontId="60" fillId="123" borderId="0" applyNumberFormat="0" applyBorder="0" applyProtection="0"/>
    <xf numFmtId="0" fontId="60" fillId="123" borderId="0" applyNumberFormat="0" applyBorder="0" applyProtection="0"/>
    <xf numFmtId="0" fontId="60" fillId="123" borderId="0" applyNumberFormat="0" applyBorder="0" applyProtection="0"/>
    <xf numFmtId="0" fontId="60" fillId="123" borderId="0" applyNumberFormat="0" applyBorder="0" applyProtection="0"/>
    <xf numFmtId="0" fontId="60" fillId="123" borderId="0" applyNumberFormat="0" applyBorder="0" applyProtection="0"/>
    <xf numFmtId="0" fontId="60" fillId="123" borderId="0" applyNumberFormat="0" applyBorder="0" applyProtection="0"/>
    <xf numFmtId="0" fontId="60" fillId="123" borderId="0" applyNumberFormat="0" applyBorder="0" applyProtection="0"/>
    <xf numFmtId="0" fontId="60" fillId="123" borderId="0" applyNumberFormat="0" applyBorder="0" applyProtection="0"/>
    <xf numFmtId="0" fontId="60" fillId="123" borderId="0" applyNumberFormat="0" applyBorder="0" applyProtection="0"/>
    <xf numFmtId="0" fontId="60" fillId="123" borderId="0" applyNumberFormat="0" applyBorder="0" applyProtection="0"/>
    <xf numFmtId="0" fontId="60" fillId="123" borderId="0" applyNumberFormat="0" applyBorder="0" applyProtection="0"/>
    <xf numFmtId="0" fontId="60" fillId="123" borderId="0" applyNumberFormat="0" applyBorder="0" applyProtection="0"/>
    <xf numFmtId="0" fontId="60" fillId="123" borderId="0" applyNumberFormat="0" applyBorder="0" applyProtection="0"/>
    <xf numFmtId="0" fontId="60" fillId="123" borderId="0" applyNumberFormat="0" applyBorder="0" applyProtection="0"/>
    <xf numFmtId="0" fontId="60" fillId="123" borderId="0" applyNumberFormat="0" applyBorder="0" applyProtection="0"/>
    <xf numFmtId="0" fontId="60" fillId="123" borderId="0" applyNumberFormat="0" applyBorder="0" applyProtection="0"/>
    <xf numFmtId="0" fontId="60" fillId="123" borderId="0" applyNumberFormat="0" applyBorder="0" applyProtection="0"/>
    <xf numFmtId="0" fontId="60" fillId="123" borderId="0" applyNumberFormat="0" applyBorder="0" applyProtection="0"/>
    <xf numFmtId="0" fontId="93" fillId="41" borderId="37" applyNumberFormat="0" applyProtection="0"/>
    <xf numFmtId="0" fontId="93" fillId="41" borderId="37" applyNumberFormat="0" applyProtection="0"/>
    <xf numFmtId="0" fontId="93" fillId="41" borderId="37" applyNumberFormat="0" applyProtection="0"/>
    <xf numFmtId="0" fontId="93" fillId="41" borderId="37" applyNumberFormat="0" applyProtection="0"/>
    <xf numFmtId="0" fontId="93" fillId="41" borderId="37" applyNumberFormat="0" applyProtection="0"/>
    <xf numFmtId="0" fontId="93" fillId="41" borderId="37" applyNumberFormat="0" applyProtection="0"/>
    <xf numFmtId="0" fontId="94" fillId="126" borderId="37" applyNumberFormat="0" applyProtection="0"/>
    <xf numFmtId="0" fontId="94" fillId="126" borderId="37" applyNumberFormat="0" applyProtection="0"/>
    <xf numFmtId="0" fontId="94" fillId="126" borderId="37" applyNumberFormat="0" applyProtection="0"/>
    <xf numFmtId="0" fontId="94" fillId="126" borderId="37" applyNumberFormat="0" applyProtection="0"/>
    <xf numFmtId="0" fontId="94" fillId="126" borderId="37" applyNumberFormat="0" applyProtection="0"/>
    <xf numFmtId="0" fontId="95" fillId="126" borderId="37" applyNumberFormat="0" applyAlignment="0" applyProtection="0"/>
    <xf numFmtId="0" fontId="95" fillId="126" borderId="37" applyNumberFormat="0" applyAlignment="0" applyProtection="0"/>
    <xf numFmtId="0" fontId="95" fillId="126" borderId="37" applyNumberFormat="0" applyAlignment="0" applyProtection="0"/>
    <xf numFmtId="0" fontId="95" fillId="126" borderId="37" applyNumberFormat="0" applyAlignment="0" applyProtection="0"/>
    <xf numFmtId="0" fontId="95" fillId="126" borderId="37" applyNumberFormat="0" applyAlignment="0" applyProtection="0"/>
    <xf numFmtId="0" fontId="95" fillId="126" borderId="37" applyNumberFormat="0" applyAlignment="0" applyProtection="0"/>
    <xf numFmtId="0" fontId="95" fillId="126" borderId="37" applyNumberFormat="0" applyAlignment="0" applyProtection="0"/>
    <xf numFmtId="0" fontId="95" fillId="126" borderId="37" applyNumberFormat="0" applyAlignment="0" applyProtection="0"/>
    <xf numFmtId="0" fontId="95" fillId="126" borderId="37" applyNumberFormat="0" applyAlignment="0" applyProtection="0"/>
    <xf numFmtId="0" fontId="95" fillId="126" borderId="37" applyNumberFormat="0" applyAlignment="0" applyProtection="0"/>
    <xf numFmtId="0" fontId="95" fillId="126" borderId="37" applyNumberFormat="0" applyAlignment="0" applyProtection="0"/>
    <xf numFmtId="0" fontId="95" fillId="126" borderId="37" applyNumberFormat="0" applyAlignment="0" applyProtection="0"/>
    <xf numFmtId="0" fontId="95" fillId="126" borderId="37" applyNumberFormat="0" applyAlignment="0" applyProtection="0"/>
    <xf numFmtId="0" fontId="95" fillId="126" borderId="37" applyNumberFormat="0" applyAlignment="0" applyProtection="0"/>
    <xf numFmtId="0" fontId="95" fillId="126" borderId="37" applyNumberFormat="0" applyAlignment="0" applyProtection="0"/>
    <xf numFmtId="0" fontId="95" fillId="126" borderId="37" applyNumberFormat="0" applyAlignment="0" applyProtection="0"/>
    <xf numFmtId="0" fontId="95" fillId="126" borderId="37" applyNumberFormat="0" applyAlignment="0" applyProtection="0"/>
    <xf numFmtId="0" fontId="95" fillId="126" borderId="37" applyNumberFormat="0" applyAlignment="0" applyProtection="0"/>
    <xf numFmtId="0" fontId="95" fillId="126" borderId="37" applyNumberFormat="0" applyAlignment="0" applyProtection="0"/>
    <xf numFmtId="0" fontId="95" fillId="126" borderId="37" applyNumberFormat="0" applyAlignment="0" applyProtection="0"/>
    <xf numFmtId="0" fontId="95" fillId="126" borderId="37" applyNumberFormat="0" applyAlignment="0" applyProtection="0"/>
    <xf numFmtId="0" fontId="95" fillId="126" borderId="37" applyNumberFormat="0" applyAlignment="0" applyProtection="0"/>
    <xf numFmtId="0" fontId="95" fillId="126" borderId="37" applyNumberFormat="0" applyAlignment="0" applyProtection="0"/>
    <xf numFmtId="0" fontId="95" fillId="126" borderId="37" applyNumberFormat="0" applyAlignment="0" applyProtection="0"/>
    <xf numFmtId="0" fontId="95" fillId="126" borderId="37" applyNumberFormat="0" applyAlignment="0" applyProtection="0"/>
    <xf numFmtId="0" fontId="95" fillId="126" borderId="37" applyNumberFormat="0" applyAlignment="0" applyProtection="0"/>
    <xf numFmtId="0" fontId="95" fillId="126" borderId="37" applyNumberFormat="0" applyAlignment="0" applyProtection="0"/>
    <xf numFmtId="0" fontId="95" fillId="126" borderId="37" applyNumberFormat="0" applyAlignment="0" applyProtection="0"/>
    <xf numFmtId="0" fontId="95" fillId="126" borderId="37" applyNumberFormat="0" applyAlignment="0" applyProtection="0"/>
    <xf numFmtId="0" fontId="95" fillId="126" borderId="37" applyNumberFormat="0" applyAlignment="0" applyProtection="0"/>
    <xf numFmtId="0" fontId="95" fillId="126" borderId="37" applyNumberFormat="0" applyAlignment="0" applyProtection="0"/>
    <xf numFmtId="0" fontId="95" fillId="126" borderId="37" applyNumberFormat="0" applyAlignment="0" applyProtection="0"/>
    <xf numFmtId="0" fontId="95" fillId="126" borderId="37" applyNumberFormat="0" applyAlignment="0" applyProtection="0"/>
    <xf numFmtId="0" fontId="95" fillId="126" borderId="37" applyNumberFormat="0" applyAlignment="0" applyProtection="0"/>
    <xf numFmtId="0" fontId="95" fillId="126" borderId="37" applyNumberFormat="0" applyAlignment="0" applyProtection="0"/>
    <xf numFmtId="0" fontId="95" fillId="126" borderId="37" applyNumberFormat="0" applyAlignment="0" applyProtection="0"/>
    <xf numFmtId="0" fontId="95" fillId="126" borderId="37" applyNumberFormat="0" applyAlignment="0" applyProtection="0"/>
    <xf numFmtId="0" fontId="95" fillId="126" borderId="37" applyNumberFormat="0" applyAlignment="0" applyProtection="0"/>
    <xf numFmtId="0" fontId="95" fillId="126" borderId="37" applyNumberFormat="0" applyAlignment="0" applyProtection="0"/>
    <xf numFmtId="0" fontId="95" fillId="126" borderId="37" applyNumberFormat="0" applyAlignment="0" applyProtection="0"/>
    <xf numFmtId="0" fontId="95" fillId="126" borderId="37" applyNumberFormat="0" applyAlignment="0" applyProtection="0"/>
    <xf numFmtId="0" fontId="95" fillId="126" borderId="37" applyNumberFormat="0" applyAlignment="0" applyProtection="0"/>
    <xf numFmtId="0" fontId="94" fillId="126" borderId="37" applyNumberFormat="0" applyProtection="0"/>
    <xf numFmtId="0" fontId="94" fillId="126" borderId="37" applyNumberFormat="0" applyProtection="0"/>
    <xf numFmtId="0" fontId="94" fillId="126" borderId="37" applyNumberFormat="0" applyProtection="0"/>
    <xf numFmtId="0" fontId="94" fillId="126" borderId="37" applyNumberFormat="0" applyProtection="0"/>
    <xf numFmtId="0" fontId="94" fillId="126" borderId="37" applyNumberFormat="0" applyProtection="0"/>
    <xf numFmtId="0" fontId="94" fillId="126" borderId="37" applyNumberFormat="0" applyProtection="0"/>
    <xf numFmtId="0" fontId="94" fillId="126" borderId="37" applyNumberFormat="0" applyProtection="0"/>
    <xf numFmtId="0" fontId="94" fillId="126" borderId="37" applyNumberFormat="0" applyProtection="0"/>
    <xf numFmtId="0" fontId="94" fillId="126" borderId="37" applyNumberFormat="0" applyProtection="0"/>
    <xf numFmtId="0" fontId="94" fillId="126" borderId="37" applyNumberFormat="0" applyProtection="0"/>
    <xf numFmtId="0" fontId="94" fillId="126" borderId="37" applyNumberFormat="0" applyProtection="0"/>
    <xf numFmtId="0" fontId="94" fillId="126" borderId="37" applyNumberFormat="0" applyProtection="0"/>
    <xf numFmtId="0" fontId="94" fillId="126" borderId="37" applyNumberFormat="0" applyProtection="0"/>
    <xf numFmtId="0" fontId="94" fillId="126" borderId="37" applyNumberFormat="0" applyProtection="0"/>
    <xf numFmtId="0" fontId="94" fillId="126" borderId="37" applyNumberFormat="0" applyProtection="0"/>
    <xf numFmtId="0" fontId="94" fillId="126" borderId="37" applyNumberFormat="0" applyProtection="0"/>
    <xf numFmtId="0" fontId="94" fillId="126" borderId="37" applyNumberFormat="0" applyProtection="0"/>
    <xf numFmtId="0" fontId="94" fillId="126" borderId="37" applyNumberFormat="0" applyProtection="0"/>
    <xf numFmtId="0" fontId="94" fillId="126" borderId="37" applyNumberFormat="0" applyProtection="0"/>
    <xf numFmtId="0" fontId="94" fillId="126" borderId="37" applyNumberFormat="0" applyProtection="0"/>
    <xf numFmtId="0" fontId="94" fillId="126" borderId="37" applyNumberFormat="0" applyProtection="0"/>
    <xf numFmtId="0" fontId="94" fillId="126" borderId="37" applyNumberFormat="0" applyProtection="0"/>
    <xf numFmtId="0" fontId="94" fillId="126" borderId="37" applyNumberFormat="0" applyProtection="0"/>
    <xf numFmtId="0" fontId="94" fillId="126" borderId="37" applyNumberFormat="0" applyProtection="0"/>
    <xf numFmtId="0" fontId="94" fillId="126" borderId="37" applyNumberFormat="0" applyProtection="0"/>
    <xf numFmtId="0" fontId="94" fillId="126" borderId="37" applyNumberFormat="0" applyProtection="0"/>
    <xf numFmtId="0" fontId="94" fillId="126" borderId="37" applyNumberFormat="0" applyProtection="0"/>
    <xf numFmtId="0" fontId="93" fillId="42" borderId="37" applyNumberFormat="0" applyAlignment="0" applyProtection="0"/>
    <xf numFmtId="0" fontId="93" fillId="42" borderId="37" applyNumberFormat="0" applyAlignment="0" applyProtection="0"/>
    <xf numFmtId="0" fontId="93" fillId="42" borderId="37" applyNumberFormat="0" applyAlignment="0" applyProtection="0"/>
    <xf numFmtId="0" fontId="93" fillId="42" borderId="37" applyNumberFormat="0" applyAlignment="0" applyProtection="0"/>
    <xf numFmtId="0" fontId="93" fillId="42" borderId="37" applyNumberFormat="0" applyAlignment="0" applyProtection="0"/>
    <xf numFmtId="0" fontId="93" fillId="42" borderId="37" applyNumberFormat="0" applyAlignment="0" applyProtection="0"/>
    <xf numFmtId="0" fontId="93" fillId="42" borderId="37" applyNumberFormat="0" applyAlignment="0" applyProtection="0"/>
    <xf numFmtId="0" fontId="93" fillId="42" borderId="37" applyNumberFormat="0" applyAlignment="0" applyProtection="0"/>
    <xf numFmtId="0" fontId="93" fillId="42" borderId="37" applyNumberFormat="0" applyAlignment="0" applyProtection="0"/>
    <xf numFmtId="0" fontId="93" fillId="42" borderId="37" applyNumberFormat="0" applyAlignment="0" applyProtection="0"/>
    <xf numFmtId="0" fontId="93" fillId="42" borderId="37" applyNumberFormat="0" applyAlignment="0" applyProtection="0"/>
    <xf numFmtId="0" fontId="93" fillId="42" borderId="37" applyNumberFormat="0" applyAlignment="0" applyProtection="0"/>
    <xf numFmtId="0" fontId="93" fillId="42" borderId="37" applyNumberFormat="0" applyAlignment="0" applyProtection="0"/>
    <xf numFmtId="0" fontId="93" fillId="42" borderId="37" applyNumberFormat="0" applyAlignment="0" applyProtection="0"/>
    <xf numFmtId="0" fontId="93" fillId="42" borderId="37" applyNumberFormat="0" applyAlignment="0" applyProtection="0"/>
    <xf numFmtId="0" fontId="93" fillId="42" borderId="37" applyNumberFormat="0" applyAlignment="0" applyProtection="0"/>
    <xf numFmtId="0" fontId="93" fillId="42" borderId="37" applyNumberFormat="0" applyAlignment="0" applyProtection="0"/>
    <xf numFmtId="0" fontId="93" fillId="42" borderId="37" applyNumberFormat="0" applyAlignment="0" applyProtection="0"/>
    <xf numFmtId="0" fontId="93" fillId="42" borderId="37" applyNumberFormat="0" applyAlignment="0" applyProtection="0"/>
    <xf numFmtId="0" fontId="93" fillId="42" borderId="37" applyNumberFormat="0" applyAlignment="0" applyProtection="0"/>
    <xf numFmtId="0" fontId="93" fillId="42" borderId="37" applyNumberFormat="0" applyAlignment="0" applyProtection="0"/>
    <xf numFmtId="0" fontId="93" fillId="42" borderId="37" applyNumberFormat="0" applyAlignment="0" applyProtection="0"/>
    <xf numFmtId="0" fontId="93" fillId="42" borderId="37" applyNumberFormat="0" applyAlignment="0" applyProtection="0"/>
    <xf numFmtId="0" fontId="93" fillId="42" borderId="37" applyNumberFormat="0" applyAlignment="0" applyProtection="0"/>
    <xf numFmtId="0" fontId="93" fillId="42" borderId="37" applyNumberFormat="0" applyAlignment="0" applyProtection="0"/>
    <xf numFmtId="0" fontId="93" fillId="42" borderId="37" applyNumberFormat="0" applyAlignment="0" applyProtection="0"/>
    <xf numFmtId="0" fontId="93" fillId="42" borderId="37" applyNumberFormat="0" applyAlignment="0" applyProtection="0"/>
    <xf numFmtId="0" fontId="93" fillId="42" borderId="37" applyNumberFormat="0" applyAlignment="0" applyProtection="0"/>
    <xf numFmtId="0" fontId="93" fillId="42" borderId="37" applyNumberFormat="0" applyAlignment="0" applyProtection="0"/>
    <xf numFmtId="0" fontId="93" fillId="42" borderId="37" applyNumberFormat="0" applyAlignment="0" applyProtection="0"/>
    <xf numFmtId="0" fontId="93" fillId="42" borderId="37" applyNumberFormat="0" applyAlignment="0" applyProtection="0"/>
    <xf numFmtId="0" fontId="93" fillId="42" borderId="37" applyNumberFormat="0" applyAlignment="0" applyProtection="0"/>
    <xf numFmtId="0" fontId="93" fillId="42" borderId="37" applyNumberFormat="0" applyAlignment="0" applyProtection="0"/>
    <xf numFmtId="0" fontId="93" fillId="42" borderId="37" applyNumberFormat="0" applyAlignment="0" applyProtection="0"/>
    <xf numFmtId="0" fontId="93" fillId="42" borderId="37" applyNumberFormat="0" applyAlignment="0" applyProtection="0"/>
    <xf numFmtId="0" fontId="93" fillId="42" borderId="37" applyNumberFormat="0" applyAlignment="0" applyProtection="0"/>
    <xf numFmtId="0" fontId="93" fillId="42" borderId="37" applyNumberFormat="0" applyAlignment="0" applyProtection="0"/>
    <xf numFmtId="0" fontId="93" fillId="42" borderId="37" applyNumberFormat="0" applyAlignment="0" applyProtection="0"/>
    <xf numFmtId="0" fontId="93" fillId="42" borderId="37" applyNumberFormat="0" applyAlignment="0" applyProtection="0"/>
    <xf numFmtId="0" fontId="93" fillId="42" borderId="37" applyNumberFormat="0" applyAlignment="0" applyProtection="0"/>
    <xf numFmtId="0" fontId="93" fillId="42" borderId="37" applyNumberFormat="0" applyAlignment="0" applyProtection="0"/>
    <xf numFmtId="0" fontId="93" fillId="42" borderId="37" applyNumberFormat="0" applyAlignment="0" applyProtection="0"/>
    <xf numFmtId="0" fontId="93" fillId="42" borderId="37" applyNumberFormat="0" applyAlignment="0" applyProtection="0"/>
    <xf numFmtId="0" fontId="93" fillId="42" borderId="37" applyNumberFormat="0" applyAlignment="0" applyProtection="0"/>
    <xf numFmtId="0" fontId="93" fillId="42" borderId="37" applyNumberFormat="0" applyAlignment="0" applyProtection="0"/>
    <xf numFmtId="0" fontId="93" fillId="42" borderId="37" applyNumberFormat="0" applyAlignment="0" applyProtection="0"/>
    <xf numFmtId="0" fontId="93" fillId="42" borderId="37" applyNumberFormat="0" applyAlignment="0" applyProtection="0"/>
    <xf numFmtId="0" fontId="93" fillId="42" borderId="37" applyNumberFormat="0" applyAlignment="0" applyProtection="0"/>
    <xf numFmtId="0" fontId="93" fillId="42" borderId="37" applyNumberFormat="0" applyAlignment="0" applyProtection="0"/>
    <xf numFmtId="0" fontId="93" fillId="42" borderId="37" applyNumberFormat="0" applyAlignment="0" applyProtection="0"/>
    <xf numFmtId="0" fontId="93" fillId="42" borderId="37" applyNumberFormat="0" applyAlignment="0" applyProtection="0"/>
    <xf numFmtId="0" fontId="93" fillId="42" borderId="37" applyNumberFormat="0" applyAlignment="0" applyProtection="0"/>
    <xf numFmtId="0" fontId="93" fillId="42" borderId="37" applyNumberFormat="0" applyAlignment="0" applyProtection="0"/>
    <xf numFmtId="0" fontId="93" fillId="42" borderId="37" applyNumberFormat="0" applyAlignment="0" applyProtection="0"/>
    <xf numFmtId="0" fontId="93" fillId="42" borderId="37" applyNumberFormat="0" applyAlignment="0" applyProtection="0"/>
    <xf numFmtId="0" fontId="93" fillId="42" borderId="37" applyNumberFormat="0" applyAlignment="0" applyProtection="0"/>
    <xf numFmtId="0" fontId="93" fillId="42" borderId="37" applyNumberFormat="0" applyAlignment="0" applyProtection="0"/>
    <xf numFmtId="0" fontId="93" fillId="42" borderId="37" applyNumberFormat="0" applyAlignment="0" applyProtection="0"/>
    <xf numFmtId="0" fontId="93" fillId="42" borderId="37" applyNumberFormat="0" applyAlignment="0" applyProtection="0"/>
    <xf numFmtId="0" fontId="93" fillId="42" borderId="37" applyNumberFormat="0" applyAlignment="0" applyProtection="0"/>
    <xf numFmtId="0" fontId="93" fillId="42" borderId="37" applyNumberFormat="0" applyAlignment="0" applyProtection="0"/>
    <xf numFmtId="0" fontId="93" fillId="42" borderId="37" applyNumberFormat="0" applyAlignment="0" applyProtection="0"/>
    <xf numFmtId="0" fontId="93" fillId="41" borderId="37" applyNumberFormat="0" applyProtection="0"/>
    <xf numFmtId="0" fontId="93" fillId="41" borderId="37" applyNumberFormat="0" applyProtection="0"/>
    <xf numFmtId="0" fontId="93" fillId="41" borderId="37" applyNumberFormat="0" applyProtection="0"/>
    <xf numFmtId="0" fontId="93" fillId="41" borderId="37" applyNumberFormat="0" applyProtection="0"/>
    <xf numFmtId="0" fontId="93" fillId="41" borderId="37" applyNumberFormat="0" applyProtection="0"/>
    <xf numFmtId="0" fontId="93" fillId="41" borderId="37" applyNumberFormat="0" applyProtection="0"/>
    <xf numFmtId="0" fontId="93" fillId="41" borderId="37" applyNumberFormat="0" applyProtection="0"/>
    <xf numFmtId="0" fontId="93" fillId="41" borderId="37" applyNumberFormat="0" applyProtection="0"/>
    <xf numFmtId="0" fontId="93" fillId="41" borderId="37" applyNumberFormat="0" applyProtection="0"/>
    <xf numFmtId="0" fontId="93" fillId="41" borderId="37" applyNumberFormat="0" applyProtection="0"/>
    <xf numFmtId="0" fontId="93" fillId="41" borderId="37" applyNumberFormat="0" applyProtection="0"/>
    <xf numFmtId="0" fontId="93" fillId="41" borderId="37" applyNumberFormat="0" applyProtection="0"/>
    <xf numFmtId="0" fontId="93" fillId="41" borderId="37" applyNumberFormat="0" applyProtection="0"/>
    <xf numFmtId="0" fontId="93" fillId="41" borderId="37" applyNumberFormat="0" applyProtection="0"/>
    <xf numFmtId="0" fontId="93" fillId="41" borderId="37" applyNumberFormat="0" applyProtection="0"/>
    <xf numFmtId="0" fontId="93" fillId="41" borderId="37" applyNumberFormat="0" applyProtection="0"/>
    <xf numFmtId="0" fontId="93" fillId="41" borderId="37" applyNumberFormat="0" applyProtection="0"/>
    <xf numFmtId="0" fontId="93" fillId="41" borderId="37" applyNumberFormat="0" applyProtection="0"/>
    <xf numFmtId="0" fontId="93" fillId="41" borderId="37" applyNumberFormat="0" applyProtection="0"/>
    <xf numFmtId="0" fontId="93" fillId="41" borderId="37" applyNumberFormat="0" applyProtection="0"/>
    <xf numFmtId="0" fontId="93" fillId="41" borderId="37" applyNumberFormat="0" applyProtection="0"/>
    <xf numFmtId="0" fontId="93" fillId="41" borderId="37" applyNumberFormat="0" applyProtection="0"/>
    <xf numFmtId="0" fontId="93" fillId="41" borderId="37" applyNumberFormat="0" applyProtection="0"/>
    <xf numFmtId="0" fontId="93" fillId="41" borderId="37" applyNumberFormat="0" applyProtection="0"/>
    <xf numFmtId="0" fontId="93" fillId="41" borderId="37" applyNumberFormat="0" applyProtection="0"/>
    <xf numFmtId="0" fontId="93" fillId="41" borderId="37" applyNumberFormat="0" applyProtection="0"/>
    <xf numFmtId="0" fontId="93" fillId="41" borderId="37" applyNumberFormat="0" applyProtection="0"/>
    <xf numFmtId="0" fontId="93" fillId="41" borderId="37" applyNumberFormat="0" applyProtection="0"/>
    <xf numFmtId="0" fontId="93" fillId="41" borderId="37" applyNumberFormat="0" applyProtection="0"/>
    <xf numFmtId="0" fontId="93" fillId="41" borderId="37" applyNumberFormat="0" applyProtection="0"/>
    <xf numFmtId="0" fontId="93" fillId="41" borderId="37" applyNumberFormat="0" applyProtection="0"/>
    <xf numFmtId="0" fontId="93" fillId="42" borderId="37" applyNumberFormat="0" applyAlignment="0" applyProtection="0"/>
    <xf numFmtId="0" fontId="93" fillId="42" borderId="37" applyNumberFormat="0" applyAlignment="0" applyProtection="0"/>
    <xf numFmtId="0" fontId="93" fillId="42" borderId="37" applyNumberFormat="0" applyAlignment="0" applyProtection="0"/>
    <xf numFmtId="0" fontId="93" fillId="42" borderId="37" applyNumberFormat="0" applyAlignment="0" applyProtection="0"/>
    <xf numFmtId="0" fontId="93" fillId="42" borderId="37" applyNumberFormat="0" applyAlignment="0" applyProtection="0"/>
    <xf numFmtId="0" fontId="93" fillId="42" borderId="37" applyNumberFormat="0" applyAlignment="0" applyProtection="0"/>
    <xf numFmtId="0" fontId="93" fillId="42" borderId="37" applyNumberFormat="0" applyAlignment="0" applyProtection="0"/>
    <xf numFmtId="0" fontId="93" fillId="42" borderId="37" applyNumberFormat="0" applyAlignment="0" applyProtection="0"/>
    <xf numFmtId="0" fontId="93" fillId="42" borderId="37" applyNumberFormat="0" applyAlignment="0" applyProtection="0"/>
    <xf numFmtId="0" fontId="93" fillId="42" borderId="37" applyNumberFormat="0" applyAlignment="0" applyProtection="0"/>
    <xf numFmtId="0" fontId="93" fillId="42" borderId="37" applyNumberFormat="0" applyAlignment="0" applyProtection="0"/>
    <xf numFmtId="0" fontId="93" fillId="42" borderId="37" applyNumberFormat="0" applyAlignment="0" applyProtection="0"/>
    <xf numFmtId="0" fontId="93" fillId="42" borderId="37" applyNumberFormat="0" applyAlignment="0" applyProtection="0"/>
    <xf numFmtId="0" fontId="93" fillId="42" borderId="37" applyNumberFormat="0" applyAlignment="0" applyProtection="0"/>
    <xf numFmtId="0" fontId="93" fillId="42" borderId="37" applyNumberFormat="0" applyAlignment="0" applyProtection="0"/>
    <xf numFmtId="0" fontId="93" fillId="42" borderId="37" applyNumberFormat="0" applyAlignment="0" applyProtection="0"/>
    <xf numFmtId="0" fontId="93" fillId="42" borderId="37" applyNumberFormat="0" applyAlignment="0" applyProtection="0"/>
    <xf numFmtId="0" fontId="93" fillId="42" borderId="37" applyNumberFormat="0" applyAlignment="0" applyProtection="0"/>
    <xf numFmtId="0" fontId="93" fillId="42" borderId="37" applyNumberFormat="0" applyAlignment="0" applyProtection="0"/>
    <xf numFmtId="0" fontId="93" fillId="42" borderId="37" applyNumberFormat="0" applyAlignment="0" applyProtection="0"/>
    <xf numFmtId="0" fontId="93" fillId="42" borderId="37" applyNumberFormat="0" applyAlignment="0" applyProtection="0"/>
    <xf numFmtId="0" fontId="93" fillId="42" borderId="37" applyNumberFormat="0" applyAlignment="0" applyProtection="0"/>
    <xf numFmtId="0" fontId="93" fillId="42" borderId="37" applyNumberFormat="0" applyAlignment="0" applyProtection="0"/>
    <xf numFmtId="0" fontId="93" fillId="42" borderId="37" applyNumberFormat="0" applyAlignment="0" applyProtection="0"/>
    <xf numFmtId="0" fontId="93" fillId="42" borderId="37" applyNumberFormat="0" applyAlignment="0" applyProtection="0"/>
    <xf numFmtId="0" fontId="93" fillId="42" borderId="37" applyNumberFormat="0" applyAlignment="0" applyProtection="0"/>
    <xf numFmtId="0" fontId="93" fillId="42" borderId="37" applyNumberFormat="0" applyAlignment="0" applyProtection="0"/>
    <xf numFmtId="0" fontId="93" fillId="42" borderId="37" applyNumberFormat="0" applyAlignment="0" applyProtection="0"/>
    <xf numFmtId="0" fontId="93" fillId="42" borderId="37" applyNumberFormat="0" applyAlignment="0" applyProtection="0"/>
    <xf numFmtId="0" fontId="93" fillId="42" borderId="37" applyNumberFormat="0" applyAlignment="0" applyProtection="0"/>
    <xf numFmtId="0" fontId="93" fillId="42" borderId="37" applyNumberFormat="0" applyAlignment="0" applyProtection="0"/>
    <xf numFmtId="0" fontId="93" fillId="42" borderId="37" applyNumberFormat="0" applyAlignment="0" applyProtection="0"/>
    <xf numFmtId="0" fontId="93" fillId="42" borderId="37" applyNumberFormat="0" applyAlignment="0" applyProtection="0"/>
    <xf numFmtId="0" fontId="93" fillId="42" borderId="37" applyNumberFormat="0" applyAlignment="0" applyProtection="0"/>
    <xf numFmtId="0" fontId="93" fillId="42" borderId="37" applyNumberFormat="0" applyAlignment="0" applyProtection="0"/>
    <xf numFmtId="0" fontId="93" fillId="42" borderId="37" applyNumberFormat="0" applyAlignment="0" applyProtection="0"/>
    <xf numFmtId="0" fontId="93" fillId="42" borderId="37" applyNumberFormat="0" applyAlignment="0" applyProtection="0"/>
    <xf numFmtId="0" fontId="93" fillId="42" borderId="37" applyNumberFormat="0" applyAlignment="0" applyProtection="0"/>
    <xf numFmtId="0" fontId="93" fillId="42" borderId="37" applyNumberFormat="0" applyAlignment="0" applyProtection="0"/>
    <xf numFmtId="0" fontId="93" fillId="42" borderId="37" applyNumberFormat="0" applyAlignment="0" applyProtection="0"/>
    <xf numFmtId="0" fontId="93" fillId="42" borderId="37" applyNumberFormat="0" applyAlignment="0" applyProtection="0"/>
    <xf numFmtId="0" fontId="93" fillId="42" borderId="37" applyNumberFormat="0" applyAlignment="0" applyProtection="0"/>
    <xf numFmtId="0" fontId="93" fillId="42" borderId="37" applyNumberFormat="0" applyAlignment="0" applyProtection="0"/>
    <xf numFmtId="0" fontId="93" fillId="42" borderId="37" applyNumberFormat="0" applyAlignment="0" applyProtection="0"/>
    <xf numFmtId="0" fontId="93" fillId="42" borderId="37" applyNumberFormat="0" applyAlignment="0" applyProtection="0"/>
    <xf numFmtId="0" fontId="93" fillId="42" borderId="37" applyNumberFormat="0" applyAlignment="0" applyProtection="0"/>
    <xf numFmtId="0" fontId="93" fillId="42" borderId="37" applyNumberFormat="0" applyAlignment="0" applyProtection="0"/>
    <xf numFmtId="0" fontId="93" fillId="42" borderId="37" applyNumberFormat="0" applyAlignment="0" applyProtection="0"/>
    <xf numFmtId="0" fontId="93" fillId="42" borderId="37" applyNumberFormat="0" applyAlignment="0" applyProtection="0"/>
    <xf numFmtId="0" fontId="93" fillId="42" borderId="37" applyNumberFormat="0" applyAlignment="0" applyProtection="0"/>
    <xf numFmtId="0" fontId="93" fillId="42" borderId="37" applyNumberFormat="0" applyAlignment="0" applyProtection="0"/>
    <xf numFmtId="0" fontId="93" fillId="42" borderId="37" applyNumberFormat="0" applyAlignment="0" applyProtection="0"/>
    <xf numFmtId="0" fontId="93" fillId="42" borderId="37" applyNumberFormat="0" applyAlignment="0" applyProtection="0"/>
    <xf numFmtId="0" fontId="93" fillId="42" borderId="37" applyNumberFormat="0" applyAlignment="0" applyProtection="0"/>
    <xf numFmtId="0" fontId="93" fillId="42" borderId="37" applyNumberFormat="0" applyAlignment="0" applyProtection="0"/>
    <xf numFmtId="0" fontId="93" fillId="42" borderId="37" applyNumberFormat="0" applyAlignment="0" applyProtection="0"/>
    <xf numFmtId="0" fontId="93" fillId="42" borderId="37" applyNumberFormat="0" applyAlignment="0" applyProtection="0"/>
    <xf numFmtId="0" fontId="93" fillId="42" borderId="37" applyNumberFormat="0" applyAlignment="0" applyProtection="0"/>
    <xf numFmtId="0" fontId="93" fillId="42" borderId="37" applyNumberFormat="0" applyAlignment="0" applyProtection="0"/>
    <xf numFmtId="0" fontId="93" fillId="42" borderId="37" applyNumberFormat="0" applyAlignment="0" applyProtection="0"/>
    <xf numFmtId="0" fontId="93" fillId="42" borderId="37" applyNumberFormat="0" applyAlignment="0" applyProtection="0"/>
    <xf numFmtId="0" fontId="93" fillId="42" borderId="37" applyNumberFormat="0" applyAlignment="0" applyProtection="0"/>
    <xf numFmtId="0" fontId="93" fillId="41" borderId="37" applyNumberFormat="0" applyProtection="0"/>
    <xf numFmtId="0" fontId="93" fillId="41" borderId="37" applyNumberFormat="0" applyProtection="0"/>
    <xf numFmtId="0" fontId="93" fillId="41" borderId="37" applyNumberFormat="0" applyProtection="0"/>
    <xf numFmtId="0" fontId="93" fillId="41" borderId="37" applyNumberFormat="0" applyProtection="0"/>
    <xf numFmtId="0" fontId="93" fillId="41" borderId="37" applyNumberFormat="0" applyProtection="0"/>
    <xf numFmtId="0" fontId="93" fillId="41" borderId="37" applyNumberFormat="0" applyProtection="0"/>
    <xf numFmtId="0" fontId="93" fillId="41" borderId="37" applyNumberFormat="0" applyProtection="0"/>
    <xf numFmtId="0" fontId="93" fillId="41" borderId="37" applyNumberFormat="0" applyProtection="0"/>
    <xf numFmtId="0" fontId="93" fillId="41" borderId="37" applyNumberFormat="0" applyProtection="0"/>
    <xf numFmtId="0" fontId="93" fillId="41" borderId="37" applyNumberFormat="0" applyProtection="0"/>
    <xf numFmtId="0" fontId="93" fillId="41" borderId="37" applyNumberFormat="0" applyProtection="0"/>
    <xf numFmtId="0" fontId="93" fillId="41" borderId="37" applyNumberFormat="0" applyProtection="0"/>
    <xf numFmtId="0" fontId="93" fillId="41" borderId="37" applyNumberFormat="0" applyProtection="0"/>
    <xf numFmtId="0" fontId="93" fillId="41" borderId="37" applyNumberFormat="0" applyProtection="0"/>
    <xf numFmtId="0" fontId="93" fillId="41" borderId="37" applyNumberFormat="0" applyProtection="0"/>
    <xf numFmtId="0" fontId="93" fillId="41" borderId="37" applyNumberFormat="0" applyProtection="0"/>
    <xf numFmtId="0" fontId="93" fillId="41" borderId="37" applyNumberFormat="0" applyProtection="0"/>
    <xf numFmtId="0" fontId="93" fillId="41" borderId="37" applyNumberFormat="0" applyProtection="0"/>
    <xf numFmtId="0" fontId="93" fillId="41" borderId="37" applyNumberFormat="0" applyProtection="0"/>
    <xf numFmtId="0" fontId="93" fillId="41" borderId="37" applyNumberFormat="0" applyProtection="0"/>
    <xf numFmtId="0" fontId="93" fillId="41" borderId="37" applyNumberFormat="0" applyProtection="0"/>
    <xf numFmtId="0" fontId="93" fillId="41" borderId="37" applyNumberFormat="0" applyProtection="0"/>
    <xf numFmtId="0" fontId="93" fillId="41" borderId="37" applyNumberFormat="0" applyProtection="0"/>
    <xf numFmtId="0" fontId="93" fillId="41" borderId="37" applyNumberFormat="0" applyProtection="0"/>
    <xf numFmtId="0" fontId="93" fillId="41" borderId="37" applyNumberFormat="0" applyProtection="0"/>
    <xf numFmtId="0" fontId="93" fillId="41" borderId="37" applyNumberFormat="0" applyProtection="0"/>
    <xf numFmtId="0" fontId="93" fillId="41" borderId="37" applyNumberFormat="0" applyProtection="0"/>
    <xf numFmtId="0" fontId="93" fillId="41" borderId="37" applyNumberFormat="0" applyProtection="0"/>
    <xf numFmtId="0" fontId="93" fillId="41" borderId="37" applyNumberFormat="0" applyProtection="0"/>
    <xf numFmtId="0" fontId="93" fillId="41" borderId="37" applyNumberFormat="0" applyProtection="0"/>
    <xf numFmtId="0" fontId="93" fillId="41" borderId="37" applyNumberFormat="0" applyProtection="0"/>
    <xf numFmtId="0" fontId="93" fillId="41" borderId="37" applyNumberFormat="0" applyProtection="0"/>
    <xf numFmtId="0" fontId="93" fillId="42" borderId="37" applyNumberFormat="0" applyAlignment="0" applyProtection="0"/>
    <xf numFmtId="0" fontId="93" fillId="42" borderId="37" applyNumberFormat="0" applyAlignment="0" applyProtection="0"/>
    <xf numFmtId="0" fontId="93" fillId="42" borderId="37" applyNumberFormat="0" applyAlignment="0" applyProtection="0"/>
    <xf numFmtId="0" fontId="93" fillId="42" borderId="37" applyNumberFormat="0" applyAlignment="0" applyProtection="0"/>
    <xf numFmtId="0" fontId="93" fillId="42" borderId="37" applyNumberFormat="0" applyAlignment="0" applyProtection="0"/>
    <xf numFmtId="0" fontId="93" fillId="42" borderId="37" applyNumberFormat="0" applyAlignment="0" applyProtection="0"/>
    <xf numFmtId="0" fontId="93" fillId="42" borderId="37" applyNumberFormat="0" applyAlignment="0" applyProtection="0"/>
    <xf numFmtId="0" fontId="93" fillId="42" borderId="37" applyNumberFormat="0" applyAlignment="0" applyProtection="0"/>
    <xf numFmtId="0" fontId="93" fillId="42" borderId="37" applyNumberFormat="0" applyAlignment="0" applyProtection="0"/>
    <xf numFmtId="0" fontId="93" fillId="42" borderId="37" applyNumberFormat="0" applyAlignment="0" applyProtection="0"/>
    <xf numFmtId="0" fontId="93" fillId="42" borderId="37" applyNumberFormat="0" applyAlignment="0" applyProtection="0"/>
    <xf numFmtId="0" fontId="93" fillId="42" borderId="37" applyNumberFormat="0" applyAlignment="0" applyProtection="0"/>
    <xf numFmtId="0" fontId="93" fillId="42" borderId="37" applyNumberFormat="0" applyAlignment="0" applyProtection="0"/>
    <xf numFmtId="0" fontId="93" fillId="42" borderId="37" applyNumberFormat="0" applyAlignment="0" applyProtection="0"/>
    <xf numFmtId="0" fontId="93" fillId="42" borderId="37" applyNumberFormat="0" applyAlignment="0" applyProtection="0"/>
    <xf numFmtId="0" fontId="93" fillId="42" borderId="37" applyNumberFormat="0" applyAlignment="0" applyProtection="0"/>
    <xf numFmtId="0" fontId="93" fillId="42" borderId="37" applyNumberFormat="0" applyAlignment="0" applyProtection="0"/>
    <xf numFmtId="0" fontId="93" fillId="42" borderId="37" applyNumberFormat="0" applyAlignment="0" applyProtection="0"/>
    <xf numFmtId="0" fontId="93" fillId="42" borderId="37" applyNumberFormat="0" applyAlignment="0" applyProtection="0"/>
    <xf numFmtId="0" fontId="93" fillId="42" borderId="37" applyNumberFormat="0" applyAlignment="0" applyProtection="0"/>
    <xf numFmtId="0" fontId="93" fillId="42" borderId="37" applyNumberFormat="0" applyAlignment="0" applyProtection="0"/>
    <xf numFmtId="0" fontId="93" fillId="42" borderId="37" applyNumberFormat="0" applyAlignment="0" applyProtection="0"/>
    <xf numFmtId="0" fontId="93" fillId="42" borderId="37" applyNumberFormat="0" applyAlignment="0" applyProtection="0"/>
    <xf numFmtId="0" fontId="93" fillId="42" borderId="37" applyNumberFormat="0" applyAlignment="0" applyProtection="0"/>
    <xf numFmtId="0" fontId="93" fillId="42" borderId="37" applyNumberFormat="0" applyAlignment="0" applyProtection="0"/>
    <xf numFmtId="0" fontId="93" fillId="42" borderId="37" applyNumberFormat="0" applyAlignment="0" applyProtection="0"/>
    <xf numFmtId="0" fontId="93" fillId="42" borderId="37" applyNumberFormat="0" applyAlignment="0" applyProtection="0"/>
    <xf numFmtId="0" fontId="93" fillId="42" borderId="37" applyNumberFormat="0" applyAlignment="0" applyProtection="0"/>
    <xf numFmtId="0" fontId="93" fillId="42" borderId="37" applyNumberFormat="0" applyAlignment="0" applyProtection="0"/>
    <xf numFmtId="0" fontId="93" fillId="42" borderId="37" applyNumberFormat="0" applyAlignment="0" applyProtection="0"/>
    <xf numFmtId="0" fontId="93" fillId="42" borderId="37" applyNumberFormat="0" applyAlignment="0" applyProtection="0"/>
    <xf numFmtId="0" fontId="93" fillId="42" borderId="37" applyNumberFormat="0" applyAlignment="0" applyProtection="0"/>
    <xf numFmtId="0" fontId="93" fillId="42" borderId="37" applyNumberFormat="0" applyAlignment="0" applyProtection="0"/>
    <xf numFmtId="0" fontId="93" fillId="42" borderId="37" applyNumberFormat="0" applyAlignment="0" applyProtection="0"/>
    <xf numFmtId="0" fontId="93" fillId="42" borderId="37" applyNumberFormat="0" applyAlignment="0" applyProtection="0"/>
    <xf numFmtId="0" fontId="93" fillId="42" borderId="37" applyNumberFormat="0" applyAlignment="0" applyProtection="0"/>
    <xf numFmtId="0" fontId="93" fillId="42" borderId="37" applyNumberFormat="0" applyAlignment="0" applyProtection="0"/>
    <xf numFmtId="0" fontId="93" fillId="42" borderId="37" applyNumberFormat="0" applyAlignment="0" applyProtection="0"/>
    <xf numFmtId="0" fontId="93" fillId="42" borderId="37" applyNumberFormat="0" applyAlignment="0" applyProtection="0"/>
    <xf numFmtId="0" fontId="93" fillId="42" borderId="37" applyNumberFormat="0" applyAlignment="0" applyProtection="0"/>
    <xf numFmtId="0" fontId="93" fillId="42" borderId="37" applyNumberFormat="0" applyAlignment="0" applyProtection="0"/>
    <xf numFmtId="0" fontId="93" fillId="42" borderId="37" applyNumberFormat="0" applyAlignment="0" applyProtection="0"/>
    <xf numFmtId="0" fontId="93" fillId="42" borderId="37" applyNumberFormat="0" applyAlignment="0" applyProtection="0"/>
    <xf numFmtId="0" fontId="93" fillId="42" borderId="37" applyNumberFormat="0" applyAlignment="0" applyProtection="0"/>
    <xf numFmtId="0" fontId="93" fillId="42" borderId="37" applyNumberFormat="0" applyAlignment="0" applyProtection="0"/>
    <xf numFmtId="0" fontId="93" fillId="42" borderId="37" applyNumberFormat="0" applyAlignment="0" applyProtection="0"/>
    <xf numFmtId="0" fontId="93" fillId="42" borderId="37" applyNumberFormat="0" applyAlignment="0" applyProtection="0"/>
    <xf numFmtId="0" fontId="93" fillId="42" borderId="37" applyNumberFormat="0" applyAlignment="0" applyProtection="0"/>
    <xf numFmtId="0" fontId="93" fillId="42" borderId="37" applyNumberFormat="0" applyAlignment="0" applyProtection="0"/>
    <xf numFmtId="0" fontId="93" fillId="42" borderId="37" applyNumberFormat="0" applyAlignment="0" applyProtection="0"/>
    <xf numFmtId="0" fontId="93" fillId="42" borderId="37" applyNumberFormat="0" applyAlignment="0" applyProtection="0"/>
    <xf numFmtId="0" fontId="93" fillId="42" borderId="37" applyNumberFormat="0" applyAlignment="0" applyProtection="0"/>
    <xf numFmtId="0" fontId="93" fillId="42" borderId="37" applyNumberFormat="0" applyAlignment="0" applyProtection="0"/>
    <xf numFmtId="0" fontId="93" fillId="42" borderId="37" applyNumberFormat="0" applyAlignment="0" applyProtection="0"/>
    <xf numFmtId="0" fontId="93" fillId="42" borderId="37" applyNumberFormat="0" applyAlignment="0" applyProtection="0"/>
    <xf numFmtId="0" fontId="93" fillId="42" borderId="37" applyNumberFormat="0" applyAlignment="0" applyProtection="0"/>
    <xf numFmtId="0" fontId="93" fillId="42" borderId="37" applyNumberFormat="0" applyAlignment="0" applyProtection="0"/>
    <xf numFmtId="0" fontId="93" fillId="42" borderId="37" applyNumberFormat="0" applyAlignment="0" applyProtection="0"/>
    <xf numFmtId="0" fontId="93" fillId="42" borderId="37" applyNumberFormat="0" applyAlignment="0" applyProtection="0"/>
    <xf numFmtId="0" fontId="93" fillId="42" borderId="37" applyNumberFormat="0" applyAlignment="0" applyProtection="0"/>
    <xf numFmtId="0" fontId="93" fillId="42" borderId="37" applyNumberFormat="0" applyAlignment="0" applyProtection="0"/>
    <xf numFmtId="0" fontId="93" fillId="42" borderId="37" applyNumberFormat="0" applyAlignment="0" applyProtection="0"/>
    <xf numFmtId="0" fontId="93" fillId="41" borderId="37" applyNumberFormat="0" applyProtection="0"/>
    <xf numFmtId="0" fontId="93" fillId="41" borderId="37" applyNumberFormat="0" applyProtection="0"/>
    <xf numFmtId="0" fontId="93" fillId="41" borderId="37" applyNumberFormat="0" applyProtection="0"/>
    <xf numFmtId="0" fontId="93" fillId="41" borderId="37" applyNumberFormat="0" applyProtection="0"/>
    <xf numFmtId="0" fontId="93" fillId="41" borderId="37" applyNumberFormat="0" applyProtection="0"/>
    <xf numFmtId="0" fontId="93" fillId="41" borderId="37" applyNumberFormat="0" applyProtection="0"/>
    <xf numFmtId="0" fontId="93" fillId="41" borderId="37" applyNumberFormat="0" applyProtection="0"/>
    <xf numFmtId="0" fontId="93" fillId="41" borderId="37" applyNumberFormat="0" applyProtection="0"/>
    <xf numFmtId="0" fontId="93" fillId="41" borderId="37" applyNumberFormat="0" applyProtection="0"/>
    <xf numFmtId="0" fontId="93" fillId="41" borderId="37" applyNumberFormat="0" applyProtection="0"/>
    <xf numFmtId="0" fontId="93" fillId="41" borderId="37" applyNumberFormat="0" applyProtection="0"/>
    <xf numFmtId="0" fontId="93" fillId="41" borderId="37" applyNumberFormat="0" applyProtection="0"/>
    <xf numFmtId="0" fontId="93" fillId="41" borderId="37" applyNumberFormat="0" applyProtection="0"/>
    <xf numFmtId="0" fontId="93" fillId="41" borderId="37" applyNumberFormat="0" applyProtection="0"/>
    <xf numFmtId="0" fontId="93" fillId="41" borderId="37" applyNumberFormat="0" applyProtection="0"/>
    <xf numFmtId="0" fontId="93" fillId="41" borderId="37" applyNumberFormat="0" applyProtection="0"/>
    <xf numFmtId="0" fontId="93" fillId="41" borderId="37" applyNumberFormat="0" applyProtection="0"/>
    <xf numFmtId="0" fontId="93" fillId="41" borderId="37" applyNumberFormat="0" applyProtection="0"/>
    <xf numFmtId="0" fontId="93" fillId="41" borderId="37" applyNumberFormat="0" applyProtection="0"/>
    <xf numFmtId="0" fontId="93" fillId="41" borderId="37" applyNumberFormat="0" applyProtection="0"/>
    <xf numFmtId="0" fontId="93" fillId="41" borderId="37" applyNumberFormat="0" applyProtection="0"/>
    <xf numFmtId="0" fontId="93" fillId="41" borderId="37" applyNumberFormat="0" applyProtection="0"/>
    <xf numFmtId="0" fontId="93" fillId="41" borderId="37" applyNumberFormat="0" applyProtection="0"/>
    <xf numFmtId="0" fontId="93" fillId="41" borderId="37" applyNumberFormat="0" applyProtection="0"/>
    <xf numFmtId="0" fontId="93" fillId="41" borderId="37" applyNumberFormat="0" applyProtection="0"/>
    <xf numFmtId="0" fontId="93" fillId="41" borderId="37" applyNumberFormat="0" applyProtection="0"/>
    <xf numFmtId="0" fontId="93" fillId="41" borderId="37" applyNumberFormat="0" applyProtection="0"/>
    <xf numFmtId="0" fontId="93" fillId="41" borderId="37" applyNumberFormat="0" applyProtection="0"/>
    <xf numFmtId="0" fontId="93" fillId="41" borderId="37" applyNumberFormat="0" applyProtection="0"/>
    <xf numFmtId="0" fontId="93" fillId="41" borderId="37" applyNumberFormat="0" applyProtection="0"/>
    <xf numFmtId="0" fontId="93" fillId="41" borderId="37" applyNumberFormat="0" applyProtection="0"/>
    <xf numFmtId="0" fontId="93" fillId="41" borderId="37" applyNumberFormat="0" applyProtection="0"/>
    <xf numFmtId="0" fontId="93" fillId="42" borderId="37" applyNumberFormat="0" applyAlignment="0" applyProtection="0"/>
    <xf numFmtId="0" fontId="93" fillId="42" borderId="37" applyNumberFormat="0" applyAlignment="0" applyProtection="0"/>
    <xf numFmtId="0" fontId="93" fillId="42" borderId="37" applyNumberFormat="0" applyAlignment="0" applyProtection="0"/>
    <xf numFmtId="0" fontId="93" fillId="42" borderId="37" applyNumberFormat="0" applyAlignment="0" applyProtection="0"/>
    <xf numFmtId="0" fontId="93" fillId="42" borderId="37" applyNumberFormat="0" applyAlignment="0" applyProtection="0"/>
    <xf numFmtId="0" fontId="93" fillId="42" borderId="37" applyNumberFormat="0" applyAlignment="0" applyProtection="0"/>
    <xf numFmtId="0" fontId="93" fillId="42" borderId="37" applyNumberFormat="0" applyAlignment="0" applyProtection="0"/>
    <xf numFmtId="0" fontId="93" fillId="42" borderId="37" applyNumberFormat="0" applyAlignment="0" applyProtection="0"/>
    <xf numFmtId="0" fontId="93" fillId="42" borderId="37" applyNumberFormat="0" applyAlignment="0" applyProtection="0"/>
    <xf numFmtId="0" fontId="93" fillId="42" borderId="37" applyNumberFormat="0" applyAlignment="0" applyProtection="0"/>
    <xf numFmtId="0" fontId="93" fillId="42" borderId="37" applyNumberFormat="0" applyAlignment="0" applyProtection="0"/>
    <xf numFmtId="0" fontId="93" fillId="42" borderId="37" applyNumberFormat="0" applyAlignment="0" applyProtection="0"/>
    <xf numFmtId="0" fontId="93" fillId="42" borderId="37" applyNumberFormat="0" applyAlignment="0" applyProtection="0"/>
    <xf numFmtId="0" fontId="93" fillId="42" borderId="37" applyNumberFormat="0" applyAlignment="0" applyProtection="0"/>
    <xf numFmtId="0" fontId="93" fillId="42" borderId="37" applyNumberFormat="0" applyAlignment="0" applyProtection="0"/>
    <xf numFmtId="0" fontId="93" fillId="42" borderId="37" applyNumberFormat="0" applyAlignment="0" applyProtection="0"/>
    <xf numFmtId="0" fontId="93" fillId="42" borderId="37" applyNumberFormat="0" applyAlignment="0" applyProtection="0"/>
    <xf numFmtId="0" fontId="93" fillId="42" borderId="37" applyNumberFormat="0" applyAlignment="0" applyProtection="0"/>
    <xf numFmtId="0" fontId="93" fillId="42" borderId="37" applyNumberFormat="0" applyAlignment="0" applyProtection="0"/>
    <xf numFmtId="0" fontId="93" fillId="42" borderId="37" applyNumberFormat="0" applyAlignment="0" applyProtection="0"/>
    <xf numFmtId="0" fontId="93" fillId="42" borderId="37" applyNumberFormat="0" applyAlignment="0" applyProtection="0"/>
    <xf numFmtId="0" fontId="93" fillId="42" borderId="37" applyNumberFormat="0" applyAlignment="0" applyProtection="0"/>
    <xf numFmtId="0" fontId="93" fillId="42" borderId="37" applyNumberFormat="0" applyAlignment="0" applyProtection="0"/>
    <xf numFmtId="0" fontId="93" fillId="42" borderId="37" applyNumberFormat="0" applyAlignment="0" applyProtection="0"/>
    <xf numFmtId="0" fontId="93" fillId="42" borderId="37" applyNumberFormat="0" applyAlignment="0" applyProtection="0"/>
    <xf numFmtId="0" fontId="93" fillId="42" borderId="37" applyNumberFormat="0" applyAlignment="0" applyProtection="0"/>
    <xf numFmtId="0" fontId="93" fillId="42" borderId="37" applyNumberFormat="0" applyAlignment="0" applyProtection="0"/>
    <xf numFmtId="0" fontId="93" fillId="42" borderId="37" applyNumberFormat="0" applyAlignment="0" applyProtection="0"/>
    <xf numFmtId="0" fontId="93" fillId="42" borderId="37" applyNumberFormat="0" applyAlignment="0" applyProtection="0"/>
    <xf numFmtId="0" fontId="93" fillId="42" borderId="37" applyNumberFormat="0" applyAlignment="0" applyProtection="0"/>
    <xf numFmtId="0" fontId="93" fillId="42" borderId="37" applyNumberFormat="0" applyAlignment="0" applyProtection="0"/>
    <xf numFmtId="0" fontId="93" fillId="42" borderId="37" applyNumberFormat="0" applyAlignment="0" applyProtection="0"/>
    <xf numFmtId="0" fontId="93" fillId="42" borderId="37" applyNumberFormat="0" applyAlignment="0" applyProtection="0"/>
    <xf numFmtId="0" fontId="93" fillId="42" borderId="37" applyNumberFormat="0" applyAlignment="0" applyProtection="0"/>
    <xf numFmtId="0" fontId="93" fillId="42" borderId="37" applyNumberFormat="0" applyAlignment="0" applyProtection="0"/>
    <xf numFmtId="0" fontId="93" fillId="42" borderId="37" applyNumberFormat="0" applyAlignment="0" applyProtection="0"/>
    <xf numFmtId="0" fontId="93" fillId="42" borderId="37" applyNumberFormat="0" applyAlignment="0" applyProtection="0"/>
    <xf numFmtId="0" fontId="93" fillId="42" borderId="37" applyNumberFormat="0" applyAlignment="0" applyProtection="0"/>
    <xf numFmtId="0" fontId="93" fillId="42" borderId="37" applyNumberFormat="0" applyAlignment="0" applyProtection="0"/>
    <xf numFmtId="0" fontId="93" fillId="42" borderId="37" applyNumberFormat="0" applyAlignment="0" applyProtection="0"/>
    <xf numFmtId="0" fontId="93" fillId="42" borderId="37" applyNumberFormat="0" applyAlignment="0" applyProtection="0"/>
    <xf numFmtId="0" fontId="93" fillId="42" borderId="37" applyNumberFormat="0" applyAlignment="0" applyProtection="0"/>
    <xf numFmtId="0" fontId="93" fillId="42" borderId="37" applyNumberFormat="0" applyAlignment="0" applyProtection="0"/>
    <xf numFmtId="0" fontId="93" fillId="42" borderId="37" applyNumberFormat="0" applyAlignment="0" applyProtection="0"/>
    <xf numFmtId="0" fontId="93" fillId="42" borderId="37" applyNumberFormat="0" applyAlignment="0" applyProtection="0"/>
    <xf numFmtId="0" fontId="93" fillId="42" borderId="37" applyNumberFormat="0" applyAlignment="0" applyProtection="0"/>
    <xf numFmtId="0" fontId="93" fillId="42" borderId="37" applyNumberFormat="0" applyAlignment="0" applyProtection="0"/>
    <xf numFmtId="0" fontId="93" fillId="42" borderId="37" applyNumberFormat="0" applyAlignment="0" applyProtection="0"/>
    <xf numFmtId="0" fontId="93" fillId="42" borderId="37" applyNumberFormat="0" applyAlignment="0" applyProtection="0"/>
    <xf numFmtId="0" fontId="93" fillId="42" borderId="37" applyNumberFormat="0" applyAlignment="0" applyProtection="0"/>
    <xf numFmtId="0" fontId="93" fillId="42" borderId="37" applyNumberFormat="0" applyAlignment="0" applyProtection="0"/>
    <xf numFmtId="0" fontId="93" fillId="42" borderId="37" applyNumberFormat="0" applyAlignment="0" applyProtection="0"/>
    <xf numFmtId="0" fontId="93" fillId="42" borderId="37" applyNumberFormat="0" applyAlignment="0" applyProtection="0"/>
    <xf numFmtId="0" fontId="93" fillId="42" borderId="37" applyNumberFormat="0" applyAlignment="0" applyProtection="0"/>
    <xf numFmtId="0" fontId="93" fillId="42" borderId="37" applyNumberFormat="0" applyAlignment="0" applyProtection="0"/>
    <xf numFmtId="0" fontId="93" fillId="42" borderId="37" applyNumberFormat="0" applyAlignment="0" applyProtection="0"/>
    <xf numFmtId="0" fontId="93" fillId="42" borderId="37" applyNumberFormat="0" applyAlignment="0" applyProtection="0"/>
    <xf numFmtId="0" fontId="93" fillId="42" borderId="37" applyNumberFormat="0" applyAlignment="0" applyProtection="0"/>
    <xf numFmtId="0" fontId="93" fillId="42" borderId="37" applyNumberFormat="0" applyAlignment="0" applyProtection="0"/>
    <xf numFmtId="0" fontId="93" fillId="42" borderId="37" applyNumberFormat="0" applyAlignment="0" applyProtection="0"/>
    <xf numFmtId="0" fontId="93" fillId="42" borderId="37" applyNumberFormat="0" applyAlignment="0" applyProtection="0"/>
    <xf numFmtId="0" fontId="93" fillId="42" borderId="37" applyNumberFormat="0" applyAlignment="0" applyProtection="0"/>
    <xf numFmtId="0" fontId="93" fillId="41" borderId="37" applyNumberFormat="0" applyProtection="0"/>
    <xf numFmtId="0" fontId="93" fillId="41" borderId="37" applyNumberFormat="0" applyProtection="0"/>
    <xf numFmtId="0" fontId="93" fillId="41" borderId="37" applyNumberFormat="0" applyProtection="0"/>
    <xf numFmtId="0" fontId="93" fillId="41" borderId="37" applyNumberFormat="0" applyProtection="0"/>
    <xf numFmtId="0" fontId="93" fillId="41" borderId="37" applyNumberFormat="0" applyProtection="0"/>
    <xf numFmtId="0" fontId="93" fillId="41" borderId="37" applyNumberFormat="0" applyProtection="0"/>
    <xf numFmtId="0" fontId="93" fillId="41" borderId="37" applyNumberFormat="0" applyProtection="0"/>
    <xf numFmtId="0" fontId="93" fillId="41" borderId="37" applyNumberFormat="0" applyProtection="0"/>
    <xf numFmtId="0" fontId="93" fillId="41" borderId="37" applyNumberFormat="0" applyProtection="0"/>
    <xf numFmtId="0" fontId="93" fillId="41" borderId="37" applyNumberFormat="0" applyProtection="0"/>
    <xf numFmtId="0" fontId="93" fillId="41" borderId="37" applyNumberFormat="0" applyProtection="0"/>
    <xf numFmtId="0" fontId="93" fillId="41" borderId="37" applyNumberFormat="0" applyProtection="0"/>
    <xf numFmtId="0" fontId="93" fillId="41" borderId="37" applyNumberFormat="0" applyProtection="0"/>
    <xf numFmtId="0" fontId="93" fillId="41" borderId="37" applyNumberFormat="0" applyProtection="0"/>
    <xf numFmtId="0" fontId="93" fillId="41" borderId="37" applyNumberFormat="0" applyProtection="0"/>
    <xf numFmtId="0" fontId="93" fillId="41" borderId="37" applyNumberFormat="0" applyProtection="0"/>
    <xf numFmtId="0" fontId="93" fillId="41" borderId="37" applyNumberFormat="0" applyProtection="0"/>
    <xf numFmtId="0" fontId="93" fillId="41" borderId="37" applyNumberFormat="0" applyProtection="0"/>
    <xf numFmtId="0" fontId="93" fillId="41" borderId="37" applyNumberFormat="0" applyProtection="0"/>
    <xf numFmtId="0" fontId="93" fillId="41" borderId="37" applyNumberFormat="0" applyProtection="0"/>
    <xf numFmtId="0" fontId="93" fillId="41" borderId="37" applyNumberFormat="0" applyProtection="0"/>
    <xf numFmtId="0" fontId="93" fillId="41" borderId="37" applyNumberFormat="0" applyProtection="0"/>
    <xf numFmtId="0" fontId="93" fillId="41" borderId="37" applyNumberFormat="0" applyProtection="0"/>
    <xf numFmtId="0" fontId="93" fillId="41" borderId="37" applyNumberFormat="0" applyProtection="0"/>
    <xf numFmtId="0" fontId="93" fillId="41" borderId="37" applyNumberFormat="0" applyProtection="0"/>
    <xf numFmtId="0" fontId="93" fillId="41" borderId="37" applyNumberFormat="0" applyProtection="0"/>
    <xf numFmtId="0" fontId="93" fillId="41" borderId="37" applyNumberFormat="0" applyProtection="0"/>
    <xf numFmtId="0" fontId="93" fillId="41" borderId="37" applyNumberFormat="0" applyProtection="0"/>
    <xf numFmtId="0" fontId="93" fillId="41" borderId="37" applyNumberFormat="0" applyProtection="0"/>
    <xf numFmtId="0" fontId="93" fillId="41" borderId="37" applyNumberFormat="0" applyProtection="0"/>
    <xf numFmtId="0" fontId="93" fillId="41" borderId="37" applyNumberFormat="0" applyProtection="0"/>
    <xf numFmtId="0" fontId="93" fillId="41" borderId="37" applyNumberFormat="0" applyProtection="0"/>
    <xf numFmtId="0" fontId="93" fillId="42" borderId="37" applyNumberFormat="0" applyAlignment="0" applyProtection="0"/>
    <xf numFmtId="0" fontId="93" fillId="42" borderId="37" applyNumberFormat="0" applyAlignment="0" applyProtection="0"/>
    <xf numFmtId="0" fontId="93" fillId="42" borderId="37" applyNumberFormat="0" applyAlignment="0" applyProtection="0"/>
    <xf numFmtId="0" fontId="93" fillId="42" borderId="37" applyNumberFormat="0" applyAlignment="0" applyProtection="0"/>
    <xf numFmtId="0" fontId="93" fillId="42" borderId="37" applyNumberFormat="0" applyAlignment="0" applyProtection="0"/>
    <xf numFmtId="0" fontId="93" fillId="42" borderId="37" applyNumberFormat="0" applyAlignment="0" applyProtection="0"/>
    <xf numFmtId="0" fontId="93" fillId="42" borderId="37" applyNumberFormat="0" applyAlignment="0" applyProtection="0"/>
    <xf numFmtId="0" fontId="93" fillId="42" borderId="37" applyNumberFormat="0" applyAlignment="0" applyProtection="0"/>
    <xf numFmtId="0" fontId="93" fillId="42" borderId="37" applyNumberFormat="0" applyAlignment="0" applyProtection="0"/>
    <xf numFmtId="0" fontId="93" fillId="42" borderId="37" applyNumberFormat="0" applyAlignment="0" applyProtection="0"/>
    <xf numFmtId="0" fontId="93" fillId="42" borderId="37" applyNumberFormat="0" applyAlignment="0" applyProtection="0"/>
    <xf numFmtId="0" fontId="93" fillId="42" borderId="37" applyNumberFormat="0" applyAlignment="0" applyProtection="0"/>
    <xf numFmtId="0" fontId="93" fillId="42" borderId="37" applyNumberFormat="0" applyAlignment="0" applyProtection="0"/>
    <xf numFmtId="0" fontId="93" fillId="42" borderId="37" applyNumberFormat="0" applyAlignment="0" applyProtection="0"/>
    <xf numFmtId="0" fontId="93" fillId="42" borderId="37" applyNumberFormat="0" applyAlignment="0" applyProtection="0"/>
    <xf numFmtId="0" fontId="93" fillId="42" borderId="37" applyNumberFormat="0" applyAlignment="0" applyProtection="0"/>
    <xf numFmtId="0" fontId="93" fillId="42" borderId="37" applyNumberFormat="0" applyAlignment="0" applyProtection="0"/>
    <xf numFmtId="0" fontId="93" fillId="42" borderId="37" applyNumberFormat="0" applyAlignment="0" applyProtection="0"/>
    <xf numFmtId="0" fontId="93" fillId="42" borderId="37" applyNumberFormat="0" applyAlignment="0" applyProtection="0"/>
    <xf numFmtId="0" fontId="93" fillId="42" borderId="37" applyNumberFormat="0" applyAlignment="0" applyProtection="0"/>
    <xf numFmtId="0" fontId="93" fillId="42" borderId="37" applyNumberFormat="0" applyAlignment="0" applyProtection="0"/>
    <xf numFmtId="0" fontId="93" fillId="42" borderId="37" applyNumberFormat="0" applyAlignment="0" applyProtection="0"/>
    <xf numFmtId="0" fontId="93" fillId="42" borderId="37" applyNumberFormat="0" applyAlignment="0" applyProtection="0"/>
    <xf numFmtId="0" fontId="93" fillId="42" borderId="37" applyNumberFormat="0" applyAlignment="0" applyProtection="0"/>
    <xf numFmtId="0" fontId="93" fillId="42" borderId="37" applyNumberFormat="0" applyAlignment="0" applyProtection="0"/>
    <xf numFmtId="0" fontId="93" fillId="42" borderId="37" applyNumberFormat="0" applyAlignment="0" applyProtection="0"/>
    <xf numFmtId="0" fontId="93" fillId="42" borderId="37" applyNumberFormat="0" applyAlignment="0" applyProtection="0"/>
    <xf numFmtId="0" fontId="93" fillId="42" borderId="37" applyNumberFormat="0" applyAlignment="0" applyProtection="0"/>
    <xf numFmtId="0" fontId="93" fillId="42" borderId="37" applyNumberFormat="0" applyAlignment="0" applyProtection="0"/>
    <xf numFmtId="0" fontId="93" fillId="42" borderId="37" applyNumberFormat="0" applyAlignment="0" applyProtection="0"/>
    <xf numFmtId="0" fontId="93" fillId="42" borderId="37" applyNumberFormat="0" applyAlignment="0" applyProtection="0"/>
    <xf numFmtId="0" fontId="93" fillId="42" borderId="37" applyNumberFormat="0" applyAlignment="0" applyProtection="0"/>
    <xf numFmtId="0" fontId="93" fillId="42" borderId="37" applyNumberFormat="0" applyAlignment="0" applyProtection="0"/>
    <xf numFmtId="0" fontId="93" fillId="42" borderId="37" applyNumberFormat="0" applyAlignment="0" applyProtection="0"/>
    <xf numFmtId="0" fontId="93" fillId="42" borderId="37" applyNumberFormat="0" applyAlignment="0" applyProtection="0"/>
    <xf numFmtId="0" fontId="93" fillId="42" borderId="37" applyNumberFormat="0" applyAlignment="0" applyProtection="0"/>
    <xf numFmtId="0" fontId="93" fillId="42" borderId="37" applyNumberFormat="0" applyAlignment="0" applyProtection="0"/>
    <xf numFmtId="0" fontId="93" fillId="42" borderId="37" applyNumberFormat="0" applyAlignment="0" applyProtection="0"/>
    <xf numFmtId="0" fontId="93" fillId="42" borderId="37" applyNumberFormat="0" applyAlignment="0" applyProtection="0"/>
    <xf numFmtId="0" fontId="93" fillId="42" borderId="37" applyNumberFormat="0" applyAlignment="0" applyProtection="0"/>
    <xf numFmtId="0" fontId="93" fillId="42" borderId="37" applyNumberFormat="0" applyAlignment="0" applyProtection="0"/>
    <xf numFmtId="0" fontId="93" fillId="42" borderId="37" applyNumberFormat="0" applyAlignment="0" applyProtection="0"/>
    <xf numFmtId="0" fontId="93" fillId="42" borderId="37" applyNumberFormat="0" applyAlignment="0" applyProtection="0"/>
    <xf numFmtId="0" fontId="93" fillId="42" borderId="37" applyNumberFormat="0" applyAlignment="0" applyProtection="0"/>
    <xf numFmtId="0" fontId="93" fillId="42" borderId="37" applyNumberFormat="0" applyAlignment="0" applyProtection="0"/>
    <xf numFmtId="0" fontId="93" fillId="42" borderId="37" applyNumberFormat="0" applyAlignment="0" applyProtection="0"/>
    <xf numFmtId="0" fontId="93" fillId="42" borderId="37" applyNumberFormat="0" applyAlignment="0" applyProtection="0"/>
    <xf numFmtId="0" fontId="93" fillId="42" borderId="37" applyNumberFormat="0" applyAlignment="0" applyProtection="0"/>
    <xf numFmtId="0" fontId="93" fillId="42" borderId="37" applyNumberFormat="0" applyAlignment="0" applyProtection="0"/>
    <xf numFmtId="0" fontId="93" fillId="42" borderId="37" applyNumberFormat="0" applyAlignment="0" applyProtection="0"/>
    <xf numFmtId="0" fontId="93" fillId="42" borderId="37" applyNumberFormat="0" applyAlignment="0" applyProtection="0"/>
    <xf numFmtId="0" fontId="93" fillId="42" borderId="37" applyNumberFormat="0" applyAlignment="0" applyProtection="0"/>
    <xf numFmtId="0" fontId="93" fillId="42" borderId="37" applyNumberFormat="0" applyAlignment="0" applyProtection="0"/>
    <xf numFmtId="0" fontId="93" fillId="42" borderId="37" applyNumberFormat="0" applyAlignment="0" applyProtection="0"/>
    <xf numFmtId="0" fontId="93" fillId="42" borderId="37" applyNumberFormat="0" applyAlignment="0" applyProtection="0"/>
    <xf numFmtId="0" fontId="93" fillId="42" borderId="37" applyNumberFormat="0" applyAlignment="0" applyProtection="0"/>
    <xf numFmtId="0" fontId="93" fillId="42" borderId="37" applyNumberFormat="0" applyAlignment="0" applyProtection="0"/>
    <xf numFmtId="0" fontId="93" fillId="42" borderId="37" applyNumberFormat="0" applyAlignment="0" applyProtection="0"/>
    <xf numFmtId="0" fontId="93" fillId="42" borderId="37" applyNumberFormat="0" applyAlignment="0" applyProtection="0"/>
    <xf numFmtId="0" fontId="93" fillId="42" borderId="37" applyNumberFormat="0" applyAlignment="0" applyProtection="0"/>
    <xf numFmtId="0" fontId="93" fillId="42" borderId="37" applyNumberFormat="0" applyAlignment="0" applyProtection="0"/>
    <xf numFmtId="0" fontId="93" fillId="42" borderId="37" applyNumberFormat="0" applyAlignment="0" applyProtection="0"/>
    <xf numFmtId="0" fontId="93" fillId="41" borderId="37" applyNumberFormat="0" applyProtection="0"/>
    <xf numFmtId="0" fontId="93" fillId="41" borderId="37" applyNumberFormat="0" applyProtection="0"/>
    <xf numFmtId="0" fontId="93" fillId="41" borderId="37" applyNumberFormat="0" applyProtection="0"/>
    <xf numFmtId="0" fontId="93" fillId="41" borderId="37" applyNumberFormat="0" applyProtection="0"/>
    <xf numFmtId="0" fontId="93" fillId="41" borderId="37" applyNumberFormat="0" applyProtection="0"/>
    <xf numFmtId="0" fontId="93" fillId="41" borderId="37" applyNumberFormat="0" applyProtection="0"/>
    <xf numFmtId="0" fontId="93" fillId="41" borderId="37" applyNumberFormat="0" applyProtection="0"/>
    <xf numFmtId="0" fontId="93" fillId="41" borderId="37" applyNumberFormat="0" applyProtection="0"/>
    <xf numFmtId="0" fontId="93" fillId="41" borderId="37" applyNumberFormat="0" applyProtection="0"/>
    <xf numFmtId="0" fontId="93" fillId="41" borderId="37" applyNumberFormat="0" applyProtection="0"/>
    <xf numFmtId="0" fontId="93" fillId="41" borderId="37" applyNumberFormat="0" applyProtection="0"/>
    <xf numFmtId="0" fontId="93" fillId="41" borderId="37" applyNumberFormat="0" applyProtection="0"/>
    <xf numFmtId="0" fontId="93" fillId="41" borderId="37" applyNumberFormat="0" applyProtection="0"/>
    <xf numFmtId="0" fontId="93" fillId="41" borderId="37" applyNumberFormat="0" applyProtection="0"/>
    <xf numFmtId="0" fontId="93" fillId="41" borderId="37" applyNumberFormat="0" applyProtection="0"/>
    <xf numFmtId="0" fontId="93" fillId="41" borderId="37" applyNumberFormat="0" applyProtection="0"/>
    <xf numFmtId="0" fontId="93" fillId="41" borderId="37" applyNumberFormat="0" applyProtection="0"/>
    <xf numFmtId="0" fontId="93" fillId="41" borderId="37" applyNumberFormat="0" applyProtection="0"/>
    <xf numFmtId="0" fontId="93" fillId="41" borderId="37" applyNumberFormat="0" applyProtection="0"/>
    <xf numFmtId="0" fontId="93" fillId="41" borderId="37" applyNumberFormat="0" applyProtection="0"/>
    <xf numFmtId="0" fontId="93" fillId="41" borderId="37" applyNumberFormat="0" applyProtection="0"/>
    <xf numFmtId="0" fontId="93" fillId="41" borderId="37" applyNumberFormat="0" applyProtection="0"/>
    <xf numFmtId="0" fontId="93" fillId="41" borderId="37" applyNumberFormat="0" applyProtection="0"/>
    <xf numFmtId="0" fontId="93" fillId="41" borderId="37" applyNumberFormat="0" applyProtection="0"/>
    <xf numFmtId="0" fontId="93" fillId="41" borderId="37" applyNumberFormat="0" applyProtection="0"/>
    <xf numFmtId="0" fontId="93" fillId="41" borderId="37" applyNumberFormat="0" applyProtection="0"/>
    <xf numFmtId="0" fontId="93" fillId="41" borderId="37" applyNumberFormat="0" applyProtection="0"/>
    <xf numFmtId="0" fontId="97" fillId="127" borderId="38" applyNumberFormat="0" applyProtection="0"/>
    <xf numFmtId="0" fontId="97" fillId="127" borderId="38" applyNumberFormat="0" applyProtection="0"/>
    <xf numFmtId="0" fontId="97" fillId="127" borderId="38" applyNumberFormat="0" applyProtection="0"/>
    <xf numFmtId="0" fontId="97" fillId="127" borderId="38" applyNumberFormat="0" applyProtection="0"/>
    <xf numFmtId="0" fontId="97" fillId="127" borderId="38" applyNumberFormat="0" applyProtection="0"/>
    <xf numFmtId="0" fontId="97" fillId="127" borderId="38" applyNumberFormat="0" applyProtection="0"/>
    <xf numFmtId="0" fontId="98" fillId="128" borderId="38" applyNumberFormat="0" applyProtection="0"/>
    <xf numFmtId="0" fontId="98" fillId="128" borderId="38" applyNumberFormat="0" applyProtection="0"/>
    <xf numFmtId="0" fontId="98" fillId="128" borderId="38" applyNumberFormat="0" applyProtection="0"/>
    <xf numFmtId="0" fontId="98" fillId="128" borderId="38" applyNumberFormat="0" applyProtection="0"/>
    <xf numFmtId="0" fontId="98" fillId="128" borderId="38" applyNumberFormat="0" applyProtection="0"/>
    <xf numFmtId="0" fontId="99" fillId="128" borderId="38" applyNumberFormat="0" applyAlignment="0" applyProtection="0"/>
    <xf numFmtId="0" fontId="99" fillId="128" borderId="38" applyNumberFormat="0" applyAlignment="0" applyProtection="0"/>
    <xf numFmtId="0" fontId="99" fillId="128" borderId="38" applyNumberFormat="0" applyAlignment="0" applyProtection="0"/>
    <xf numFmtId="0" fontId="99" fillId="128" borderId="38" applyNumberFormat="0" applyAlignment="0" applyProtection="0"/>
    <xf numFmtId="0" fontId="99" fillId="128" borderId="38" applyNumberFormat="0" applyAlignment="0" applyProtection="0"/>
    <xf numFmtId="0" fontId="99" fillId="128" borderId="38" applyNumberFormat="0" applyAlignment="0" applyProtection="0"/>
    <xf numFmtId="0" fontId="99" fillId="128" borderId="38" applyNumberFormat="0" applyAlignment="0" applyProtection="0"/>
    <xf numFmtId="0" fontId="99" fillId="128" borderId="38" applyNumberFormat="0" applyAlignment="0" applyProtection="0"/>
    <xf numFmtId="0" fontId="99" fillId="128" borderId="38" applyNumberFormat="0" applyAlignment="0" applyProtection="0"/>
    <xf numFmtId="0" fontId="99" fillId="128" borderId="38" applyNumberFormat="0" applyAlignment="0" applyProtection="0"/>
    <xf numFmtId="0" fontId="99" fillId="128" borderId="38" applyNumberFormat="0" applyAlignment="0" applyProtection="0"/>
    <xf numFmtId="0" fontId="99" fillId="128" borderId="38" applyNumberFormat="0" applyAlignment="0" applyProtection="0"/>
    <xf numFmtId="0" fontId="99" fillId="128" borderId="38" applyNumberFormat="0" applyAlignment="0" applyProtection="0"/>
    <xf numFmtId="0" fontId="99" fillId="128" borderId="38" applyNumberFormat="0" applyAlignment="0" applyProtection="0"/>
    <xf numFmtId="0" fontId="99" fillId="128" borderId="38" applyNumberFormat="0" applyAlignment="0" applyProtection="0"/>
    <xf numFmtId="0" fontId="99" fillId="128" borderId="38" applyNumberFormat="0" applyAlignment="0" applyProtection="0"/>
    <xf numFmtId="0" fontId="99" fillId="128" borderId="38" applyNumberFormat="0" applyAlignment="0" applyProtection="0"/>
    <xf numFmtId="0" fontId="99" fillId="128" borderId="38" applyNumberFormat="0" applyAlignment="0" applyProtection="0"/>
    <xf numFmtId="0" fontId="99" fillId="128" borderId="38" applyNumberFormat="0" applyAlignment="0" applyProtection="0"/>
    <xf numFmtId="0" fontId="99" fillId="128" borderId="38" applyNumberFormat="0" applyAlignment="0" applyProtection="0"/>
    <xf numFmtId="0" fontId="99" fillId="128" borderId="38" applyNumberFormat="0" applyAlignment="0" applyProtection="0"/>
    <xf numFmtId="0" fontId="99" fillId="128" borderId="38" applyNumberFormat="0" applyAlignment="0" applyProtection="0"/>
    <xf numFmtId="0" fontId="99" fillId="128" borderId="38" applyNumberFormat="0" applyAlignment="0" applyProtection="0"/>
    <xf numFmtId="0" fontId="99" fillId="128" borderId="38" applyNumberFormat="0" applyAlignment="0" applyProtection="0"/>
    <xf numFmtId="0" fontId="99" fillId="128" borderId="38" applyNumberFormat="0" applyAlignment="0" applyProtection="0"/>
    <xf numFmtId="0" fontId="99" fillId="128" borderId="38" applyNumberFormat="0" applyAlignment="0" applyProtection="0"/>
    <xf numFmtId="0" fontId="99" fillId="128" borderId="38" applyNumberFormat="0" applyAlignment="0" applyProtection="0"/>
    <xf numFmtId="0" fontId="99" fillId="128" borderId="38" applyNumberFormat="0" applyAlignment="0" applyProtection="0"/>
    <xf numFmtId="0" fontId="99" fillId="128" borderId="38" applyNumberFormat="0" applyAlignment="0" applyProtection="0"/>
    <xf numFmtId="0" fontId="99" fillId="128" borderId="38" applyNumberFormat="0" applyAlignment="0" applyProtection="0"/>
    <xf numFmtId="0" fontId="99" fillId="128" borderId="38" applyNumberFormat="0" applyAlignment="0" applyProtection="0"/>
    <xf numFmtId="0" fontId="99" fillId="128" borderId="38" applyNumberFormat="0" applyAlignment="0" applyProtection="0"/>
    <xf numFmtId="0" fontId="99" fillId="128" borderId="38" applyNumberFormat="0" applyAlignment="0" applyProtection="0"/>
    <xf numFmtId="0" fontId="99" fillId="128" borderId="38" applyNumberFormat="0" applyAlignment="0" applyProtection="0"/>
    <xf numFmtId="0" fontId="99" fillId="128" borderId="38" applyNumberFormat="0" applyAlignment="0" applyProtection="0"/>
    <xf numFmtId="0" fontId="99" fillId="128" borderId="38" applyNumberFormat="0" applyAlignment="0" applyProtection="0"/>
    <xf numFmtId="0" fontId="99" fillId="128" borderId="38" applyNumberFormat="0" applyAlignment="0" applyProtection="0"/>
    <xf numFmtId="0" fontId="99" fillId="128" borderId="38" applyNumberFormat="0" applyAlignment="0" applyProtection="0"/>
    <xf numFmtId="0" fontId="99" fillId="128" borderId="38" applyNumberFormat="0" applyAlignment="0" applyProtection="0"/>
    <xf numFmtId="0" fontId="99" fillId="128" borderId="38" applyNumberFormat="0" applyAlignment="0" applyProtection="0"/>
    <xf numFmtId="0" fontId="99" fillId="128" borderId="38" applyNumberFormat="0" applyAlignment="0" applyProtection="0"/>
    <xf numFmtId="0" fontId="99" fillId="128" borderId="38" applyNumberFormat="0" applyAlignment="0" applyProtection="0"/>
    <xf numFmtId="0" fontId="98" fillId="128" borderId="38" applyNumberFormat="0" applyProtection="0"/>
    <xf numFmtId="0" fontId="98" fillId="128" borderId="38" applyNumberFormat="0" applyProtection="0"/>
    <xf numFmtId="0" fontId="98" fillId="128" borderId="38" applyNumberFormat="0" applyProtection="0"/>
    <xf numFmtId="0" fontId="98" fillId="128" borderId="38" applyNumberFormat="0" applyProtection="0"/>
    <xf numFmtId="0" fontId="98" fillId="128" borderId="38" applyNumberFormat="0" applyProtection="0"/>
    <xf numFmtId="0" fontId="98" fillId="128" borderId="38" applyNumberFormat="0" applyProtection="0"/>
    <xf numFmtId="0" fontId="98" fillId="128" borderId="38" applyNumberFormat="0" applyProtection="0"/>
    <xf numFmtId="0" fontId="98" fillId="128" borderId="38" applyNumberFormat="0" applyProtection="0"/>
    <xf numFmtId="0" fontId="98" fillId="128" borderId="38" applyNumberFormat="0" applyProtection="0"/>
    <xf numFmtId="0" fontId="98" fillId="128" borderId="38" applyNumberFormat="0" applyProtection="0"/>
    <xf numFmtId="0" fontId="98" fillId="128" borderId="38" applyNumberFormat="0" applyProtection="0"/>
    <xf numFmtId="0" fontId="98" fillId="128" borderId="38" applyNumberFormat="0" applyProtection="0"/>
    <xf numFmtId="0" fontId="98" fillId="128" borderId="38" applyNumberFormat="0" applyProtection="0"/>
    <xf numFmtId="0" fontId="98" fillId="128" borderId="38" applyNumberFormat="0" applyProtection="0"/>
    <xf numFmtId="0" fontId="98" fillId="128" borderId="38" applyNumberFormat="0" applyProtection="0"/>
    <xf numFmtId="0" fontId="98" fillId="128" borderId="38" applyNumberFormat="0" applyProtection="0"/>
    <xf numFmtId="0" fontId="98" fillId="128" borderId="38" applyNumberFormat="0" applyProtection="0"/>
    <xf numFmtId="0" fontId="98" fillId="128" borderId="38" applyNumberFormat="0" applyProtection="0"/>
    <xf numFmtId="0" fontId="98" fillId="128" borderId="38" applyNumberFormat="0" applyProtection="0"/>
    <xf numFmtId="0" fontId="98" fillId="128" borderId="38" applyNumberFormat="0" applyProtection="0"/>
    <xf numFmtId="0" fontId="98" fillId="128" borderId="38" applyNumberFormat="0" applyProtection="0"/>
    <xf numFmtId="0" fontId="98" fillId="128" borderId="38" applyNumberFormat="0" applyProtection="0"/>
    <xf numFmtId="0" fontId="98" fillId="128" borderId="38" applyNumberFormat="0" applyProtection="0"/>
    <xf numFmtId="0" fontId="98" fillId="128" borderId="38" applyNumberFormat="0" applyProtection="0"/>
    <xf numFmtId="0" fontId="98" fillId="128" borderId="38" applyNumberFormat="0" applyProtection="0"/>
    <xf numFmtId="0" fontId="98" fillId="128" borderId="38" applyNumberFormat="0" applyProtection="0"/>
    <xf numFmtId="0" fontId="98" fillId="128" borderId="38" applyNumberFormat="0" applyProtection="0"/>
    <xf numFmtId="0" fontId="97" fillId="129" borderId="38" applyNumberFormat="0" applyAlignment="0" applyProtection="0"/>
    <xf numFmtId="0" fontId="97" fillId="129" borderId="38" applyNumberFormat="0" applyAlignment="0" applyProtection="0"/>
    <xf numFmtId="0" fontId="97" fillId="129" borderId="38" applyNumberFormat="0" applyAlignment="0" applyProtection="0"/>
    <xf numFmtId="0" fontId="97" fillId="129" borderId="38" applyNumberFormat="0" applyAlignment="0" applyProtection="0"/>
    <xf numFmtId="0" fontId="97" fillId="129" borderId="38" applyNumberFormat="0" applyAlignment="0" applyProtection="0"/>
    <xf numFmtId="0" fontId="97" fillId="129" borderId="38" applyNumberFormat="0" applyAlignment="0" applyProtection="0"/>
    <xf numFmtId="0" fontId="97" fillId="129" borderId="38" applyNumberFormat="0" applyAlignment="0" applyProtection="0"/>
    <xf numFmtId="0" fontId="97" fillId="129" borderId="38" applyNumberFormat="0" applyAlignment="0" applyProtection="0"/>
    <xf numFmtId="0" fontId="97" fillId="129" borderId="38" applyNumberFormat="0" applyAlignment="0" applyProtection="0"/>
    <xf numFmtId="0" fontId="97" fillId="129" borderId="38" applyNumberFormat="0" applyAlignment="0" applyProtection="0"/>
    <xf numFmtId="0" fontId="97" fillId="129" borderId="38" applyNumberFormat="0" applyAlignment="0" applyProtection="0"/>
    <xf numFmtId="0" fontId="97" fillId="129" borderId="38" applyNumberFormat="0" applyAlignment="0" applyProtection="0"/>
    <xf numFmtId="0" fontId="97" fillId="129" borderId="38" applyNumberFormat="0" applyAlignment="0" applyProtection="0"/>
    <xf numFmtId="0" fontId="97" fillId="129" borderId="38" applyNumberFormat="0" applyAlignment="0" applyProtection="0"/>
    <xf numFmtId="0" fontId="97" fillId="129" borderId="38" applyNumberFormat="0" applyAlignment="0" applyProtection="0"/>
    <xf numFmtId="0" fontId="97" fillId="129" borderId="38" applyNumberFormat="0" applyAlignment="0" applyProtection="0"/>
    <xf numFmtId="0" fontId="97" fillId="129" borderId="38" applyNumberFormat="0" applyAlignment="0" applyProtection="0"/>
    <xf numFmtId="0" fontId="97" fillId="129" borderId="38" applyNumberFormat="0" applyAlignment="0" applyProtection="0"/>
    <xf numFmtId="0" fontId="97" fillId="129" borderId="38" applyNumberFormat="0" applyAlignment="0" applyProtection="0"/>
    <xf numFmtId="0" fontId="97" fillId="129" borderId="38" applyNumberFormat="0" applyAlignment="0" applyProtection="0"/>
    <xf numFmtId="0" fontId="97" fillId="129" borderId="38" applyNumberFormat="0" applyAlignment="0" applyProtection="0"/>
    <xf numFmtId="0" fontId="97" fillId="129" borderId="38" applyNumberFormat="0" applyAlignment="0" applyProtection="0"/>
    <xf numFmtId="0" fontId="97" fillId="129" borderId="38" applyNumberFormat="0" applyAlignment="0" applyProtection="0"/>
    <xf numFmtId="0" fontId="97" fillId="129" borderId="38" applyNumberFormat="0" applyAlignment="0" applyProtection="0"/>
    <xf numFmtId="0" fontId="97" fillId="129" borderId="38" applyNumberFormat="0" applyAlignment="0" applyProtection="0"/>
    <xf numFmtId="0" fontId="97" fillId="129" borderId="38" applyNumberFormat="0" applyAlignment="0" applyProtection="0"/>
    <xf numFmtId="0" fontId="97" fillId="129" borderId="38" applyNumberFormat="0" applyAlignment="0" applyProtection="0"/>
    <xf numFmtId="0" fontId="97" fillId="129" borderId="38" applyNumberFormat="0" applyAlignment="0" applyProtection="0"/>
    <xf numFmtId="0" fontId="97" fillId="129" borderId="38" applyNumberFormat="0" applyAlignment="0" applyProtection="0"/>
    <xf numFmtId="0" fontId="97" fillId="129" borderId="38" applyNumberFormat="0" applyAlignment="0" applyProtection="0"/>
    <xf numFmtId="0" fontId="97" fillId="129" borderId="38" applyNumberFormat="0" applyAlignment="0" applyProtection="0"/>
    <xf numFmtId="0" fontId="97" fillId="129" borderId="38" applyNumberFormat="0" applyAlignment="0" applyProtection="0"/>
    <xf numFmtId="0" fontId="97" fillId="129" borderId="38" applyNumberFormat="0" applyAlignment="0" applyProtection="0"/>
    <xf numFmtId="0" fontId="97" fillId="129" borderId="38" applyNumberFormat="0" applyAlignment="0" applyProtection="0"/>
    <xf numFmtId="0" fontId="97" fillId="129" borderId="38" applyNumberFormat="0" applyAlignment="0" applyProtection="0"/>
    <xf numFmtId="0" fontId="97" fillId="129" borderId="38" applyNumberFormat="0" applyAlignment="0" applyProtection="0"/>
    <xf numFmtId="0" fontId="97" fillId="129" borderId="38" applyNumberFormat="0" applyAlignment="0" applyProtection="0"/>
    <xf numFmtId="0" fontId="97" fillId="129" borderId="38" applyNumberFormat="0" applyAlignment="0" applyProtection="0"/>
    <xf numFmtId="0" fontId="97" fillId="129" borderId="38" applyNumberFormat="0" applyAlignment="0" applyProtection="0"/>
    <xf numFmtId="0" fontId="97" fillId="129" borderId="38" applyNumberFormat="0" applyAlignment="0" applyProtection="0"/>
    <xf numFmtId="0" fontId="97" fillId="129" borderId="38" applyNumberFormat="0" applyAlignment="0" applyProtection="0"/>
    <xf numFmtId="0" fontId="97" fillId="129" borderId="38" applyNumberFormat="0" applyAlignment="0" applyProtection="0"/>
    <xf numFmtId="0" fontId="97" fillId="129" borderId="38" applyNumberFormat="0" applyAlignment="0" applyProtection="0"/>
    <xf numFmtId="0" fontId="97" fillId="129" borderId="38" applyNumberFormat="0" applyAlignment="0" applyProtection="0"/>
    <xf numFmtId="0" fontId="97" fillId="129" borderId="38" applyNumberFormat="0" applyAlignment="0" applyProtection="0"/>
    <xf numFmtId="0" fontId="97" fillId="129" borderId="38" applyNumberFormat="0" applyAlignment="0" applyProtection="0"/>
    <xf numFmtId="0" fontId="97" fillId="129" borderId="38" applyNumberFormat="0" applyAlignment="0" applyProtection="0"/>
    <xf numFmtId="0" fontId="97" fillId="129" borderId="38" applyNumberFormat="0" applyAlignment="0" applyProtection="0"/>
    <xf numFmtId="0" fontId="97" fillId="129" borderId="38" applyNumberFormat="0" applyAlignment="0" applyProtection="0"/>
    <xf numFmtId="0" fontId="97" fillId="129" borderId="38" applyNumberFormat="0" applyAlignment="0" applyProtection="0"/>
    <xf numFmtId="0" fontId="97" fillId="129" borderId="38" applyNumberFormat="0" applyAlignment="0" applyProtection="0"/>
    <xf numFmtId="0" fontId="97" fillId="129" borderId="38" applyNumberFormat="0" applyAlignment="0" applyProtection="0"/>
    <xf numFmtId="0" fontId="97" fillId="129" borderId="38" applyNumberFormat="0" applyAlignment="0" applyProtection="0"/>
    <xf numFmtId="0" fontId="97" fillId="129" borderId="38" applyNumberFormat="0" applyAlignment="0" applyProtection="0"/>
    <xf numFmtId="0" fontId="97" fillId="129" borderId="38" applyNumberFormat="0" applyAlignment="0" applyProtection="0"/>
    <xf numFmtId="0" fontId="97" fillId="129" borderId="38" applyNumberFormat="0" applyAlignment="0" applyProtection="0"/>
    <xf numFmtId="0" fontId="97" fillId="129" borderId="38" applyNumberFormat="0" applyAlignment="0" applyProtection="0"/>
    <xf numFmtId="0" fontId="97" fillId="129" borderId="38" applyNumberFormat="0" applyAlignment="0" applyProtection="0"/>
    <xf numFmtId="0" fontId="97" fillId="129" borderId="38" applyNumberFormat="0" applyAlignment="0" applyProtection="0"/>
    <xf numFmtId="0" fontId="97" fillId="129" borderId="38" applyNumberFormat="0" applyAlignment="0" applyProtection="0"/>
    <xf numFmtId="0" fontId="97" fillId="129" borderId="38" applyNumberFormat="0" applyAlignment="0" applyProtection="0"/>
    <xf numFmtId="0" fontId="97" fillId="129" borderId="38" applyNumberFormat="0" applyAlignment="0" applyProtection="0"/>
    <xf numFmtId="0" fontId="97" fillId="127" borderId="38" applyNumberFormat="0" applyProtection="0"/>
    <xf numFmtId="0" fontId="97" fillId="127" borderId="38" applyNumberFormat="0" applyProtection="0"/>
    <xf numFmtId="0" fontId="97" fillId="127" borderId="38" applyNumberFormat="0" applyProtection="0"/>
    <xf numFmtId="0" fontId="97" fillId="127" borderId="38" applyNumberFormat="0" applyProtection="0"/>
    <xf numFmtId="0" fontId="97" fillId="127" borderId="38" applyNumberFormat="0" applyProtection="0"/>
    <xf numFmtId="0" fontId="97" fillId="127" borderId="38" applyNumberFormat="0" applyProtection="0"/>
    <xf numFmtId="0" fontId="97" fillId="127" borderId="38" applyNumberFormat="0" applyProtection="0"/>
    <xf numFmtId="0" fontId="97" fillId="127" borderId="38" applyNumberFormat="0" applyProtection="0"/>
    <xf numFmtId="0" fontId="97" fillId="127" borderId="38" applyNumberFormat="0" applyProtection="0"/>
    <xf numFmtId="0" fontId="97" fillId="127" borderId="38" applyNumberFormat="0" applyProtection="0"/>
    <xf numFmtId="0" fontId="97" fillId="127" borderId="38" applyNumberFormat="0" applyProtection="0"/>
    <xf numFmtId="0" fontId="97" fillId="127" borderId="38" applyNumberFormat="0" applyProtection="0"/>
    <xf numFmtId="0" fontId="97" fillId="127" borderId="38" applyNumberFormat="0" applyProtection="0"/>
    <xf numFmtId="0" fontId="97" fillId="127" borderId="38" applyNumberFormat="0" applyProtection="0"/>
    <xf numFmtId="0" fontId="97" fillId="127" borderId="38" applyNumberFormat="0" applyProtection="0"/>
    <xf numFmtId="0" fontId="97" fillId="127" borderId="38" applyNumberFormat="0" applyProtection="0"/>
    <xf numFmtId="0" fontId="97" fillId="127" borderId="38" applyNumberFormat="0" applyProtection="0"/>
    <xf numFmtId="0" fontId="97" fillId="127" borderId="38" applyNumberFormat="0" applyProtection="0"/>
    <xf numFmtId="0" fontId="97" fillId="127" borderId="38" applyNumberFormat="0" applyProtection="0"/>
    <xf numFmtId="0" fontId="97" fillId="127" borderId="38" applyNumberFormat="0" applyProtection="0"/>
    <xf numFmtId="0" fontId="97" fillId="127" borderId="38" applyNumberFormat="0" applyProtection="0"/>
    <xf numFmtId="0" fontId="97" fillId="127" borderId="38" applyNumberFormat="0" applyProtection="0"/>
    <xf numFmtId="0" fontId="97" fillId="127" borderId="38" applyNumberFormat="0" applyProtection="0"/>
    <xf numFmtId="0" fontId="97" fillId="127" borderId="38" applyNumberFormat="0" applyProtection="0"/>
    <xf numFmtId="0" fontId="97" fillId="127" borderId="38" applyNumberFormat="0" applyProtection="0"/>
    <xf numFmtId="0" fontId="97" fillId="127" borderId="38" applyNumberFormat="0" applyProtection="0"/>
    <xf numFmtId="0" fontId="97" fillId="127" borderId="38" applyNumberFormat="0" applyProtection="0"/>
    <xf numFmtId="0" fontId="97" fillId="127" borderId="38" applyNumberFormat="0" applyProtection="0"/>
    <xf numFmtId="0" fontId="97" fillId="127" borderId="38" applyNumberFormat="0" applyProtection="0"/>
    <xf numFmtId="0" fontId="97" fillId="127" borderId="38" applyNumberFormat="0" applyProtection="0"/>
    <xf numFmtId="0" fontId="97" fillId="127" borderId="38" applyNumberFormat="0" applyProtection="0"/>
    <xf numFmtId="0" fontId="97" fillId="129" borderId="38" applyNumberFormat="0" applyAlignment="0" applyProtection="0"/>
    <xf numFmtId="0" fontId="97" fillId="129" borderId="38" applyNumberFormat="0" applyAlignment="0" applyProtection="0"/>
    <xf numFmtId="0" fontId="97" fillId="129" borderId="38" applyNumberFormat="0" applyAlignment="0" applyProtection="0"/>
    <xf numFmtId="0" fontId="97" fillId="129" borderId="38" applyNumberFormat="0" applyAlignment="0" applyProtection="0"/>
    <xf numFmtId="0" fontId="97" fillId="129" borderId="38" applyNumberFormat="0" applyAlignment="0" applyProtection="0"/>
    <xf numFmtId="0" fontId="97" fillId="129" borderId="38" applyNumberFormat="0" applyAlignment="0" applyProtection="0"/>
    <xf numFmtId="0" fontId="97" fillId="129" borderId="38" applyNumberFormat="0" applyAlignment="0" applyProtection="0"/>
    <xf numFmtId="0" fontId="97" fillId="129" borderId="38" applyNumberFormat="0" applyAlignment="0" applyProtection="0"/>
    <xf numFmtId="0" fontId="97" fillId="129" borderId="38" applyNumberFormat="0" applyAlignment="0" applyProtection="0"/>
    <xf numFmtId="0" fontId="97" fillId="129" borderId="38" applyNumberFormat="0" applyAlignment="0" applyProtection="0"/>
    <xf numFmtId="0" fontId="97" fillId="129" borderId="38" applyNumberFormat="0" applyAlignment="0" applyProtection="0"/>
    <xf numFmtId="0" fontId="97" fillId="129" borderId="38" applyNumberFormat="0" applyAlignment="0" applyProtection="0"/>
    <xf numFmtId="0" fontId="97" fillId="129" borderId="38" applyNumberFormat="0" applyAlignment="0" applyProtection="0"/>
    <xf numFmtId="0" fontId="97" fillId="129" borderId="38" applyNumberFormat="0" applyAlignment="0" applyProtection="0"/>
    <xf numFmtId="0" fontId="97" fillId="129" borderId="38" applyNumberFormat="0" applyAlignment="0" applyProtection="0"/>
    <xf numFmtId="0" fontId="97" fillId="129" borderId="38" applyNumberFormat="0" applyAlignment="0" applyProtection="0"/>
    <xf numFmtId="0" fontId="97" fillId="129" borderId="38" applyNumberFormat="0" applyAlignment="0" applyProtection="0"/>
    <xf numFmtId="0" fontId="97" fillId="129" borderId="38" applyNumberFormat="0" applyAlignment="0" applyProtection="0"/>
    <xf numFmtId="0" fontId="97" fillId="129" borderId="38" applyNumberFormat="0" applyAlignment="0" applyProtection="0"/>
    <xf numFmtId="0" fontId="97" fillId="129" borderId="38" applyNumberFormat="0" applyAlignment="0" applyProtection="0"/>
    <xf numFmtId="0" fontId="97" fillId="129" borderId="38" applyNumberFormat="0" applyAlignment="0" applyProtection="0"/>
    <xf numFmtId="0" fontId="97" fillId="129" borderId="38" applyNumberFormat="0" applyAlignment="0" applyProtection="0"/>
    <xf numFmtId="0" fontId="97" fillId="129" borderId="38" applyNumberFormat="0" applyAlignment="0" applyProtection="0"/>
    <xf numFmtId="0" fontId="97" fillId="129" borderId="38" applyNumberFormat="0" applyAlignment="0" applyProtection="0"/>
    <xf numFmtId="0" fontId="97" fillId="129" borderId="38" applyNumberFormat="0" applyAlignment="0" applyProtection="0"/>
    <xf numFmtId="0" fontId="97" fillId="129" borderId="38" applyNumberFormat="0" applyAlignment="0" applyProtection="0"/>
    <xf numFmtId="0" fontId="97" fillId="129" borderId="38" applyNumberFormat="0" applyAlignment="0" applyProtection="0"/>
    <xf numFmtId="0" fontId="97" fillId="129" borderId="38" applyNumberFormat="0" applyAlignment="0" applyProtection="0"/>
    <xf numFmtId="0" fontId="97" fillId="129" borderId="38" applyNumberFormat="0" applyAlignment="0" applyProtection="0"/>
    <xf numFmtId="0" fontId="97" fillId="129" borderId="38" applyNumberFormat="0" applyAlignment="0" applyProtection="0"/>
    <xf numFmtId="0" fontId="97" fillId="129" borderId="38" applyNumberFormat="0" applyAlignment="0" applyProtection="0"/>
    <xf numFmtId="0" fontId="97" fillId="129" borderId="38" applyNumberFormat="0" applyAlignment="0" applyProtection="0"/>
    <xf numFmtId="0" fontId="97" fillId="129" borderId="38" applyNumberFormat="0" applyAlignment="0" applyProtection="0"/>
    <xf numFmtId="0" fontId="97" fillId="129" borderId="38" applyNumberFormat="0" applyAlignment="0" applyProtection="0"/>
    <xf numFmtId="0" fontId="97" fillId="129" borderId="38" applyNumberFormat="0" applyAlignment="0" applyProtection="0"/>
    <xf numFmtId="0" fontId="97" fillId="129" borderId="38" applyNumberFormat="0" applyAlignment="0" applyProtection="0"/>
    <xf numFmtId="0" fontId="97" fillId="129" borderId="38" applyNumberFormat="0" applyAlignment="0" applyProtection="0"/>
    <xf numFmtId="0" fontId="97" fillId="129" borderId="38" applyNumberFormat="0" applyAlignment="0" applyProtection="0"/>
    <xf numFmtId="0" fontId="97" fillId="129" borderId="38" applyNumberFormat="0" applyAlignment="0" applyProtection="0"/>
    <xf numFmtId="0" fontId="97" fillId="129" borderId="38" applyNumberFormat="0" applyAlignment="0" applyProtection="0"/>
    <xf numFmtId="0" fontId="97" fillId="129" borderId="38" applyNumberFormat="0" applyAlignment="0" applyProtection="0"/>
    <xf numFmtId="0" fontId="97" fillId="129" borderId="38" applyNumberFormat="0" applyAlignment="0" applyProtection="0"/>
    <xf numFmtId="0" fontId="97" fillId="129" borderId="38" applyNumberFormat="0" applyAlignment="0" applyProtection="0"/>
    <xf numFmtId="0" fontId="97" fillId="129" borderId="38" applyNumberFormat="0" applyAlignment="0" applyProtection="0"/>
    <xf numFmtId="0" fontId="97" fillId="129" borderId="38" applyNumberFormat="0" applyAlignment="0" applyProtection="0"/>
    <xf numFmtId="0" fontId="97" fillId="129" borderId="38" applyNumberFormat="0" applyAlignment="0" applyProtection="0"/>
    <xf numFmtId="0" fontId="97" fillId="129" borderId="38" applyNumberFormat="0" applyAlignment="0" applyProtection="0"/>
    <xf numFmtId="0" fontId="97" fillId="129" borderId="38" applyNumberFormat="0" applyAlignment="0" applyProtection="0"/>
    <xf numFmtId="0" fontId="97" fillId="129" borderId="38" applyNumberFormat="0" applyAlignment="0" applyProtection="0"/>
    <xf numFmtId="0" fontId="97" fillId="129" borderId="38" applyNumberFormat="0" applyAlignment="0" applyProtection="0"/>
    <xf numFmtId="0" fontId="97" fillId="129" borderId="38" applyNumberFormat="0" applyAlignment="0" applyProtection="0"/>
    <xf numFmtId="0" fontId="97" fillId="129" borderId="38" applyNumberFormat="0" applyAlignment="0" applyProtection="0"/>
    <xf numFmtId="0" fontId="97" fillId="129" borderId="38" applyNumberFormat="0" applyAlignment="0" applyProtection="0"/>
    <xf numFmtId="0" fontId="97" fillId="129" borderId="38" applyNumberFormat="0" applyAlignment="0" applyProtection="0"/>
    <xf numFmtId="0" fontId="97" fillId="129" borderId="38" applyNumberFormat="0" applyAlignment="0" applyProtection="0"/>
    <xf numFmtId="0" fontId="97" fillId="129" borderId="38" applyNumberFormat="0" applyAlignment="0" applyProtection="0"/>
    <xf numFmtId="0" fontId="97" fillId="129" borderId="38" applyNumberFormat="0" applyAlignment="0" applyProtection="0"/>
    <xf numFmtId="0" fontId="97" fillId="129" borderId="38" applyNumberFormat="0" applyAlignment="0" applyProtection="0"/>
    <xf numFmtId="0" fontId="97" fillId="129" borderId="38" applyNumberFormat="0" applyAlignment="0" applyProtection="0"/>
    <xf numFmtId="0" fontId="97" fillId="129" borderId="38" applyNumberFormat="0" applyAlignment="0" applyProtection="0"/>
    <xf numFmtId="0" fontId="97" fillId="129" borderId="38" applyNumberFormat="0" applyAlignment="0" applyProtection="0"/>
    <xf numFmtId="0" fontId="97" fillId="129" borderId="38" applyNumberFormat="0" applyAlignment="0" applyProtection="0"/>
    <xf numFmtId="0" fontId="97" fillId="127" borderId="38" applyNumberFormat="0" applyProtection="0"/>
    <xf numFmtId="0" fontId="97" fillId="127" borderId="38" applyNumberFormat="0" applyProtection="0"/>
    <xf numFmtId="0" fontId="97" fillId="127" borderId="38" applyNumberFormat="0" applyProtection="0"/>
    <xf numFmtId="0" fontId="97" fillId="127" borderId="38" applyNumberFormat="0" applyProtection="0"/>
    <xf numFmtId="0" fontId="97" fillId="127" borderId="38" applyNumberFormat="0" applyProtection="0"/>
    <xf numFmtId="0" fontId="97" fillId="127" borderId="38" applyNumberFormat="0" applyProtection="0"/>
    <xf numFmtId="0" fontId="97" fillId="127" borderId="38" applyNumberFormat="0" applyProtection="0"/>
    <xf numFmtId="0" fontId="97" fillId="127" borderId="38" applyNumberFormat="0" applyProtection="0"/>
    <xf numFmtId="0" fontId="97" fillId="127" borderId="38" applyNumberFormat="0" applyProtection="0"/>
    <xf numFmtId="0" fontId="97" fillId="127" borderId="38" applyNumberFormat="0" applyProtection="0"/>
    <xf numFmtId="0" fontId="97" fillId="127" borderId="38" applyNumberFormat="0" applyProtection="0"/>
    <xf numFmtId="0" fontId="97" fillId="127" borderId="38" applyNumberFormat="0" applyProtection="0"/>
    <xf numFmtId="0" fontId="97" fillId="127" borderId="38" applyNumberFormat="0" applyProtection="0"/>
    <xf numFmtId="0" fontId="97" fillId="127" borderId="38" applyNumberFormat="0" applyProtection="0"/>
    <xf numFmtId="0" fontId="97" fillId="127" borderId="38" applyNumberFormat="0" applyProtection="0"/>
    <xf numFmtId="0" fontId="97" fillId="127" borderId="38" applyNumberFormat="0" applyProtection="0"/>
    <xf numFmtId="0" fontId="97" fillId="127" borderId="38" applyNumberFormat="0" applyProtection="0"/>
    <xf numFmtId="0" fontId="97" fillId="127" borderId="38" applyNumberFormat="0" applyProtection="0"/>
    <xf numFmtId="0" fontId="97" fillId="127" borderId="38" applyNumberFormat="0" applyProtection="0"/>
    <xf numFmtId="0" fontId="97" fillId="127" borderId="38" applyNumberFormat="0" applyProtection="0"/>
    <xf numFmtId="0" fontId="97" fillId="127" borderId="38" applyNumberFormat="0" applyProtection="0"/>
    <xf numFmtId="0" fontId="97" fillId="127" borderId="38" applyNumberFormat="0" applyProtection="0"/>
    <xf numFmtId="0" fontId="97" fillId="127" borderId="38" applyNumberFormat="0" applyProtection="0"/>
    <xf numFmtId="0" fontId="97" fillId="127" borderId="38" applyNumberFormat="0" applyProtection="0"/>
    <xf numFmtId="0" fontId="97" fillId="127" borderId="38" applyNumberFormat="0" applyProtection="0"/>
    <xf numFmtId="0" fontId="97" fillId="127" borderId="38" applyNumberFormat="0" applyProtection="0"/>
    <xf numFmtId="0" fontId="97" fillId="127" borderId="38" applyNumberFormat="0" applyProtection="0"/>
    <xf numFmtId="0" fontId="97" fillId="127" borderId="38" applyNumberFormat="0" applyProtection="0"/>
    <xf numFmtId="0" fontId="97" fillId="127" borderId="38" applyNumberFormat="0" applyProtection="0"/>
    <xf numFmtId="0" fontId="97" fillId="127" borderId="38" applyNumberFormat="0" applyProtection="0"/>
    <xf numFmtId="0" fontId="97" fillId="127" borderId="38" applyNumberFormat="0" applyProtection="0"/>
    <xf numFmtId="0" fontId="97" fillId="127" borderId="38" applyNumberFormat="0" applyProtection="0"/>
    <xf numFmtId="0" fontId="97" fillId="129" borderId="38" applyNumberFormat="0" applyAlignment="0" applyProtection="0"/>
    <xf numFmtId="0" fontId="97" fillId="129" borderId="38" applyNumberFormat="0" applyAlignment="0" applyProtection="0"/>
    <xf numFmtId="0" fontId="97" fillId="129" borderId="38" applyNumberFormat="0" applyAlignment="0" applyProtection="0"/>
    <xf numFmtId="0" fontId="97" fillId="129" borderId="38" applyNumberFormat="0" applyAlignment="0" applyProtection="0"/>
    <xf numFmtId="0" fontId="97" fillId="129" borderId="38" applyNumberFormat="0" applyAlignment="0" applyProtection="0"/>
    <xf numFmtId="0" fontId="97" fillId="129" borderId="38" applyNumberFormat="0" applyAlignment="0" applyProtection="0"/>
    <xf numFmtId="0" fontId="97" fillId="129" borderId="38" applyNumberFormat="0" applyAlignment="0" applyProtection="0"/>
    <xf numFmtId="0" fontId="97" fillId="129" borderId="38" applyNumberFormat="0" applyAlignment="0" applyProtection="0"/>
    <xf numFmtId="0" fontId="97" fillId="129" borderId="38" applyNumberFormat="0" applyAlignment="0" applyProtection="0"/>
    <xf numFmtId="0" fontId="97" fillId="129" borderId="38" applyNumberFormat="0" applyAlignment="0" applyProtection="0"/>
    <xf numFmtId="0" fontId="97" fillId="129" borderId="38" applyNumberFormat="0" applyAlignment="0" applyProtection="0"/>
    <xf numFmtId="0" fontId="97" fillId="129" borderId="38" applyNumberFormat="0" applyAlignment="0" applyProtection="0"/>
    <xf numFmtId="0" fontId="97" fillId="129" borderId="38" applyNumberFormat="0" applyAlignment="0" applyProtection="0"/>
    <xf numFmtId="0" fontId="97" fillId="129" borderId="38" applyNumberFormat="0" applyAlignment="0" applyProtection="0"/>
    <xf numFmtId="0" fontId="97" fillId="129" borderId="38" applyNumberFormat="0" applyAlignment="0" applyProtection="0"/>
    <xf numFmtId="0" fontId="97" fillId="129" borderId="38" applyNumberFormat="0" applyAlignment="0" applyProtection="0"/>
    <xf numFmtId="0" fontId="97" fillId="129" borderId="38" applyNumberFormat="0" applyAlignment="0" applyProtection="0"/>
    <xf numFmtId="0" fontId="97" fillId="129" borderId="38" applyNumberFormat="0" applyAlignment="0" applyProtection="0"/>
    <xf numFmtId="0" fontId="97" fillId="129" borderId="38" applyNumberFormat="0" applyAlignment="0" applyProtection="0"/>
    <xf numFmtId="0" fontId="97" fillId="129" borderId="38" applyNumberFormat="0" applyAlignment="0" applyProtection="0"/>
    <xf numFmtId="0" fontId="97" fillId="129" borderId="38" applyNumberFormat="0" applyAlignment="0" applyProtection="0"/>
    <xf numFmtId="0" fontId="97" fillId="129" borderId="38" applyNumberFormat="0" applyAlignment="0" applyProtection="0"/>
    <xf numFmtId="0" fontId="97" fillId="129" borderId="38" applyNumberFormat="0" applyAlignment="0" applyProtection="0"/>
    <xf numFmtId="0" fontId="97" fillId="129" borderId="38" applyNumberFormat="0" applyAlignment="0" applyProtection="0"/>
    <xf numFmtId="0" fontId="97" fillId="129" borderId="38" applyNumberFormat="0" applyAlignment="0" applyProtection="0"/>
    <xf numFmtId="0" fontId="97" fillId="129" borderId="38" applyNumberFormat="0" applyAlignment="0" applyProtection="0"/>
    <xf numFmtId="0" fontId="97" fillId="129" borderId="38" applyNumberFormat="0" applyAlignment="0" applyProtection="0"/>
    <xf numFmtId="0" fontId="97" fillId="129" borderId="38" applyNumberFormat="0" applyAlignment="0" applyProtection="0"/>
    <xf numFmtId="0" fontId="97" fillId="129" borderId="38" applyNumberFormat="0" applyAlignment="0" applyProtection="0"/>
    <xf numFmtId="0" fontId="97" fillId="129" borderId="38" applyNumberFormat="0" applyAlignment="0" applyProtection="0"/>
    <xf numFmtId="0" fontId="97" fillId="129" borderId="38" applyNumberFormat="0" applyAlignment="0" applyProtection="0"/>
    <xf numFmtId="0" fontId="97" fillId="129" borderId="38" applyNumberFormat="0" applyAlignment="0" applyProtection="0"/>
    <xf numFmtId="0" fontId="97" fillId="129" borderId="38" applyNumberFormat="0" applyAlignment="0" applyProtection="0"/>
    <xf numFmtId="0" fontId="97" fillId="129" borderId="38" applyNumberFormat="0" applyAlignment="0" applyProtection="0"/>
    <xf numFmtId="0" fontId="97" fillId="129" borderId="38" applyNumberFormat="0" applyAlignment="0" applyProtection="0"/>
    <xf numFmtId="0" fontId="97" fillId="129" borderId="38" applyNumberFormat="0" applyAlignment="0" applyProtection="0"/>
    <xf numFmtId="0" fontId="97" fillId="129" borderId="38" applyNumberFormat="0" applyAlignment="0" applyProtection="0"/>
    <xf numFmtId="0" fontId="97" fillId="129" borderId="38" applyNumberFormat="0" applyAlignment="0" applyProtection="0"/>
    <xf numFmtId="0" fontId="97" fillId="129" borderId="38" applyNumberFormat="0" applyAlignment="0" applyProtection="0"/>
    <xf numFmtId="0" fontId="97" fillId="129" borderId="38" applyNumberFormat="0" applyAlignment="0" applyProtection="0"/>
    <xf numFmtId="0" fontId="97" fillId="129" borderId="38" applyNumberFormat="0" applyAlignment="0" applyProtection="0"/>
    <xf numFmtId="0" fontId="97" fillId="129" borderId="38" applyNumberFormat="0" applyAlignment="0" applyProtection="0"/>
    <xf numFmtId="0" fontId="97" fillId="129" borderId="38" applyNumberFormat="0" applyAlignment="0" applyProtection="0"/>
    <xf numFmtId="0" fontId="97" fillId="129" borderId="38" applyNumberFormat="0" applyAlignment="0" applyProtection="0"/>
    <xf numFmtId="0" fontId="97" fillId="129" borderId="38" applyNumberFormat="0" applyAlignment="0" applyProtection="0"/>
    <xf numFmtId="0" fontId="97" fillId="129" borderId="38" applyNumberFormat="0" applyAlignment="0" applyProtection="0"/>
    <xf numFmtId="0" fontId="97" fillId="129" borderId="38" applyNumberFormat="0" applyAlignment="0" applyProtection="0"/>
    <xf numFmtId="0" fontId="97" fillId="129" borderId="38" applyNumberFormat="0" applyAlignment="0" applyProtection="0"/>
    <xf numFmtId="0" fontId="97" fillId="129" borderId="38" applyNumberFormat="0" applyAlignment="0" applyProtection="0"/>
    <xf numFmtId="0" fontId="97" fillId="129" borderId="38" applyNumberFormat="0" applyAlignment="0" applyProtection="0"/>
    <xf numFmtId="0" fontId="97" fillId="129" borderId="38" applyNumberFormat="0" applyAlignment="0" applyProtection="0"/>
    <xf numFmtId="0" fontId="97" fillId="129" borderId="38" applyNumberFormat="0" applyAlignment="0" applyProtection="0"/>
    <xf numFmtId="0" fontId="97" fillId="129" borderId="38" applyNumberFormat="0" applyAlignment="0" applyProtection="0"/>
    <xf numFmtId="0" fontId="97" fillId="129" borderId="38" applyNumberFormat="0" applyAlignment="0" applyProtection="0"/>
    <xf numFmtId="0" fontId="97" fillId="129" borderId="38" applyNumberFormat="0" applyAlignment="0" applyProtection="0"/>
    <xf numFmtId="0" fontId="97" fillId="129" borderId="38" applyNumberFormat="0" applyAlignment="0" applyProtection="0"/>
    <xf numFmtId="0" fontId="97" fillId="129" borderId="38" applyNumberFormat="0" applyAlignment="0" applyProtection="0"/>
    <xf numFmtId="0" fontId="97" fillId="129" borderId="38" applyNumberFormat="0" applyAlignment="0" applyProtection="0"/>
    <xf numFmtId="0" fontId="97" fillId="129" borderId="38" applyNumberFormat="0" applyAlignment="0" applyProtection="0"/>
    <xf numFmtId="0" fontId="97" fillId="129" borderId="38" applyNumberFormat="0" applyAlignment="0" applyProtection="0"/>
    <xf numFmtId="0" fontId="97" fillId="129" borderId="38" applyNumberFormat="0" applyAlignment="0" applyProtection="0"/>
    <xf numFmtId="0" fontId="97" fillId="129" borderId="38" applyNumberFormat="0" applyAlignment="0" applyProtection="0"/>
    <xf numFmtId="0" fontId="97" fillId="127" borderId="38" applyNumberFormat="0" applyProtection="0"/>
    <xf numFmtId="0" fontId="97" fillId="127" borderId="38" applyNumberFormat="0" applyProtection="0"/>
    <xf numFmtId="0" fontId="97" fillId="127" borderId="38" applyNumberFormat="0" applyProtection="0"/>
    <xf numFmtId="0" fontId="97" fillId="127" borderId="38" applyNumberFormat="0" applyProtection="0"/>
    <xf numFmtId="0" fontId="97" fillId="127" borderId="38" applyNumberFormat="0" applyProtection="0"/>
    <xf numFmtId="0" fontId="97" fillId="127" borderId="38" applyNumberFormat="0" applyProtection="0"/>
    <xf numFmtId="0" fontId="97" fillId="127" borderId="38" applyNumberFormat="0" applyProtection="0"/>
    <xf numFmtId="0" fontId="97" fillId="127" borderId="38" applyNumberFormat="0" applyProtection="0"/>
    <xf numFmtId="0" fontId="97" fillId="127" borderId="38" applyNumberFormat="0" applyProtection="0"/>
    <xf numFmtId="0" fontId="97" fillId="127" borderId="38" applyNumberFormat="0" applyProtection="0"/>
    <xf numFmtId="0" fontId="97" fillId="127" borderId="38" applyNumberFormat="0" applyProtection="0"/>
    <xf numFmtId="0" fontId="97" fillId="127" borderId="38" applyNumberFormat="0" applyProtection="0"/>
    <xf numFmtId="0" fontId="97" fillId="127" borderId="38" applyNumberFormat="0" applyProtection="0"/>
    <xf numFmtId="0" fontId="97" fillId="127" borderId="38" applyNumberFormat="0" applyProtection="0"/>
    <xf numFmtId="0" fontId="97" fillId="127" borderId="38" applyNumberFormat="0" applyProtection="0"/>
    <xf numFmtId="0" fontId="97" fillId="127" borderId="38" applyNumberFormat="0" applyProtection="0"/>
    <xf numFmtId="0" fontId="97" fillId="127" borderId="38" applyNumberFormat="0" applyProtection="0"/>
    <xf numFmtId="0" fontId="97" fillId="127" borderId="38" applyNumberFormat="0" applyProtection="0"/>
    <xf numFmtId="0" fontId="97" fillId="127" borderId="38" applyNumberFormat="0" applyProtection="0"/>
    <xf numFmtId="0" fontId="97" fillId="127" borderId="38" applyNumberFormat="0" applyProtection="0"/>
    <xf numFmtId="0" fontId="97" fillId="127" borderId="38" applyNumberFormat="0" applyProtection="0"/>
    <xf numFmtId="0" fontId="97" fillId="127" borderId="38" applyNumberFormat="0" applyProtection="0"/>
    <xf numFmtId="0" fontId="97" fillId="127" borderId="38" applyNumberFormat="0" applyProtection="0"/>
    <xf numFmtId="0" fontId="97" fillId="127" borderId="38" applyNumberFormat="0" applyProtection="0"/>
    <xf numFmtId="0" fontId="97" fillId="127" borderId="38" applyNumberFormat="0" applyProtection="0"/>
    <xf numFmtId="0" fontId="97" fillId="127" borderId="38" applyNumberFormat="0" applyProtection="0"/>
    <xf numFmtId="0" fontId="97" fillId="127" borderId="38" applyNumberFormat="0" applyProtection="0"/>
    <xf numFmtId="0" fontId="97" fillId="127" borderId="38" applyNumberFormat="0" applyProtection="0"/>
    <xf numFmtId="0" fontId="97" fillId="127" borderId="38" applyNumberFormat="0" applyProtection="0"/>
    <xf numFmtId="0" fontId="97" fillId="127" borderId="38" applyNumberFormat="0" applyProtection="0"/>
    <xf numFmtId="0" fontId="97" fillId="127" borderId="38" applyNumberFormat="0" applyProtection="0"/>
    <xf numFmtId="0" fontId="97" fillId="127" borderId="38" applyNumberFormat="0" applyProtection="0"/>
    <xf numFmtId="0" fontId="97" fillId="129" borderId="38" applyNumberFormat="0" applyAlignment="0" applyProtection="0"/>
    <xf numFmtId="0" fontId="97" fillId="129" borderId="38" applyNumberFormat="0" applyAlignment="0" applyProtection="0"/>
    <xf numFmtId="0" fontId="97" fillId="129" borderId="38" applyNumberFormat="0" applyAlignment="0" applyProtection="0"/>
    <xf numFmtId="0" fontId="97" fillId="129" borderId="38" applyNumberFormat="0" applyAlignment="0" applyProtection="0"/>
    <xf numFmtId="0" fontId="97" fillId="129" borderId="38" applyNumberFormat="0" applyAlignment="0" applyProtection="0"/>
    <xf numFmtId="0" fontId="97" fillId="129" borderId="38" applyNumberFormat="0" applyAlignment="0" applyProtection="0"/>
    <xf numFmtId="0" fontId="97" fillId="129" borderId="38" applyNumberFormat="0" applyAlignment="0" applyProtection="0"/>
    <xf numFmtId="0" fontId="97" fillId="129" borderId="38" applyNumberFormat="0" applyAlignment="0" applyProtection="0"/>
    <xf numFmtId="0" fontId="97" fillId="129" borderId="38" applyNumberFormat="0" applyAlignment="0" applyProtection="0"/>
    <xf numFmtId="0" fontId="97" fillId="129" borderId="38" applyNumberFormat="0" applyAlignment="0" applyProtection="0"/>
    <xf numFmtId="0" fontId="97" fillId="129" borderId="38" applyNumberFormat="0" applyAlignment="0" applyProtection="0"/>
    <xf numFmtId="0" fontId="97" fillId="129" borderId="38" applyNumberFormat="0" applyAlignment="0" applyProtection="0"/>
    <xf numFmtId="0" fontId="97" fillId="129" borderId="38" applyNumberFormat="0" applyAlignment="0" applyProtection="0"/>
    <xf numFmtId="0" fontId="97" fillId="129" borderId="38" applyNumberFormat="0" applyAlignment="0" applyProtection="0"/>
    <xf numFmtId="0" fontId="97" fillId="129" borderId="38" applyNumberFormat="0" applyAlignment="0" applyProtection="0"/>
    <xf numFmtId="0" fontId="97" fillId="129" borderId="38" applyNumberFormat="0" applyAlignment="0" applyProtection="0"/>
    <xf numFmtId="0" fontId="97" fillId="129" borderId="38" applyNumberFormat="0" applyAlignment="0" applyProtection="0"/>
    <xf numFmtId="0" fontId="97" fillId="129" borderId="38" applyNumberFormat="0" applyAlignment="0" applyProtection="0"/>
    <xf numFmtId="0" fontId="97" fillId="129" borderId="38" applyNumberFormat="0" applyAlignment="0" applyProtection="0"/>
    <xf numFmtId="0" fontId="97" fillId="129" borderId="38" applyNumberFormat="0" applyAlignment="0" applyProtection="0"/>
    <xf numFmtId="0" fontId="97" fillId="129" borderId="38" applyNumberFormat="0" applyAlignment="0" applyProtection="0"/>
    <xf numFmtId="0" fontId="97" fillId="129" borderId="38" applyNumberFormat="0" applyAlignment="0" applyProtection="0"/>
    <xf numFmtId="0" fontId="97" fillId="129" borderId="38" applyNumberFormat="0" applyAlignment="0" applyProtection="0"/>
    <xf numFmtId="0" fontId="97" fillId="129" borderId="38" applyNumberFormat="0" applyAlignment="0" applyProtection="0"/>
    <xf numFmtId="0" fontId="97" fillId="129" borderId="38" applyNumberFormat="0" applyAlignment="0" applyProtection="0"/>
    <xf numFmtId="0" fontId="97" fillId="129" borderId="38" applyNumberFormat="0" applyAlignment="0" applyProtection="0"/>
    <xf numFmtId="0" fontId="97" fillId="129" borderId="38" applyNumberFormat="0" applyAlignment="0" applyProtection="0"/>
    <xf numFmtId="0" fontId="97" fillId="129" borderId="38" applyNumberFormat="0" applyAlignment="0" applyProtection="0"/>
    <xf numFmtId="0" fontId="97" fillId="129" borderId="38" applyNumberFormat="0" applyAlignment="0" applyProtection="0"/>
    <xf numFmtId="0" fontId="97" fillId="129" borderId="38" applyNumberFormat="0" applyAlignment="0" applyProtection="0"/>
    <xf numFmtId="0" fontId="97" fillId="129" borderId="38" applyNumberFormat="0" applyAlignment="0" applyProtection="0"/>
    <xf numFmtId="0" fontId="97" fillId="129" borderId="38" applyNumberFormat="0" applyAlignment="0" applyProtection="0"/>
    <xf numFmtId="0" fontId="97" fillId="129" borderId="38" applyNumberFormat="0" applyAlignment="0" applyProtection="0"/>
    <xf numFmtId="0" fontId="97" fillId="129" borderId="38" applyNumberFormat="0" applyAlignment="0" applyProtection="0"/>
    <xf numFmtId="0" fontId="97" fillId="129" borderId="38" applyNumberFormat="0" applyAlignment="0" applyProtection="0"/>
    <xf numFmtId="0" fontId="97" fillId="129" borderId="38" applyNumberFormat="0" applyAlignment="0" applyProtection="0"/>
    <xf numFmtId="0" fontId="97" fillId="129" borderId="38" applyNumberFormat="0" applyAlignment="0" applyProtection="0"/>
    <xf numFmtId="0" fontId="97" fillId="129" borderId="38" applyNumberFormat="0" applyAlignment="0" applyProtection="0"/>
    <xf numFmtId="0" fontId="97" fillId="129" borderId="38" applyNumberFormat="0" applyAlignment="0" applyProtection="0"/>
    <xf numFmtId="0" fontId="97" fillId="129" borderId="38" applyNumberFormat="0" applyAlignment="0" applyProtection="0"/>
    <xf numFmtId="0" fontId="97" fillId="129" borderId="38" applyNumberFormat="0" applyAlignment="0" applyProtection="0"/>
    <xf numFmtId="0" fontId="97" fillId="129" borderId="38" applyNumberFormat="0" applyAlignment="0" applyProtection="0"/>
    <xf numFmtId="0" fontId="97" fillId="129" borderId="38" applyNumberFormat="0" applyAlignment="0" applyProtection="0"/>
    <xf numFmtId="0" fontId="97" fillId="129" borderId="38" applyNumberFormat="0" applyAlignment="0" applyProtection="0"/>
    <xf numFmtId="0" fontId="97" fillId="129" borderId="38" applyNumberFormat="0" applyAlignment="0" applyProtection="0"/>
    <xf numFmtId="0" fontId="97" fillId="129" borderId="38" applyNumberFormat="0" applyAlignment="0" applyProtection="0"/>
    <xf numFmtId="0" fontId="97" fillId="129" borderId="38" applyNumberFormat="0" applyAlignment="0" applyProtection="0"/>
    <xf numFmtId="0" fontId="97" fillId="129" borderId="38" applyNumberFormat="0" applyAlignment="0" applyProtection="0"/>
    <xf numFmtId="0" fontId="97" fillId="129" borderId="38" applyNumberFormat="0" applyAlignment="0" applyProtection="0"/>
    <xf numFmtId="0" fontId="97" fillId="129" borderId="38" applyNumberFormat="0" applyAlignment="0" applyProtection="0"/>
    <xf numFmtId="0" fontId="97" fillId="129" borderId="38" applyNumberFormat="0" applyAlignment="0" applyProtection="0"/>
    <xf numFmtId="0" fontId="97" fillId="129" borderId="38" applyNumberFormat="0" applyAlignment="0" applyProtection="0"/>
    <xf numFmtId="0" fontId="97" fillId="129" borderId="38" applyNumberFormat="0" applyAlignment="0" applyProtection="0"/>
    <xf numFmtId="0" fontId="97" fillId="129" borderId="38" applyNumberFormat="0" applyAlignment="0" applyProtection="0"/>
    <xf numFmtId="0" fontId="97" fillId="129" borderId="38" applyNumberFormat="0" applyAlignment="0" applyProtection="0"/>
    <xf numFmtId="0" fontId="97" fillId="129" borderId="38" applyNumberFormat="0" applyAlignment="0" applyProtection="0"/>
    <xf numFmtId="0" fontId="97" fillId="129" borderId="38" applyNumberFormat="0" applyAlignment="0" applyProtection="0"/>
    <xf numFmtId="0" fontId="97" fillId="129" borderId="38" applyNumberFormat="0" applyAlignment="0" applyProtection="0"/>
    <xf numFmtId="0" fontId="97" fillId="129" borderId="38" applyNumberFormat="0" applyAlignment="0" applyProtection="0"/>
    <xf numFmtId="0" fontId="97" fillId="129" borderId="38" applyNumberFormat="0" applyAlignment="0" applyProtection="0"/>
    <xf numFmtId="0" fontId="97" fillId="129" borderId="38" applyNumberFormat="0" applyAlignment="0" applyProtection="0"/>
    <xf numFmtId="0" fontId="97" fillId="129" borderId="38" applyNumberFormat="0" applyAlignment="0" applyProtection="0"/>
    <xf numFmtId="0" fontId="97" fillId="127" borderId="38" applyNumberFormat="0" applyProtection="0"/>
    <xf numFmtId="0" fontId="97" fillId="127" borderId="38" applyNumberFormat="0" applyProtection="0"/>
    <xf numFmtId="0" fontId="97" fillId="127" borderId="38" applyNumberFormat="0" applyProtection="0"/>
    <xf numFmtId="0" fontId="97" fillId="127" borderId="38" applyNumberFormat="0" applyProtection="0"/>
    <xf numFmtId="0" fontId="97" fillId="127" borderId="38" applyNumberFormat="0" applyProtection="0"/>
    <xf numFmtId="0" fontId="97" fillId="127" borderId="38" applyNumberFormat="0" applyProtection="0"/>
    <xf numFmtId="0" fontId="97" fillId="127" borderId="38" applyNumberFormat="0" applyProtection="0"/>
    <xf numFmtId="0" fontId="97" fillId="127" borderId="38" applyNumberFormat="0" applyProtection="0"/>
    <xf numFmtId="0" fontId="97" fillId="127" borderId="38" applyNumberFormat="0" applyProtection="0"/>
    <xf numFmtId="0" fontId="97" fillId="127" borderId="38" applyNumberFormat="0" applyProtection="0"/>
    <xf numFmtId="0" fontId="97" fillId="127" borderId="38" applyNumberFormat="0" applyProtection="0"/>
    <xf numFmtId="0" fontId="97" fillId="127" borderId="38" applyNumberFormat="0" applyProtection="0"/>
    <xf numFmtId="0" fontId="97" fillId="127" borderId="38" applyNumberFormat="0" applyProtection="0"/>
    <xf numFmtId="0" fontId="97" fillId="127" borderId="38" applyNumberFormat="0" applyProtection="0"/>
    <xf numFmtId="0" fontId="97" fillId="127" borderId="38" applyNumberFormat="0" applyProtection="0"/>
    <xf numFmtId="0" fontId="97" fillId="127" borderId="38" applyNumberFormat="0" applyProtection="0"/>
    <xf numFmtId="0" fontId="97" fillId="127" borderId="38" applyNumberFormat="0" applyProtection="0"/>
    <xf numFmtId="0" fontId="97" fillId="127" borderId="38" applyNumberFormat="0" applyProtection="0"/>
    <xf numFmtId="0" fontId="97" fillId="127" borderId="38" applyNumberFormat="0" applyProtection="0"/>
    <xf numFmtId="0" fontId="97" fillId="127" borderId="38" applyNumberFormat="0" applyProtection="0"/>
    <xf numFmtId="0" fontId="97" fillId="127" borderId="38" applyNumberFormat="0" applyProtection="0"/>
    <xf numFmtId="0" fontId="97" fillId="127" borderId="38" applyNumberFormat="0" applyProtection="0"/>
    <xf numFmtId="0" fontId="97" fillId="127" borderId="38" applyNumberFormat="0" applyProtection="0"/>
    <xf numFmtId="0" fontId="97" fillId="127" borderId="38" applyNumberFormat="0" applyProtection="0"/>
    <xf numFmtId="0" fontId="97" fillId="127" borderId="38" applyNumberFormat="0" applyProtection="0"/>
    <xf numFmtId="0" fontId="97" fillId="127" borderId="38" applyNumberFormat="0" applyProtection="0"/>
    <xf numFmtId="0" fontId="97" fillId="127" borderId="38" applyNumberFormat="0" applyProtection="0"/>
    <xf numFmtId="0" fontId="97" fillId="127" borderId="38" applyNumberFormat="0" applyProtection="0"/>
    <xf numFmtId="0" fontId="97" fillId="127" borderId="38" applyNumberFormat="0" applyProtection="0"/>
    <xf numFmtId="0" fontId="97" fillId="127" borderId="38" applyNumberFormat="0" applyProtection="0"/>
    <xf numFmtId="0" fontId="97" fillId="127" borderId="38" applyNumberFormat="0" applyProtection="0"/>
    <xf numFmtId="0" fontId="97" fillId="127" borderId="38" applyNumberFormat="0" applyProtection="0"/>
    <xf numFmtId="0" fontId="97" fillId="129" borderId="38" applyNumberFormat="0" applyAlignment="0" applyProtection="0"/>
    <xf numFmtId="0" fontId="97" fillId="129" borderId="38" applyNumberFormat="0" applyAlignment="0" applyProtection="0"/>
    <xf numFmtId="0" fontId="97" fillId="129" borderId="38" applyNumberFormat="0" applyAlignment="0" applyProtection="0"/>
    <xf numFmtId="0" fontId="97" fillId="129" borderId="38" applyNumberFormat="0" applyAlignment="0" applyProtection="0"/>
    <xf numFmtId="0" fontId="97" fillId="129" borderId="38" applyNumberFormat="0" applyAlignment="0" applyProtection="0"/>
    <xf numFmtId="0" fontId="97" fillId="129" borderId="38" applyNumberFormat="0" applyAlignment="0" applyProtection="0"/>
    <xf numFmtId="0" fontId="97" fillId="129" borderId="38" applyNumberFormat="0" applyAlignment="0" applyProtection="0"/>
    <xf numFmtId="0" fontId="97" fillId="129" borderId="38" applyNumberFormat="0" applyAlignment="0" applyProtection="0"/>
    <xf numFmtId="0" fontId="97" fillId="129" borderId="38" applyNumberFormat="0" applyAlignment="0" applyProtection="0"/>
    <xf numFmtId="0" fontId="97" fillId="129" borderId="38" applyNumberFormat="0" applyAlignment="0" applyProtection="0"/>
    <xf numFmtId="0" fontId="97" fillId="129" borderId="38" applyNumberFormat="0" applyAlignment="0" applyProtection="0"/>
    <xf numFmtId="0" fontId="97" fillId="129" borderId="38" applyNumberFormat="0" applyAlignment="0" applyProtection="0"/>
    <xf numFmtId="0" fontId="97" fillId="129" borderId="38" applyNumberFormat="0" applyAlignment="0" applyProtection="0"/>
    <xf numFmtId="0" fontId="97" fillId="129" borderId="38" applyNumberFormat="0" applyAlignment="0" applyProtection="0"/>
    <xf numFmtId="0" fontId="97" fillId="129" borderId="38" applyNumberFormat="0" applyAlignment="0" applyProtection="0"/>
    <xf numFmtId="0" fontId="97" fillId="129" borderId="38" applyNumberFormat="0" applyAlignment="0" applyProtection="0"/>
    <xf numFmtId="0" fontId="97" fillId="129" borderId="38" applyNumberFormat="0" applyAlignment="0" applyProtection="0"/>
    <xf numFmtId="0" fontId="97" fillId="129" borderId="38" applyNumberFormat="0" applyAlignment="0" applyProtection="0"/>
    <xf numFmtId="0" fontId="97" fillId="129" borderId="38" applyNumberFormat="0" applyAlignment="0" applyProtection="0"/>
    <xf numFmtId="0" fontId="97" fillId="129" borderId="38" applyNumberFormat="0" applyAlignment="0" applyProtection="0"/>
    <xf numFmtId="0" fontId="97" fillId="129" borderId="38" applyNumberFormat="0" applyAlignment="0" applyProtection="0"/>
    <xf numFmtId="0" fontId="97" fillId="129" borderId="38" applyNumberFormat="0" applyAlignment="0" applyProtection="0"/>
    <xf numFmtId="0" fontId="97" fillId="129" borderId="38" applyNumberFormat="0" applyAlignment="0" applyProtection="0"/>
    <xf numFmtId="0" fontId="97" fillId="129" borderId="38" applyNumberFormat="0" applyAlignment="0" applyProtection="0"/>
    <xf numFmtId="0" fontId="97" fillId="129" borderId="38" applyNumberFormat="0" applyAlignment="0" applyProtection="0"/>
    <xf numFmtId="0" fontId="97" fillId="129" borderId="38" applyNumberFormat="0" applyAlignment="0" applyProtection="0"/>
    <xf numFmtId="0" fontId="97" fillId="129" borderId="38" applyNumberFormat="0" applyAlignment="0" applyProtection="0"/>
    <xf numFmtId="0" fontId="97" fillId="129" borderId="38" applyNumberFormat="0" applyAlignment="0" applyProtection="0"/>
    <xf numFmtId="0" fontId="97" fillId="129" borderId="38" applyNumberFormat="0" applyAlignment="0" applyProtection="0"/>
    <xf numFmtId="0" fontId="97" fillId="129" borderId="38" applyNumberFormat="0" applyAlignment="0" applyProtection="0"/>
    <xf numFmtId="0" fontId="97" fillId="129" borderId="38" applyNumberFormat="0" applyAlignment="0" applyProtection="0"/>
    <xf numFmtId="0" fontId="97" fillId="129" borderId="38" applyNumberFormat="0" applyAlignment="0" applyProtection="0"/>
    <xf numFmtId="0" fontId="97" fillId="129" borderId="38" applyNumberFormat="0" applyAlignment="0" applyProtection="0"/>
    <xf numFmtId="0" fontId="97" fillId="129" borderId="38" applyNumberFormat="0" applyAlignment="0" applyProtection="0"/>
    <xf numFmtId="0" fontId="97" fillId="129" borderId="38" applyNumberFormat="0" applyAlignment="0" applyProtection="0"/>
    <xf numFmtId="0" fontId="97" fillId="129" borderId="38" applyNumberFormat="0" applyAlignment="0" applyProtection="0"/>
    <xf numFmtId="0" fontId="97" fillId="129" borderId="38" applyNumberFormat="0" applyAlignment="0" applyProtection="0"/>
    <xf numFmtId="0" fontId="97" fillId="129" borderId="38" applyNumberFormat="0" applyAlignment="0" applyProtection="0"/>
    <xf numFmtId="0" fontId="97" fillId="129" borderId="38" applyNumberFormat="0" applyAlignment="0" applyProtection="0"/>
    <xf numFmtId="0" fontId="97" fillId="129" borderId="38" applyNumberFormat="0" applyAlignment="0" applyProtection="0"/>
    <xf numFmtId="0" fontId="97" fillId="129" borderId="38" applyNumberFormat="0" applyAlignment="0" applyProtection="0"/>
    <xf numFmtId="0" fontId="97" fillId="129" borderId="38" applyNumberFormat="0" applyAlignment="0" applyProtection="0"/>
    <xf numFmtId="0" fontId="97" fillId="129" borderId="38" applyNumberFormat="0" applyAlignment="0" applyProtection="0"/>
    <xf numFmtId="0" fontId="97" fillId="129" borderId="38" applyNumberFormat="0" applyAlignment="0" applyProtection="0"/>
    <xf numFmtId="0" fontId="97" fillId="129" borderId="38" applyNumberFormat="0" applyAlignment="0" applyProtection="0"/>
    <xf numFmtId="0" fontId="97" fillId="129" borderId="38" applyNumberFormat="0" applyAlignment="0" applyProtection="0"/>
    <xf numFmtId="0" fontId="97" fillId="129" borderId="38" applyNumberFormat="0" applyAlignment="0" applyProtection="0"/>
    <xf numFmtId="0" fontId="97" fillId="129" borderId="38" applyNumberFormat="0" applyAlignment="0" applyProtection="0"/>
    <xf numFmtId="0" fontId="97" fillId="129" borderId="38" applyNumberFormat="0" applyAlignment="0" applyProtection="0"/>
    <xf numFmtId="0" fontId="97" fillId="129" borderId="38" applyNumberFormat="0" applyAlignment="0" applyProtection="0"/>
    <xf numFmtId="0" fontId="97" fillId="129" borderId="38" applyNumberFormat="0" applyAlignment="0" applyProtection="0"/>
    <xf numFmtId="0" fontId="97" fillId="129" borderId="38" applyNumberFormat="0" applyAlignment="0" applyProtection="0"/>
    <xf numFmtId="0" fontId="97" fillId="129" borderId="38" applyNumberFormat="0" applyAlignment="0" applyProtection="0"/>
    <xf numFmtId="0" fontId="97" fillId="129" borderId="38" applyNumberFormat="0" applyAlignment="0" applyProtection="0"/>
    <xf numFmtId="0" fontId="97" fillId="129" borderId="38" applyNumberFormat="0" applyAlignment="0" applyProtection="0"/>
    <xf numFmtId="0" fontId="97" fillId="129" borderId="38" applyNumberFormat="0" applyAlignment="0" applyProtection="0"/>
    <xf numFmtId="0" fontId="97" fillId="129" borderId="38" applyNumberFormat="0" applyAlignment="0" applyProtection="0"/>
    <xf numFmtId="0" fontId="97" fillId="129" borderId="38" applyNumberFormat="0" applyAlignment="0" applyProtection="0"/>
    <xf numFmtId="0" fontId="97" fillId="129" borderId="38" applyNumberFormat="0" applyAlignment="0" applyProtection="0"/>
    <xf numFmtId="0" fontId="97" fillId="129" borderId="38" applyNumberFormat="0" applyAlignment="0" applyProtection="0"/>
    <xf numFmtId="0" fontId="97" fillId="129" borderId="38" applyNumberFormat="0" applyAlignment="0" applyProtection="0"/>
    <xf numFmtId="0" fontId="97" fillId="129" borderId="38" applyNumberFormat="0" applyAlignment="0" applyProtection="0"/>
    <xf numFmtId="0" fontId="97" fillId="127" borderId="38" applyNumberFormat="0" applyProtection="0"/>
    <xf numFmtId="0" fontId="97" fillId="127" borderId="38" applyNumberFormat="0" applyProtection="0"/>
    <xf numFmtId="0" fontId="97" fillId="127" borderId="38" applyNumberFormat="0" applyProtection="0"/>
    <xf numFmtId="0" fontId="97" fillId="127" borderId="38" applyNumberFormat="0" applyProtection="0"/>
    <xf numFmtId="0" fontId="97" fillId="127" borderId="38" applyNumberFormat="0" applyProtection="0"/>
    <xf numFmtId="0" fontId="97" fillId="127" borderId="38" applyNumberFormat="0" applyProtection="0"/>
    <xf numFmtId="0" fontId="97" fillId="127" borderId="38" applyNumberFormat="0" applyProtection="0"/>
    <xf numFmtId="0" fontId="97" fillId="127" borderId="38" applyNumberFormat="0" applyProtection="0"/>
    <xf numFmtId="0" fontId="97" fillId="127" borderId="38" applyNumberFormat="0" applyProtection="0"/>
    <xf numFmtId="0" fontId="97" fillId="127" borderId="38" applyNumberFormat="0" applyProtection="0"/>
    <xf numFmtId="0" fontId="97" fillId="127" borderId="38" applyNumberFormat="0" applyProtection="0"/>
    <xf numFmtId="0" fontId="97" fillId="127" borderId="38" applyNumberFormat="0" applyProtection="0"/>
    <xf numFmtId="0" fontId="97" fillId="127" borderId="38" applyNumberFormat="0" applyProtection="0"/>
    <xf numFmtId="0" fontId="97" fillId="127" borderId="38" applyNumberFormat="0" applyProtection="0"/>
    <xf numFmtId="0" fontId="97" fillId="127" borderId="38" applyNumberFormat="0" applyProtection="0"/>
    <xf numFmtId="0" fontId="97" fillId="127" borderId="38" applyNumberFormat="0" applyProtection="0"/>
    <xf numFmtId="0" fontId="97" fillId="127" borderId="38" applyNumberFormat="0" applyProtection="0"/>
    <xf numFmtId="0" fontId="97" fillId="127" borderId="38" applyNumberFormat="0" applyProtection="0"/>
    <xf numFmtId="0" fontId="97" fillId="127" borderId="38" applyNumberFormat="0" applyProtection="0"/>
    <xf numFmtId="0" fontId="97" fillId="127" borderId="38" applyNumberFormat="0" applyProtection="0"/>
    <xf numFmtId="0" fontId="97" fillId="127" borderId="38" applyNumberFormat="0" applyProtection="0"/>
    <xf numFmtId="0" fontId="97" fillId="127" borderId="38" applyNumberFormat="0" applyProtection="0"/>
    <xf numFmtId="0" fontId="97" fillId="127" borderId="38" applyNumberFormat="0" applyProtection="0"/>
    <xf numFmtId="0" fontId="97" fillId="127" borderId="38" applyNumberFormat="0" applyProtection="0"/>
    <xf numFmtId="0" fontId="97" fillId="127" borderId="38" applyNumberFormat="0" applyProtection="0"/>
    <xf numFmtId="0" fontId="97" fillId="127" borderId="38" applyNumberFormat="0" applyProtection="0"/>
    <xf numFmtId="0" fontId="97" fillId="127" borderId="38" applyNumberFormat="0" applyProtection="0"/>
    <xf numFmtId="0" fontId="101" fillId="127" borderId="37" applyNumberFormat="0" applyProtection="0"/>
    <xf numFmtId="0" fontId="101" fillId="127" borderId="37" applyNumberFormat="0" applyProtection="0"/>
    <xf numFmtId="0" fontId="101" fillId="127" borderId="37" applyNumberFormat="0" applyProtection="0"/>
    <xf numFmtId="0" fontId="101" fillId="127" borderId="37" applyNumberFormat="0" applyProtection="0"/>
    <xf numFmtId="0" fontId="101" fillId="127" borderId="37" applyNumberFormat="0" applyProtection="0"/>
    <xf numFmtId="0" fontId="101" fillId="127" borderId="37" applyNumberFormat="0" applyProtection="0"/>
    <xf numFmtId="0" fontId="102" fillId="128" borderId="37" applyNumberFormat="0" applyProtection="0"/>
    <xf numFmtId="0" fontId="102" fillId="128" borderId="37" applyNumberFormat="0" applyProtection="0"/>
    <xf numFmtId="0" fontId="102" fillId="128" borderId="37" applyNumberFormat="0" applyProtection="0"/>
    <xf numFmtId="0" fontId="102" fillId="128" borderId="37" applyNumberFormat="0" applyProtection="0"/>
    <xf numFmtId="0" fontId="102" fillId="128" borderId="37" applyNumberFormat="0" applyProtection="0"/>
    <xf numFmtId="0" fontId="103" fillId="128" borderId="37" applyNumberFormat="0" applyAlignment="0" applyProtection="0"/>
    <xf numFmtId="0" fontId="103" fillId="128" borderId="37" applyNumberFormat="0" applyAlignment="0" applyProtection="0"/>
    <xf numFmtId="0" fontId="103" fillId="128" borderId="37" applyNumberFormat="0" applyAlignment="0" applyProtection="0"/>
    <xf numFmtId="0" fontId="103" fillId="128" borderId="37" applyNumberFormat="0" applyAlignment="0" applyProtection="0"/>
    <xf numFmtId="0" fontId="103" fillId="128" borderId="37" applyNumberFormat="0" applyAlignment="0" applyProtection="0"/>
    <xf numFmtId="0" fontId="103" fillId="128" borderId="37" applyNumberFormat="0" applyAlignment="0" applyProtection="0"/>
    <xf numFmtId="0" fontId="103" fillId="128" borderId="37" applyNumberFormat="0" applyAlignment="0" applyProtection="0"/>
    <xf numFmtId="0" fontId="103" fillId="128" borderId="37" applyNumberFormat="0" applyAlignment="0" applyProtection="0"/>
    <xf numFmtId="0" fontId="103" fillId="128" borderId="37" applyNumberFormat="0" applyAlignment="0" applyProtection="0"/>
    <xf numFmtId="0" fontId="103" fillId="128" borderId="37" applyNumberFormat="0" applyAlignment="0" applyProtection="0"/>
    <xf numFmtId="0" fontId="103" fillId="128" borderId="37" applyNumberFormat="0" applyAlignment="0" applyProtection="0"/>
    <xf numFmtId="0" fontId="103" fillId="128" borderId="37" applyNumberFormat="0" applyAlignment="0" applyProtection="0"/>
    <xf numFmtId="0" fontId="103" fillId="128" borderId="37" applyNumberFormat="0" applyAlignment="0" applyProtection="0"/>
    <xf numFmtId="0" fontId="103" fillId="128" borderId="37" applyNumberFormat="0" applyAlignment="0" applyProtection="0"/>
    <xf numFmtId="0" fontId="103" fillId="128" borderId="37" applyNumberFormat="0" applyAlignment="0" applyProtection="0"/>
    <xf numFmtId="0" fontId="103" fillId="128" borderId="37" applyNumberFormat="0" applyAlignment="0" applyProtection="0"/>
    <xf numFmtId="0" fontId="103" fillId="128" borderId="37" applyNumberFormat="0" applyAlignment="0" applyProtection="0"/>
    <xf numFmtId="0" fontId="103" fillId="128" borderId="37" applyNumberFormat="0" applyAlignment="0" applyProtection="0"/>
    <xf numFmtId="0" fontId="103" fillId="128" borderId="37" applyNumberFormat="0" applyAlignment="0" applyProtection="0"/>
    <xf numFmtId="0" fontId="103" fillId="128" borderId="37" applyNumberFormat="0" applyAlignment="0" applyProtection="0"/>
    <xf numFmtId="0" fontId="103" fillId="128" borderId="37" applyNumberFormat="0" applyAlignment="0" applyProtection="0"/>
    <xf numFmtId="0" fontId="103" fillId="128" borderId="37" applyNumberFormat="0" applyAlignment="0" applyProtection="0"/>
    <xf numFmtId="0" fontId="103" fillId="128" borderId="37" applyNumberFormat="0" applyAlignment="0" applyProtection="0"/>
    <xf numFmtId="0" fontId="103" fillId="128" borderId="37" applyNumberFormat="0" applyAlignment="0" applyProtection="0"/>
    <xf numFmtId="0" fontId="103" fillId="128" borderId="37" applyNumberFormat="0" applyAlignment="0" applyProtection="0"/>
    <xf numFmtId="0" fontId="103" fillId="128" borderId="37" applyNumberFormat="0" applyAlignment="0" applyProtection="0"/>
    <xf numFmtId="0" fontId="103" fillId="128" borderId="37" applyNumberFormat="0" applyAlignment="0" applyProtection="0"/>
    <xf numFmtId="0" fontId="103" fillId="128" borderId="37" applyNumberFormat="0" applyAlignment="0" applyProtection="0"/>
    <xf numFmtId="0" fontId="103" fillId="128" borderId="37" applyNumberFormat="0" applyAlignment="0" applyProtection="0"/>
    <xf numFmtId="0" fontId="103" fillId="128" borderId="37" applyNumberFormat="0" applyAlignment="0" applyProtection="0"/>
    <xf numFmtId="0" fontId="103" fillId="128" borderId="37" applyNumberFormat="0" applyAlignment="0" applyProtection="0"/>
    <xf numFmtId="0" fontId="103" fillId="128" borderId="37" applyNumberFormat="0" applyAlignment="0" applyProtection="0"/>
    <xf numFmtId="0" fontId="103" fillId="128" borderId="37" applyNumberFormat="0" applyAlignment="0" applyProtection="0"/>
    <xf numFmtId="0" fontId="103" fillId="128" borderId="37" applyNumberFormat="0" applyAlignment="0" applyProtection="0"/>
    <xf numFmtId="0" fontId="103" fillId="128" borderId="37" applyNumberFormat="0" applyAlignment="0" applyProtection="0"/>
    <xf numFmtId="0" fontId="103" fillId="128" borderId="37" applyNumberFormat="0" applyAlignment="0" applyProtection="0"/>
    <xf numFmtId="0" fontId="103" fillId="128" borderId="37" applyNumberFormat="0" applyAlignment="0" applyProtection="0"/>
    <xf numFmtId="0" fontId="103" fillId="128" borderId="37" applyNumberFormat="0" applyAlignment="0" applyProtection="0"/>
    <xf numFmtId="0" fontId="103" fillId="128" borderId="37" applyNumberFormat="0" applyAlignment="0" applyProtection="0"/>
    <xf numFmtId="0" fontId="103" fillId="128" borderId="37" applyNumberFormat="0" applyAlignment="0" applyProtection="0"/>
    <xf numFmtId="0" fontId="103" fillId="128" borderId="37" applyNumberFormat="0" applyAlignment="0" applyProtection="0"/>
    <xf numFmtId="0" fontId="103" fillId="128" borderId="37" applyNumberFormat="0" applyAlignment="0" applyProtection="0"/>
    <xf numFmtId="0" fontId="102" fillId="128" borderId="37" applyNumberFormat="0" applyProtection="0"/>
    <xf numFmtId="0" fontId="102" fillId="128" borderId="37" applyNumberFormat="0" applyProtection="0"/>
    <xf numFmtId="0" fontId="102" fillId="128" borderId="37" applyNumberFormat="0" applyProtection="0"/>
    <xf numFmtId="0" fontId="102" fillId="128" borderId="37" applyNumberFormat="0" applyProtection="0"/>
    <xf numFmtId="0" fontId="102" fillId="128" borderId="37" applyNumberFormat="0" applyProtection="0"/>
    <xf numFmtId="0" fontId="102" fillId="128" borderId="37" applyNumberFormat="0" applyProtection="0"/>
    <xf numFmtId="0" fontId="102" fillId="128" borderId="37" applyNumberFormat="0" applyProtection="0"/>
    <xf numFmtId="0" fontId="102" fillId="128" borderId="37" applyNumberFormat="0" applyProtection="0"/>
    <xf numFmtId="0" fontId="102" fillId="128" borderId="37" applyNumberFormat="0" applyProtection="0"/>
    <xf numFmtId="0" fontId="102" fillId="128" borderId="37" applyNumberFormat="0" applyProtection="0"/>
    <xf numFmtId="0" fontId="102" fillId="128" borderId="37" applyNumberFormat="0" applyProtection="0"/>
    <xf numFmtId="0" fontId="102" fillId="128" borderId="37" applyNumberFormat="0" applyProtection="0"/>
    <xf numFmtId="0" fontId="102" fillId="128" borderId="37" applyNumberFormat="0" applyProtection="0"/>
    <xf numFmtId="0" fontId="102" fillId="128" borderId="37" applyNumberFormat="0" applyProtection="0"/>
    <xf numFmtId="0" fontId="102" fillId="128" borderId="37" applyNumberFormat="0" applyProtection="0"/>
    <xf numFmtId="0" fontId="102" fillId="128" borderId="37" applyNumberFormat="0" applyProtection="0"/>
    <xf numFmtId="0" fontId="102" fillId="128" borderId="37" applyNumberFormat="0" applyProtection="0"/>
    <xf numFmtId="0" fontId="102" fillId="128" borderId="37" applyNumberFormat="0" applyProtection="0"/>
    <xf numFmtId="0" fontId="102" fillId="128" borderId="37" applyNumberFormat="0" applyProtection="0"/>
    <xf numFmtId="0" fontId="102" fillId="128" borderId="37" applyNumberFormat="0" applyProtection="0"/>
    <xf numFmtId="0" fontId="102" fillId="128" borderId="37" applyNumberFormat="0" applyProtection="0"/>
    <xf numFmtId="0" fontId="102" fillId="128" borderId="37" applyNumberFormat="0" applyProtection="0"/>
    <xf numFmtId="0" fontId="102" fillId="128" borderId="37" applyNumberFormat="0" applyProtection="0"/>
    <xf numFmtId="0" fontId="102" fillId="128" borderId="37" applyNumberFormat="0" applyProtection="0"/>
    <xf numFmtId="0" fontId="102" fillId="128" borderId="37" applyNumberFormat="0" applyProtection="0"/>
    <xf numFmtId="0" fontId="102" fillId="128" borderId="37" applyNumberFormat="0" applyProtection="0"/>
    <xf numFmtId="0" fontId="102" fillId="128" borderId="37" applyNumberFormat="0" applyProtection="0"/>
    <xf numFmtId="0" fontId="101" fillId="129" borderId="37" applyNumberFormat="0" applyAlignment="0" applyProtection="0"/>
    <xf numFmtId="0" fontId="101" fillId="129" borderId="37" applyNumberFormat="0" applyAlignment="0" applyProtection="0"/>
    <xf numFmtId="0" fontId="101" fillId="129" borderId="37" applyNumberFormat="0" applyAlignment="0" applyProtection="0"/>
    <xf numFmtId="0" fontId="101" fillId="129" borderId="37" applyNumberFormat="0" applyAlignment="0" applyProtection="0"/>
    <xf numFmtId="0" fontId="101" fillId="129" borderId="37" applyNumberFormat="0" applyAlignment="0" applyProtection="0"/>
    <xf numFmtId="0" fontId="101" fillId="129" borderId="37" applyNumberFormat="0" applyAlignment="0" applyProtection="0"/>
    <xf numFmtId="0" fontId="101" fillId="129" borderId="37" applyNumberFormat="0" applyAlignment="0" applyProtection="0"/>
    <xf numFmtId="0" fontId="101" fillId="129" borderId="37" applyNumberFormat="0" applyAlignment="0" applyProtection="0"/>
    <xf numFmtId="0" fontId="101" fillId="129" borderId="37" applyNumberFormat="0" applyAlignment="0" applyProtection="0"/>
    <xf numFmtId="0" fontId="101" fillId="129" borderId="37" applyNumberFormat="0" applyAlignment="0" applyProtection="0"/>
    <xf numFmtId="0" fontId="101" fillId="129" borderId="37" applyNumberFormat="0" applyAlignment="0" applyProtection="0"/>
    <xf numFmtId="0" fontId="101" fillId="129" borderId="37" applyNumberFormat="0" applyAlignment="0" applyProtection="0"/>
    <xf numFmtId="0" fontId="101" fillId="129" borderId="37" applyNumberFormat="0" applyAlignment="0" applyProtection="0"/>
    <xf numFmtId="0" fontId="101" fillId="129" borderId="37" applyNumberFormat="0" applyAlignment="0" applyProtection="0"/>
    <xf numFmtId="0" fontId="101" fillId="129" borderId="37" applyNumberFormat="0" applyAlignment="0" applyProtection="0"/>
    <xf numFmtId="0" fontId="101" fillId="129" borderId="37" applyNumberFormat="0" applyAlignment="0" applyProtection="0"/>
    <xf numFmtId="0" fontId="101" fillId="129" borderId="37" applyNumberFormat="0" applyAlignment="0" applyProtection="0"/>
    <xf numFmtId="0" fontId="101" fillId="129" borderId="37" applyNumberFormat="0" applyAlignment="0" applyProtection="0"/>
    <xf numFmtId="0" fontId="101" fillId="129" borderId="37" applyNumberFormat="0" applyAlignment="0" applyProtection="0"/>
    <xf numFmtId="0" fontId="101" fillId="129" borderId="37" applyNumberFormat="0" applyAlignment="0" applyProtection="0"/>
    <xf numFmtId="0" fontId="101" fillId="129" borderId="37" applyNumberFormat="0" applyAlignment="0" applyProtection="0"/>
    <xf numFmtId="0" fontId="101" fillId="129" borderId="37" applyNumberFormat="0" applyAlignment="0" applyProtection="0"/>
    <xf numFmtId="0" fontId="101" fillId="129" borderId="37" applyNumberFormat="0" applyAlignment="0" applyProtection="0"/>
    <xf numFmtId="0" fontId="101" fillId="129" borderId="37" applyNumberFormat="0" applyAlignment="0" applyProtection="0"/>
    <xf numFmtId="0" fontId="101" fillId="129" borderId="37" applyNumberFormat="0" applyAlignment="0" applyProtection="0"/>
    <xf numFmtId="0" fontId="101" fillId="129" borderId="37" applyNumberFormat="0" applyAlignment="0" applyProtection="0"/>
    <xf numFmtId="0" fontId="101" fillId="129" borderId="37" applyNumberFormat="0" applyAlignment="0" applyProtection="0"/>
    <xf numFmtId="0" fontId="101" fillId="129" borderId="37" applyNumberFormat="0" applyAlignment="0" applyProtection="0"/>
    <xf numFmtId="0" fontId="101" fillId="129" borderId="37" applyNumberFormat="0" applyAlignment="0" applyProtection="0"/>
    <xf numFmtId="0" fontId="101" fillId="129" borderId="37" applyNumberFormat="0" applyAlignment="0" applyProtection="0"/>
    <xf numFmtId="0" fontId="101" fillId="129" borderId="37" applyNumberFormat="0" applyAlignment="0" applyProtection="0"/>
    <xf numFmtId="0" fontId="101" fillId="129" borderId="37" applyNumberFormat="0" applyAlignment="0" applyProtection="0"/>
    <xf numFmtId="0" fontId="101" fillId="129" borderId="37" applyNumberFormat="0" applyAlignment="0" applyProtection="0"/>
    <xf numFmtId="0" fontId="101" fillId="129" borderId="37" applyNumberFormat="0" applyAlignment="0" applyProtection="0"/>
    <xf numFmtId="0" fontId="101" fillId="129" borderId="37" applyNumberFormat="0" applyAlignment="0" applyProtection="0"/>
    <xf numFmtId="0" fontId="101" fillId="129" borderId="37" applyNumberFormat="0" applyAlignment="0" applyProtection="0"/>
    <xf numFmtId="0" fontId="101" fillId="129" borderId="37" applyNumberFormat="0" applyAlignment="0" applyProtection="0"/>
    <xf numFmtId="0" fontId="101" fillId="129" borderId="37" applyNumberFormat="0" applyAlignment="0" applyProtection="0"/>
    <xf numFmtId="0" fontId="101" fillId="129" borderId="37" applyNumberFormat="0" applyAlignment="0" applyProtection="0"/>
    <xf numFmtId="0" fontId="101" fillId="129" borderId="37" applyNumberFormat="0" applyAlignment="0" applyProtection="0"/>
    <xf numFmtId="0" fontId="101" fillId="129" borderId="37" applyNumberFormat="0" applyAlignment="0" applyProtection="0"/>
    <xf numFmtId="0" fontId="101" fillId="129" borderId="37" applyNumberFormat="0" applyAlignment="0" applyProtection="0"/>
    <xf numFmtId="0" fontId="101" fillId="129" borderId="37" applyNumberFormat="0" applyAlignment="0" applyProtection="0"/>
    <xf numFmtId="0" fontId="101" fillId="129" borderId="37" applyNumberFormat="0" applyAlignment="0" applyProtection="0"/>
    <xf numFmtId="0" fontId="101" fillId="129" borderId="37" applyNumberFormat="0" applyAlignment="0" applyProtection="0"/>
    <xf numFmtId="0" fontId="101" fillId="129" borderId="37" applyNumberFormat="0" applyAlignment="0" applyProtection="0"/>
    <xf numFmtId="0" fontId="101" fillId="129" borderId="37" applyNumberFormat="0" applyAlignment="0" applyProtection="0"/>
    <xf numFmtId="0" fontId="101" fillId="129" borderId="37" applyNumberFormat="0" applyAlignment="0" applyProtection="0"/>
    <xf numFmtId="0" fontId="101" fillId="129" borderId="37" applyNumberFormat="0" applyAlignment="0" applyProtection="0"/>
    <xf numFmtId="0" fontId="101" fillId="129" borderId="37" applyNumberFormat="0" applyAlignment="0" applyProtection="0"/>
    <xf numFmtId="0" fontId="101" fillId="129" borderId="37" applyNumberFormat="0" applyAlignment="0" applyProtection="0"/>
    <xf numFmtId="0" fontId="101" fillId="129" borderId="37" applyNumberFormat="0" applyAlignment="0" applyProtection="0"/>
    <xf numFmtId="0" fontId="101" fillId="129" borderId="37" applyNumberFormat="0" applyAlignment="0" applyProtection="0"/>
    <xf numFmtId="0" fontId="101" fillId="129" borderId="37" applyNumberFormat="0" applyAlignment="0" applyProtection="0"/>
    <xf numFmtId="0" fontId="101" fillId="129" borderId="37" applyNumberFormat="0" applyAlignment="0" applyProtection="0"/>
    <xf numFmtId="0" fontId="101" fillId="129" borderId="37" applyNumberFormat="0" applyAlignment="0" applyProtection="0"/>
    <xf numFmtId="0" fontId="101" fillId="129" borderId="37" applyNumberFormat="0" applyAlignment="0" applyProtection="0"/>
    <xf numFmtId="0" fontId="101" fillId="129" borderId="37" applyNumberFormat="0" applyAlignment="0" applyProtection="0"/>
    <xf numFmtId="0" fontId="101" fillId="129" borderId="37" applyNumberFormat="0" applyAlignment="0" applyProtection="0"/>
    <xf numFmtId="0" fontId="101" fillId="129" borderId="37" applyNumberFormat="0" applyAlignment="0" applyProtection="0"/>
    <xf numFmtId="0" fontId="101" fillId="129" borderId="37" applyNumberFormat="0" applyAlignment="0" applyProtection="0"/>
    <xf numFmtId="0" fontId="101" fillId="129" borderId="37" applyNumberFormat="0" applyAlignment="0" applyProtection="0"/>
    <xf numFmtId="0" fontId="101" fillId="127" borderId="37" applyNumberFormat="0" applyProtection="0"/>
    <xf numFmtId="0" fontId="101" fillId="127" borderId="37" applyNumberFormat="0" applyProtection="0"/>
    <xf numFmtId="0" fontId="101" fillId="127" borderId="37" applyNumberFormat="0" applyProtection="0"/>
    <xf numFmtId="0" fontId="101" fillId="127" borderId="37" applyNumberFormat="0" applyProtection="0"/>
    <xf numFmtId="0" fontId="101" fillId="127" borderId="37" applyNumberFormat="0" applyProtection="0"/>
    <xf numFmtId="0" fontId="101" fillId="127" borderId="37" applyNumberFormat="0" applyProtection="0"/>
    <xf numFmtId="0" fontId="101" fillId="127" borderId="37" applyNumberFormat="0" applyProtection="0"/>
    <xf numFmtId="0" fontId="101" fillId="127" borderId="37" applyNumberFormat="0" applyProtection="0"/>
    <xf numFmtId="0" fontId="101" fillId="127" borderId="37" applyNumberFormat="0" applyProtection="0"/>
    <xf numFmtId="0" fontId="101" fillId="127" borderId="37" applyNumberFormat="0" applyProtection="0"/>
    <xf numFmtId="0" fontId="101" fillId="127" borderId="37" applyNumberFormat="0" applyProtection="0"/>
    <xf numFmtId="0" fontId="101" fillId="127" borderId="37" applyNumberFormat="0" applyProtection="0"/>
    <xf numFmtId="0" fontId="101" fillId="127" borderId="37" applyNumberFormat="0" applyProtection="0"/>
    <xf numFmtId="0" fontId="101" fillId="127" borderId="37" applyNumberFormat="0" applyProtection="0"/>
    <xf numFmtId="0" fontId="101" fillId="127" borderId="37" applyNumberFormat="0" applyProtection="0"/>
    <xf numFmtId="0" fontId="101" fillId="127" borderId="37" applyNumberFormat="0" applyProtection="0"/>
    <xf numFmtId="0" fontId="101" fillId="127" borderId="37" applyNumberFormat="0" applyProtection="0"/>
    <xf numFmtId="0" fontId="101" fillId="127" borderId="37" applyNumberFormat="0" applyProtection="0"/>
    <xf numFmtId="0" fontId="101" fillId="127" borderId="37" applyNumberFormat="0" applyProtection="0"/>
    <xf numFmtId="0" fontId="101" fillId="127" borderId="37" applyNumberFormat="0" applyProtection="0"/>
    <xf numFmtId="0" fontId="101" fillId="127" borderId="37" applyNumberFormat="0" applyProtection="0"/>
    <xf numFmtId="0" fontId="101" fillId="127" borderId="37" applyNumberFormat="0" applyProtection="0"/>
    <xf numFmtId="0" fontId="101" fillId="127" borderId="37" applyNumberFormat="0" applyProtection="0"/>
    <xf numFmtId="0" fontId="101" fillId="127" borderId="37" applyNumberFormat="0" applyProtection="0"/>
    <xf numFmtId="0" fontId="101" fillId="127" borderId="37" applyNumberFormat="0" applyProtection="0"/>
    <xf numFmtId="0" fontId="101" fillId="127" borderId="37" applyNumberFormat="0" applyProtection="0"/>
    <xf numFmtId="0" fontId="101" fillId="127" borderId="37" applyNumberFormat="0" applyProtection="0"/>
    <xf numFmtId="0" fontId="101" fillId="127" borderId="37" applyNumberFormat="0" applyProtection="0"/>
    <xf numFmtId="0" fontId="101" fillId="127" borderId="37" applyNumberFormat="0" applyProtection="0"/>
    <xf numFmtId="0" fontId="101" fillId="127" borderId="37" applyNumberFormat="0" applyProtection="0"/>
    <xf numFmtId="0" fontId="101" fillId="127" borderId="37" applyNumberFormat="0" applyProtection="0"/>
    <xf numFmtId="0" fontId="101" fillId="129" borderId="37" applyNumberFormat="0" applyAlignment="0" applyProtection="0"/>
    <xf numFmtId="0" fontId="101" fillId="129" borderId="37" applyNumberFormat="0" applyAlignment="0" applyProtection="0"/>
    <xf numFmtId="0" fontId="101" fillId="129" borderId="37" applyNumberFormat="0" applyAlignment="0" applyProtection="0"/>
    <xf numFmtId="0" fontId="101" fillId="129" borderId="37" applyNumberFormat="0" applyAlignment="0" applyProtection="0"/>
    <xf numFmtId="0" fontId="101" fillId="129" borderId="37" applyNumberFormat="0" applyAlignment="0" applyProtection="0"/>
    <xf numFmtId="0" fontId="101" fillId="129" borderId="37" applyNumberFormat="0" applyAlignment="0" applyProtection="0"/>
    <xf numFmtId="0" fontId="101" fillId="129" borderId="37" applyNumberFormat="0" applyAlignment="0" applyProtection="0"/>
    <xf numFmtId="0" fontId="101" fillId="129" borderId="37" applyNumberFormat="0" applyAlignment="0" applyProtection="0"/>
    <xf numFmtId="0" fontId="101" fillId="129" borderId="37" applyNumberFormat="0" applyAlignment="0" applyProtection="0"/>
    <xf numFmtId="0" fontId="101" fillId="129" borderId="37" applyNumberFormat="0" applyAlignment="0" applyProtection="0"/>
    <xf numFmtId="0" fontId="101" fillId="129" borderId="37" applyNumberFormat="0" applyAlignment="0" applyProtection="0"/>
    <xf numFmtId="0" fontId="101" fillId="129" borderId="37" applyNumberFormat="0" applyAlignment="0" applyProtection="0"/>
    <xf numFmtId="0" fontId="101" fillId="129" borderId="37" applyNumberFormat="0" applyAlignment="0" applyProtection="0"/>
    <xf numFmtId="0" fontId="101" fillId="129" borderId="37" applyNumberFormat="0" applyAlignment="0" applyProtection="0"/>
    <xf numFmtId="0" fontId="101" fillId="129" borderId="37" applyNumberFormat="0" applyAlignment="0" applyProtection="0"/>
    <xf numFmtId="0" fontId="101" fillId="129" borderId="37" applyNumberFormat="0" applyAlignment="0" applyProtection="0"/>
    <xf numFmtId="0" fontId="101" fillId="129" borderId="37" applyNumberFormat="0" applyAlignment="0" applyProtection="0"/>
    <xf numFmtId="0" fontId="101" fillId="129" borderId="37" applyNumberFormat="0" applyAlignment="0" applyProtection="0"/>
    <xf numFmtId="0" fontId="101" fillId="129" borderId="37" applyNumberFormat="0" applyAlignment="0" applyProtection="0"/>
    <xf numFmtId="0" fontId="101" fillId="129" borderId="37" applyNumberFormat="0" applyAlignment="0" applyProtection="0"/>
    <xf numFmtId="0" fontId="101" fillId="129" borderId="37" applyNumberFormat="0" applyAlignment="0" applyProtection="0"/>
    <xf numFmtId="0" fontId="101" fillId="129" borderId="37" applyNumberFormat="0" applyAlignment="0" applyProtection="0"/>
    <xf numFmtId="0" fontId="101" fillId="129" borderId="37" applyNumberFormat="0" applyAlignment="0" applyProtection="0"/>
    <xf numFmtId="0" fontId="101" fillId="129" borderId="37" applyNumberFormat="0" applyAlignment="0" applyProtection="0"/>
    <xf numFmtId="0" fontId="101" fillId="129" borderId="37" applyNumberFormat="0" applyAlignment="0" applyProtection="0"/>
    <xf numFmtId="0" fontId="101" fillId="129" borderId="37" applyNumberFormat="0" applyAlignment="0" applyProtection="0"/>
    <xf numFmtId="0" fontId="101" fillId="129" borderId="37" applyNumberFormat="0" applyAlignment="0" applyProtection="0"/>
    <xf numFmtId="0" fontId="101" fillId="129" borderId="37" applyNumberFormat="0" applyAlignment="0" applyProtection="0"/>
    <xf numFmtId="0" fontId="101" fillId="129" borderId="37" applyNumberFormat="0" applyAlignment="0" applyProtection="0"/>
    <xf numFmtId="0" fontId="101" fillId="129" borderId="37" applyNumberFormat="0" applyAlignment="0" applyProtection="0"/>
    <xf numFmtId="0" fontId="101" fillId="129" borderId="37" applyNumberFormat="0" applyAlignment="0" applyProtection="0"/>
    <xf numFmtId="0" fontId="101" fillId="129" borderId="37" applyNumberFormat="0" applyAlignment="0" applyProtection="0"/>
    <xf numFmtId="0" fontId="101" fillId="129" borderId="37" applyNumberFormat="0" applyAlignment="0" applyProtection="0"/>
    <xf numFmtId="0" fontId="101" fillId="129" borderId="37" applyNumberFormat="0" applyAlignment="0" applyProtection="0"/>
    <xf numFmtId="0" fontId="101" fillId="129" borderId="37" applyNumberFormat="0" applyAlignment="0" applyProtection="0"/>
    <xf numFmtId="0" fontId="101" fillId="129" borderId="37" applyNumberFormat="0" applyAlignment="0" applyProtection="0"/>
    <xf numFmtId="0" fontId="101" fillId="129" borderId="37" applyNumberFormat="0" applyAlignment="0" applyProtection="0"/>
    <xf numFmtId="0" fontId="101" fillId="129" borderId="37" applyNumberFormat="0" applyAlignment="0" applyProtection="0"/>
    <xf numFmtId="0" fontId="101" fillId="129" borderId="37" applyNumberFormat="0" applyAlignment="0" applyProtection="0"/>
    <xf numFmtId="0" fontId="101" fillId="129" borderId="37" applyNumberFormat="0" applyAlignment="0" applyProtection="0"/>
    <xf numFmtId="0" fontId="101" fillId="129" borderId="37" applyNumberFormat="0" applyAlignment="0" applyProtection="0"/>
    <xf numFmtId="0" fontId="101" fillId="129" borderId="37" applyNumberFormat="0" applyAlignment="0" applyProtection="0"/>
    <xf numFmtId="0" fontId="101" fillId="129" borderId="37" applyNumberFormat="0" applyAlignment="0" applyProtection="0"/>
    <xf numFmtId="0" fontId="101" fillId="129" borderId="37" applyNumberFormat="0" applyAlignment="0" applyProtection="0"/>
    <xf numFmtId="0" fontId="101" fillId="129" borderId="37" applyNumberFormat="0" applyAlignment="0" applyProtection="0"/>
    <xf numFmtId="0" fontId="101" fillId="129" borderId="37" applyNumberFormat="0" applyAlignment="0" applyProtection="0"/>
    <xf numFmtId="0" fontId="101" fillId="129" borderId="37" applyNumberFormat="0" applyAlignment="0" applyProtection="0"/>
    <xf numFmtId="0" fontId="101" fillId="129" borderId="37" applyNumberFormat="0" applyAlignment="0" applyProtection="0"/>
    <xf numFmtId="0" fontId="101" fillId="129" borderId="37" applyNumberFormat="0" applyAlignment="0" applyProtection="0"/>
    <xf numFmtId="0" fontId="101" fillId="129" borderId="37" applyNumberFormat="0" applyAlignment="0" applyProtection="0"/>
    <xf numFmtId="0" fontId="101" fillId="129" borderId="37" applyNumberFormat="0" applyAlignment="0" applyProtection="0"/>
    <xf numFmtId="0" fontId="101" fillId="129" borderId="37" applyNumberFormat="0" applyAlignment="0" applyProtection="0"/>
    <xf numFmtId="0" fontId="101" fillId="129" borderId="37" applyNumberFormat="0" applyAlignment="0" applyProtection="0"/>
    <xf numFmtId="0" fontId="101" fillId="129" borderId="37" applyNumberFormat="0" applyAlignment="0" applyProtection="0"/>
    <xf numFmtId="0" fontId="101" fillId="129" borderId="37" applyNumberFormat="0" applyAlignment="0" applyProtection="0"/>
    <xf numFmtId="0" fontId="101" fillId="129" borderId="37" applyNumberFormat="0" applyAlignment="0" applyProtection="0"/>
    <xf numFmtId="0" fontId="101" fillId="129" borderId="37" applyNumberFormat="0" applyAlignment="0" applyProtection="0"/>
    <xf numFmtId="0" fontId="101" fillId="129" borderId="37" applyNumberFormat="0" applyAlignment="0" applyProtection="0"/>
    <xf numFmtId="0" fontId="101" fillId="129" borderId="37" applyNumberFormat="0" applyAlignment="0" applyProtection="0"/>
    <xf numFmtId="0" fontId="101" fillId="129" borderId="37" applyNumberFormat="0" applyAlignment="0" applyProtection="0"/>
    <xf numFmtId="0" fontId="101" fillId="129" borderId="37" applyNumberFormat="0" applyAlignment="0" applyProtection="0"/>
    <xf numFmtId="0" fontId="101" fillId="129" borderId="37" applyNumberFormat="0" applyAlignment="0" applyProtection="0"/>
    <xf numFmtId="0" fontId="101" fillId="127" borderId="37" applyNumberFormat="0" applyProtection="0"/>
    <xf numFmtId="0" fontId="101" fillId="127" borderId="37" applyNumberFormat="0" applyProtection="0"/>
    <xf numFmtId="0" fontId="101" fillId="127" borderId="37" applyNumberFormat="0" applyProtection="0"/>
    <xf numFmtId="0" fontId="101" fillId="127" borderId="37" applyNumberFormat="0" applyProtection="0"/>
    <xf numFmtId="0" fontId="101" fillId="127" borderId="37" applyNumberFormat="0" applyProtection="0"/>
    <xf numFmtId="0" fontId="101" fillId="127" borderId="37" applyNumberFormat="0" applyProtection="0"/>
    <xf numFmtId="0" fontId="101" fillId="127" borderId="37" applyNumberFormat="0" applyProtection="0"/>
    <xf numFmtId="0" fontId="101" fillId="127" borderId="37" applyNumberFormat="0" applyProtection="0"/>
    <xf numFmtId="0" fontId="101" fillId="127" borderId="37" applyNumberFormat="0" applyProtection="0"/>
    <xf numFmtId="0" fontId="101" fillId="127" borderId="37" applyNumberFormat="0" applyProtection="0"/>
    <xf numFmtId="0" fontId="101" fillId="127" borderId="37" applyNumberFormat="0" applyProtection="0"/>
    <xf numFmtId="0" fontId="101" fillId="127" borderId="37" applyNumberFormat="0" applyProtection="0"/>
    <xf numFmtId="0" fontId="101" fillId="127" borderId="37" applyNumberFormat="0" applyProtection="0"/>
    <xf numFmtId="0" fontId="101" fillId="127" borderId="37" applyNumberFormat="0" applyProtection="0"/>
    <xf numFmtId="0" fontId="101" fillId="127" borderId="37" applyNumberFormat="0" applyProtection="0"/>
    <xf numFmtId="0" fontId="101" fillId="127" borderId="37" applyNumberFormat="0" applyProtection="0"/>
    <xf numFmtId="0" fontId="101" fillId="127" borderId="37" applyNumberFormat="0" applyProtection="0"/>
    <xf numFmtId="0" fontId="101" fillId="127" borderId="37" applyNumberFormat="0" applyProtection="0"/>
    <xf numFmtId="0" fontId="101" fillId="127" borderId="37" applyNumberFormat="0" applyProtection="0"/>
    <xf numFmtId="0" fontId="101" fillId="127" borderId="37" applyNumberFormat="0" applyProtection="0"/>
    <xf numFmtId="0" fontId="101" fillId="127" borderId="37" applyNumberFormat="0" applyProtection="0"/>
    <xf numFmtId="0" fontId="101" fillId="127" borderId="37" applyNumberFormat="0" applyProtection="0"/>
    <xf numFmtId="0" fontId="101" fillId="127" borderId="37" applyNumberFormat="0" applyProtection="0"/>
    <xf numFmtId="0" fontId="101" fillId="127" borderId="37" applyNumberFormat="0" applyProtection="0"/>
    <xf numFmtId="0" fontId="101" fillId="127" borderId="37" applyNumberFormat="0" applyProtection="0"/>
    <xf numFmtId="0" fontId="101" fillId="127" borderId="37" applyNumberFormat="0" applyProtection="0"/>
    <xf numFmtId="0" fontId="101" fillId="127" borderId="37" applyNumberFormat="0" applyProtection="0"/>
    <xf numFmtId="0" fontId="101" fillId="127" borderId="37" applyNumberFormat="0" applyProtection="0"/>
    <xf numFmtId="0" fontId="101" fillId="127" borderId="37" applyNumberFormat="0" applyProtection="0"/>
    <xf numFmtId="0" fontId="101" fillId="127" borderId="37" applyNumberFormat="0" applyProtection="0"/>
    <xf numFmtId="0" fontId="101" fillId="127" borderId="37" applyNumberFormat="0" applyProtection="0"/>
    <xf numFmtId="0" fontId="101" fillId="127" borderId="37" applyNumberFormat="0" applyProtection="0"/>
    <xf numFmtId="0" fontId="101" fillId="129" borderId="37" applyNumberFormat="0" applyAlignment="0" applyProtection="0"/>
    <xf numFmtId="0" fontId="101" fillId="129" borderId="37" applyNumberFormat="0" applyAlignment="0" applyProtection="0"/>
    <xf numFmtId="0" fontId="101" fillId="129" borderId="37" applyNumberFormat="0" applyAlignment="0" applyProtection="0"/>
    <xf numFmtId="0" fontId="101" fillId="129" borderId="37" applyNumberFormat="0" applyAlignment="0" applyProtection="0"/>
    <xf numFmtId="0" fontId="101" fillId="129" borderId="37" applyNumberFormat="0" applyAlignment="0" applyProtection="0"/>
    <xf numFmtId="0" fontId="101" fillId="129" borderId="37" applyNumberFormat="0" applyAlignment="0" applyProtection="0"/>
    <xf numFmtId="0" fontId="101" fillId="129" borderId="37" applyNumberFormat="0" applyAlignment="0" applyProtection="0"/>
    <xf numFmtId="0" fontId="101" fillId="129" borderId="37" applyNumberFormat="0" applyAlignment="0" applyProtection="0"/>
    <xf numFmtId="0" fontId="101" fillId="129" borderId="37" applyNumberFormat="0" applyAlignment="0" applyProtection="0"/>
    <xf numFmtId="0" fontId="101" fillId="129" borderId="37" applyNumberFormat="0" applyAlignment="0" applyProtection="0"/>
    <xf numFmtId="0" fontId="101" fillId="129" borderId="37" applyNumberFormat="0" applyAlignment="0" applyProtection="0"/>
    <xf numFmtId="0" fontId="101" fillId="129" borderId="37" applyNumberFormat="0" applyAlignment="0" applyProtection="0"/>
    <xf numFmtId="0" fontId="101" fillId="129" borderId="37" applyNumberFormat="0" applyAlignment="0" applyProtection="0"/>
    <xf numFmtId="0" fontId="101" fillId="129" borderId="37" applyNumberFormat="0" applyAlignment="0" applyProtection="0"/>
    <xf numFmtId="0" fontId="101" fillId="129" borderId="37" applyNumberFormat="0" applyAlignment="0" applyProtection="0"/>
    <xf numFmtId="0" fontId="101" fillId="129" borderId="37" applyNumberFormat="0" applyAlignment="0" applyProtection="0"/>
    <xf numFmtId="0" fontId="101" fillId="129" borderId="37" applyNumberFormat="0" applyAlignment="0" applyProtection="0"/>
    <xf numFmtId="0" fontId="101" fillId="129" borderId="37" applyNumberFormat="0" applyAlignment="0" applyProtection="0"/>
    <xf numFmtId="0" fontId="101" fillId="129" borderId="37" applyNumberFormat="0" applyAlignment="0" applyProtection="0"/>
    <xf numFmtId="0" fontId="101" fillId="129" borderId="37" applyNumberFormat="0" applyAlignment="0" applyProtection="0"/>
    <xf numFmtId="0" fontId="101" fillId="129" borderId="37" applyNumberFormat="0" applyAlignment="0" applyProtection="0"/>
    <xf numFmtId="0" fontId="101" fillId="129" borderId="37" applyNumberFormat="0" applyAlignment="0" applyProtection="0"/>
    <xf numFmtId="0" fontId="101" fillId="129" borderId="37" applyNumberFormat="0" applyAlignment="0" applyProtection="0"/>
    <xf numFmtId="0" fontId="101" fillId="129" borderId="37" applyNumberFormat="0" applyAlignment="0" applyProtection="0"/>
    <xf numFmtId="0" fontId="101" fillId="129" borderId="37" applyNumberFormat="0" applyAlignment="0" applyProtection="0"/>
    <xf numFmtId="0" fontId="101" fillId="129" borderId="37" applyNumberFormat="0" applyAlignment="0" applyProtection="0"/>
    <xf numFmtId="0" fontId="101" fillId="129" borderId="37" applyNumberFormat="0" applyAlignment="0" applyProtection="0"/>
    <xf numFmtId="0" fontId="101" fillId="129" borderId="37" applyNumberFormat="0" applyAlignment="0" applyProtection="0"/>
    <xf numFmtId="0" fontId="101" fillId="129" borderId="37" applyNumberFormat="0" applyAlignment="0" applyProtection="0"/>
    <xf numFmtId="0" fontId="101" fillId="129" borderId="37" applyNumberFormat="0" applyAlignment="0" applyProtection="0"/>
    <xf numFmtId="0" fontId="101" fillId="129" borderId="37" applyNumberFormat="0" applyAlignment="0" applyProtection="0"/>
    <xf numFmtId="0" fontId="101" fillId="129" borderId="37" applyNumberFormat="0" applyAlignment="0" applyProtection="0"/>
    <xf numFmtId="0" fontId="101" fillId="129" borderId="37" applyNumberFormat="0" applyAlignment="0" applyProtection="0"/>
    <xf numFmtId="0" fontId="101" fillId="129" borderId="37" applyNumberFormat="0" applyAlignment="0" applyProtection="0"/>
    <xf numFmtId="0" fontId="101" fillId="129" borderId="37" applyNumberFormat="0" applyAlignment="0" applyProtection="0"/>
    <xf numFmtId="0" fontId="101" fillId="129" borderId="37" applyNumberFormat="0" applyAlignment="0" applyProtection="0"/>
    <xf numFmtId="0" fontId="101" fillId="129" borderId="37" applyNumberFormat="0" applyAlignment="0" applyProtection="0"/>
    <xf numFmtId="0" fontId="101" fillId="129" borderId="37" applyNumberFormat="0" applyAlignment="0" applyProtection="0"/>
    <xf numFmtId="0" fontId="101" fillId="129" borderId="37" applyNumberFormat="0" applyAlignment="0" applyProtection="0"/>
    <xf numFmtId="0" fontId="101" fillId="129" borderId="37" applyNumberFormat="0" applyAlignment="0" applyProtection="0"/>
    <xf numFmtId="0" fontId="101" fillId="129" borderId="37" applyNumberFormat="0" applyAlignment="0" applyProtection="0"/>
    <xf numFmtId="0" fontId="101" fillId="129" borderId="37" applyNumberFormat="0" applyAlignment="0" applyProtection="0"/>
    <xf numFmtId="0" fontId="101" fillId="129" borderId="37" applyNumberFormat="0" applyAlignment="0" applyProtection="0"/>
    <xf numFmtId="0" fontId="101" fillId="129" borderId="37" applyNumberFormat="0" applyAlignment="0" applyProtection="0"/>
    <xf numFmtId="0" fontId="101" fillId="129" borderId="37" applyNumberFormat="0" applyAlignment="0" applyProtection="0"/>
    <xf numFmtId="0" fontId="101" fillId="129" borderId="37" applyNumberFormat="0" applyAlignment="0" applyProtection="0"/>
    <xf numFmtId="0" fontId="101" fillId="129" borderId="37" applyNumberFormat="0" applyAlignment="0" applyProtection="0"/>
    <xf numFmtId="0" fontId="101" fillId="129" borderId="37" applyNumberFormat="0" applyAlignment="0" applyProtection="0"/>
    <xf numFmtId="0" fontId="101" fillId="129" borderId="37" applyNumberFormat="0" applyAlignment="0" applyProtection="0"/>
    <xf numFmtId="0" fontId="101" fillId="129" borderId="37" applyNumberFormat="0" applyAlignment="0" applyProtection="0"/>
    <xf numFmtId="0" fontId="101" fillId="129" borderId="37" applyNumberFormat="0" applyAlignment="0" applyProtection="0"/>
    <xf numFmtId="0" fontId="101" fillId="129" borderId="37" applyNumberFormat="0" applyAlignment="0" applyProtection="0"/>
    <xf numFmtId="0" fontId="101" fillId="129" borderId="37" applyNumberFormat="0" applyAlignment="0" applyProtection="0"/>
    <xf numFmtId="0" fontId="101" fillId="129" borderId="37" applyNumberFormat="0" applyAlignment="0" applyProtection="0"/>
    <xf numFmtId="0" fontId="101" fillId="129" borderId="37" applyNumberFormat="0" applyAlignment="0" applyProtection="0"/>
    <xf numFmtId="0" fontId="101" fillId="129" borderId="37" applyNumberFormat="0" applyAlignment="0" applyProtection="0"/>
    <xf numFmtId="0" fontId="101" fillId="129" borderId="37" applyNumberFormat="0" applyAlignment="0" applyProtection="0"/>
    <xf numFmtId="0" fontId="101" fillId="129" borderId="37" applyNumberFormat="0" applyAlignment="0" applyProtection="0"/>
    <xf numFmtId="0" fontId="101" fillId="129" borderId="37" applyNumberFormat="0" applyAlignment="0" applyProtection="0"/>
    <xf numFmtId="0" fontId="101" fillId="129" borderId="37" applyNumberFormat="0" applyAlignment="0" applyProtection="0"/>
    <xf numFmtId="0" fontId="101" fillId="129" borderId="37" applyNumberFormat="0" applyAlignment="0" applyProtection="0"/>
    <xf numFmtId="0" fontId="101" fillId="129" borderId="37" applyNumberFormat="0" applyAlignment="0" applyProtection="0"/>
    <xf numFmtId="0" fontId="101" fillId="127" borderId="37" applyNumberFormat="0" applyProtection="0"/>
    <xf numFmtId="0" fontId="101" fillId="127" borderId="37" applyNumberFormat="0" applyProtection="0"/>
    <xf numFmtId="0" fontId="101" fillId="127" borderId="37" applyNumberFormat="0" applyProtection="0"/>
    <xf numFmtId="0" fontId="101" fillId="127" borderId="37" applyNumberFormat="0" applyProtection="0"/>
    <xf numFmtId="0" fontId="101" fillId="127" borderId="37" applyNumberFormat="0" applyProtection="0"/>
    <xf numFmtId="0" fontId="101" fillId="127" borderId="37" applyNumberFormat="0" applyProtection="0"/>
    <xf numFmtId="0" fontId="101" fillId="127" borderId="37" applyNumberFormat="0" applyProtection="0"/>
    <xf numFmtId="0" fontId="101" fillId="127" borderId="37" applyNumberFormat="0" applyProtection="0"/>
    <xf numFmtId="0" fontId="101" fillId="127" borderId="37" applyNumberFormat="0" applyProtection="0"/>
    <xf numFmtId="0" fontId="101" fillId="127" borderId="37" applyNumberFormat="0" applyProtection="0"/>
    <xf numFmtId="0" fontId="101" fillId="127" borderId="37" applyNumberFormat="0" applyProtection="0"/>
    <xf numFmtId="0" fontId="101" fillId="127" borderId="37" applyNumberFormat="0" applyProtection="0"/>
    <xf numFmtId="0" fontId="101" fillId="127" borderId="37" applyNumberFormat="0" applyProtection="0"/>
    <xf numFmtId="0" fontId="101" fillId="127" borderId="37" applyNumberFormat="0" applyProtection="0"/>
    <xf numFmtId="0" fontId="101" fillId="127" borderId="37" applyNumberFormat="0" applyProtection="0"/>
    <xf numFmtId="0" fontId="101" fillId="127" borderId="37" applyNumberFormat="0" applyProtection="0"/>
    <xf numFmtId="0" fontId="101" fillId="127" borderId="37" applyNumberFormat="0" applyProtection="0"/>
    <xf numFmtId="0" fontId="101" fillId="127" borderId="37" applyNumberFormat="0" applyProtection="0"/>
    <xf numFmtId="0" fontId="101" fillId="127" borderId="37" applyNumberFormat="0" applyProtection="0"/>
    <xf numFmtId="0" fontId="101" fillId="127" borderId="37" applyNumberFormat="0" applyProtection="0"/>
    <xf numFmtId="0" fontId="101" fillId="127" borderId="37" applyNumberFormat="0" applyProtection="0"/>
    <xf numFmtId="0" fontId="101" fillId="127" borderId="37" applyNumberFormat="0" applyProtection="0"/>
    <xf numFmtId="0" fontId="101" fillId="127" borderId="37" applyNumberFormat="0" applyProtection="0"/>
    <xf numFmtId="0" fontId="101" fillId="127" borderId="37" applyNumberFormat="0" applyProtection="0"/>
    <xf numFmtId="0" fontId="101" fillId="127" borderId="37" applyNumberFormat="0" applyProtection="0"/>
    <xf numFmtId="0" fontId="101" fillId="127" borderId="37" applyNumberFormat="0" applyProtection="0"/>
    <xf numFmtId="0" fontId="101" fillId="127" borderId="37" applyNumberFormat="0" applyProtection="0"/>
    <xf numFmtId="0" fontId="101" fillId="127" borderId="37" applyNumberFormat="0" applyProtection="0"/>
    <xf numFmtId="0" fontId="101" fillId="127" borderId="37" applyNumberFormat="0" applyProtection="0"/>
    <xf numFmtId="0" fontId="101" fillId="127" borderId="37" applyNumberFormat="0" applyProtection="0"/>
    <xf numFmtId="0" fontId="101" fillId="127" borderId="37" applyNumberFormat="0" applyProtection="0"/>
    <xf numFmtId="0" fontId="101" fillId="127" borderId="37" applyNumberFormat="0" applyProtection="0"/>
    <xf numFmtId="0" fontId="101" fillId="129" borderId="37" applyNumberFormat="0" applyAlignment="0" applyProtection="0"/>
    <xf numFmtId="0" fontId="101" fillId="129" borderId="37" applyNumberFormat="0" applyAlignment="0" applyProtection="0"/>
    <xf numFmtId="0" fontId="101" fillId="129" borderId="37" applyNumberFormat="0" applyAlignment="0" applyProtection="0"/>
    <xf numFmtId="0" fontId="101" fillId="129" borderId="37" applyNumberFormat="0" applyAlignment="0" applyProtection="0"/>
    <xf numFmtId="0" fontId="101" fillId="129" borderId="37" applyNumberFormat="0" applyAlignment="0" applyProtection="0"/>
    <xf numFmtId="0" fontId="101" fillId="129" borderId="37" applyNumberFormat="0" applyAlignment="0" applyProtection="0"/>
    <xf numFmtId="0" fontId="101" fillId="129" borderId="37" applyNumberFormat="0" applyAlignment="0" applyProtection="0"/>
    <xf numFmtId="0" fontId="101" fillId="129" borderId="37" applyNumberFormat="0" applyAlignment="0" applyProtection="0"/>
    <xf numFmtId="0" fontId="101" fillId="129" borderId="37" applyNumberFormat="0" applyAlignment="0" applyProtection="0"/>
    <xf numFmtId="0" fontId="101" fillId="129" borderId="37" applyNumberFormat="0" applyAlignment="0" applyProtection="0"/>
    <xf numFmtId="0" fontId="101" fillId="129" borderId="37" applyNumberFormat="0" applyAlignment="0" applyProtection="0"/>
    <xf numFmtId="0" fontId="101" fillId="129" borderId="37" applyNumberFormat="0" applyAlignment="0" applyProtection="0"/>
    <xf numFmtId="0" fontId="101" fillId="129" borderId="37" applyNumberFormat="0" applyAlignment="0" applyProtection="0"/>
    <xf numFmtId="0" fontId="101" fillId="129" borderId="37" applyNumberFormat="0" applyAlignment="0" applyProtection="0"/>
    <xf numFmtId="0" fontId="101" fillId="129" borderId="37" applyNumberFormat="0" applyAlignment="0" applyProtection="0"/>
    <xf numFmtId="0" fontId="101" fillId="129" borderId="37" applyNumberFormat="0" applyAlignment="0" applyProtection="0"/>
    <xf numFmtId="0" fontId="101" fillId="129" borderId="37" applyNumberFormat="0" applyAlignment="0" applyProtection="0"/>
    <xf numFmtId="0" fontId="101" fillId="129" borderId="37" applyNumberFormat="0" applyAlignment="0" applyProtection="0"/>
    <xf numFmtId="0" fontId="101" fillId="129" borderId="37" applyNumberFormat="0" applyAlignment="0" applyProtection="0"/>
    <xf numFmtId="0" fontId="101" fillId="129" borderId="37" applyNumberFormat="0" applyAlignment="0" applyProtection="0"/>
    <xf numFmtId="0" fontId="101" fillId="129" borderId="37" applyNumberFormat="0" applyAlignment="0" applyProtection="0"/>
    <xf numFmtId="0" fontId="101" fillId="129" borderId="37" applyNumberFormat="0" applyAlignment="0" applyProtection="0"/>
    <xf numFmtId="0" fontId="101" fillId="129" borderId="37" applyNumberFormat="0" applyAlignment="0" applyProtection="0"/>
    <xf numFmtId="0" fontId="101" fillId="129" borderId="37" applyNumberFormat="0" applyAlignment="0" applyProtection="0"/>
    <xf numFmtId="0" fontId="101" fillId="129" borderId="37" applyNumberFormat="0" applyAlignment="0" applyProtection="0"/>
    <xf numFmtId="0" fontId="101" fillId="129" borderId="37" applyNumberFormat="0" applyAlignment="0" applyProtection="0"/>
    <xf numFmtId="0" fontId="101" fillId="129" borderId="37" applyNumberFormat="0" applyAlignment="0" applyProtection="0"/>
    <xf numFmtId="0" fontId="101" fillId="129" borderId="37" applyNumberFormat="0" applyAlignment="0" applyProtection="0"/>
    <xf numFmtId="0" fontId="101" fillId="129" borderId="37" applyNumberFormat="0" applyAlignment="0" applyProtection="0"/>
    <xf numFmtId="0" fontId="101" fillId="129" borderId="37" applyNumberFormat="0" applyAlignment="0" applyProtection="0"/>
    <xf numFmtId="0" fontId="101" fillId="129" borderId="37" applyNumberFormat="0" applyAlignment="0" applyProtection="0"/>
    <xf numFmtId="0" fontId="101" fillId="129" borderId="37" applyNumberFormat="0" applyAlignment="0" applyProtection="0"/>
    <xf numFmtId="0" fontId="101" fillId="129" borderId="37" applyNumberFormat="0" applyAlignment="0" applyProtection="0"/>
    <xf numFmtId="0" fontId="101" fillId="129" borderId="37" applyNumberFormat="0" applyAlignment="0" applyProtection="0"/>
    <xf numFmtId="0" fontId="101" fillId="129" borderId="37" applyNumberFormat="0" applyAlignment="0" applyProtection="0"/>
    <xf numFmtId="0" fontId="101" fillId="129" borderId="37" applyNumberFormat="0" applyAlignment="0" applyProtection="0"/>
    <xf numFmtId="0" fontId="101" fillId="129" borderId="37" applyNumberFormat="0" applyAlignment="0" applyProtection="0"/>
    <xf numFmtId="0" fontId="101" fillId="129" borderId="37" applyNumberFormat="0" applyAlignment="0" applyProtection="0"/>
    <xf numFmtId="0" fontId="101" fillId="129" borderId="37" applyNumberFormat="0" applyAlignment="0" applyProtection="0"/>
    <xf numFmtId="0" fontId="101" fillId="129" borderId="37" applyNumberFormat="0" applyAlignment="0" applyProtection="0"/>
    <xf numFmtId="0" fontId="101" fillId="129" borderId="37" applyNumberFormat="0" applyAlignment="0" applyProtection="0"/>
    <xf numFmtId="0" fontId="101" fillId="129" borderId="37" applyNumberFormat="0" applyAlignment="0" applyProtection="0"/>
    <xf numFmtId="0" fontId="101" fillId="129" borderId="37" applyNumberFormat="0" applyAlignment="0" applyProtection="0"/>
    <xf numFmtId="0" fontId="101" fillId="129" borderId="37" applyNumberFormat="0" applyAlignment="0" applyProtection="0"/>
    <xf numFmtId="0" fontId="101" fillId="129" borderId="37" applyNumberFormat="0" applyAlignment="0" applyProtection="0"/>
    <xf numFmtId="0" fontId="101" fillId="129" borderId="37" applyNumberFormat="0" applyAlignment="0" applyProtection="0"/>
    <xf numFmtId="0" fontId="101" fillId="129" borderId="37" applyNumberFormat="0" applyAlignment="0" applyProtection="0"/>
    <xf numFmtId="0" fontId="101" fillId="129" borderId="37" applyNumberFormat="0" applyAlignment="0" applyProtection="0"/>
    <xf numFmtId="0" fontId="101" fillId="129" borderId="37" applyNumberFormat="0" applyAlignment="0" applyProtection="0"/>
    <xf numFmtId="0" fontId="101" fillId="129" borderId="37" applyNumberFormat="0" applyAlignment="0" applyProtection="0"/>
    <xf numFmtId="0" fontId="101" fillId="129" borderId="37" applyNumberFormat="0" applyAlignment="0" applyProtection="0"/>
    <xf numFmtId="0" fontId="101" fillId="129" borderId="37" applyNumberFormat="0" applyAlignment="0" applyProtection="0"/>
    <xf numFmtId="0" fontId="101" fillId="129" borderId="37" applyNumberFormat="0" applyAlignment="0" applyProtection="0"/>
    <xf numFmtId="0" fontId="101" fillId="129" borderId="37" applyNumberFormat="0" applyAlignment="0" applyProtection="0"/>
    <xf numFmtId="0" fontId="101" fillId="129" borderId="37" applyNumberFormat="0" applyAlignment="0" applyProtection="0"/>
    <xf numFmtId="0" fontId="101" fillId="129" borderId="37" applyNumberFormat="0" applyAlignment="0" applyProtection="0"/>
    <xf numFmtId="0" fontId="101" fillId="129" borderId="37" applyNumberFormat="0" applyAlignment="0" applyProtection="0"/>
    <xf numFmtId="0" fontId="101" fillId="129" borderId="37" applyNumberFormat="0" applyAlignment="0" applyProtection="0"/>
    <xf numFmtId="0" fontId="101" fillId="129" borderId="37" applyNumberFormat="0" applyAlignment="0" applyProtection="0"/>
    <xf numFmtId="0" fontId="101" fillId="129" borderId="37" applyNumberFormat="0" applyAlignment="0" applyProtection="0"/>
    <xf numFmtId="0" fontId="101" fillId="129" borderId="37" applyNumberFormat="0" applyAlignment="0" applyProtection="0"/>
    <xf numFmtId="0" fontId="101" fillId="129" borderId="37" applyNumberFormat="0" applyAlignment="0" applyProtection="0"/>
    <xf numFmtId="0" fontId="101" fillId="127" borderId="37" applyNumberFormat="0" applyProtection="0"/>
    <xf numFmtId="0" fontId="101" fillId="127" borderId="37" applyNumberFormat="0" applyProtection="0"/>
    <xf numFmtId="0" fontId="101" fillId="127" borderId="37" applyNumberFormat="0" applyProtection="0"/>
    <xf numFmtId="0" fontId="101" fillId="127" borderId="37" applyNumberFormat="0" applyProtection="0"/>
    <xf numFmtId="0" fontId="101" fillId="127" borderId="37" applyNumberFormat="0" applyProtection="0"/>
    <xf numFmtId="0" fontId="101" fillId="127" borderId="37" applyNumberFormat="0" applyProtection="0"/>
    <xf numFmtId="0" fontId="101" fillId="127" borderId="37" applyNumberFormat="0" applyProtection="0"/>
    <xf numFmtId="0" fontId="101" fillId="127" borderId="37" applyNumberFormat="0" applyProtection="0"/>
    <xf numFmtId="0" fontId="101" fillId="127" borderId="37" applyNumberFormat="0" applyProtection="0"/>
    <xf numFmtId="0" fontId="101" fillId="127" borderId="37" applyNumberFormat="0" applyProtection="0"/>
    <xf numFmtId="0" fontId="101" fillId="127" borderId="37" applyNumberFormat="0" applyProtection="0"/>
    <xf numFmtId="0" fontId="101" fillId="127" borderId="37" applyNumberFormat="0" applyProtection="0"/>
    <xf numFmtId="0" fontId="101" fillId="127" borderId="37" applyNumberFormat="0" applyProtection="0"/>
    <xf numFmtId="0" fontId="101" fillId="127" borderId="37" applyNumberFormat="0" applyProtection="0"/>
    <xf numFmtId="0" fontId="101" fillId="127" borderId="37" applyNumberFormat="0" applyProtection="0"/>
    <xf numFmtId="0" fontId="101" fillId="127" borderId="37" applyNumberFormat="0" applyProtection="0"/>
    <xf numFmtId="0" fontId="101" fillId="127" borderId="37" applyNumberFormat="0" applyProtection="0"/>
    <xf numFmtId="0" fontId="101" fillId="127" borderId="37" applyNumberFormat="0" applyProtection="0"/>
    <xf numFmtId="0" fontId="101" fillId="127" borderId="37" applyNumberFormat="0" applyProtection="0"/>
    <xf numFmtId="0" fontId="101" fillId="127" borderId="37" applyNumberFormat="0" applyProtection="0"/>
    <xf numFmtId="0" fontId="101" fillId="127" borderId="37" applyNumberFormat="0" applyProtection="0"/>
    <xf numFmtId="0" fontId="101" fillId="127" borderId="37" applyNumberFormat="0" applyProtection="0"/>
    <xf numFmtId="0" fontId="101" fillId="127" borderId="37" applyNumberFormat="0" applyProtection="0"/>
    <xf numFmtId="0" fontId="101" fillId="127" borderId="37" applyNumberFormat="0" applyProtection="0"/>
    <xf numFmtId="0" fontId="101" fillId="127" borderId="37" applyNumberFormat="0" applyProtection="0"/>
    <xf numFmtId="0" fontId="101" fillId="127" borderId="37" applyNumberFormat="0" applyProtection="0"/>
    <xf numFmtId="0" fontId="101" fillId="127" borderId="37" applyNumberFormat="0" applyProtection="0"/>
    <xf numFmtId="0" fontId="101" fillId="127" borderId="37" applyNumberFormat="0" applyProtection="0"/>
    <xf numFmtId="0" fontId="101" fillId="127" borderId="37" applyNumberFormat="0" applyProtection="0"/>
    <xf numFmtId="0" fontId="101" fillId="127" borderId="37" applyNumberFormat="0" applyProtection="0"/>
    <xf numFmtId="0" fontId="101" fillId="127" borderId="37" applyNumberFormat="0" applyProtection="0"/>
    <xf numFmtId="0" fontId="101" fillId="127" borderId="37" applyNumberFormat="0" applyProtection="0"/>
    <xf numFmtId="0" fontId="101" fillId="129" borderId="37" applyNumberFormat="0" applyAlignment="0" applyProtection="0"/>
    <xf numFmtId="0" fontId="101" fillId="129" borderId="37" applyNumberFormat="0" applyAlignment="0" applyProtection="0"/>
    <xf numFmtId="0" fontId="101" fillId="129" borderId="37" applyNumberFormat="0" applyAlignment="0" applyProtection="0"/>
    <xf numFmtId="0" fontId="101" fillId="129" borderId="37" applyNumberFormat="0" applyAlignment="0" applyProtection="0"/>
    <xf numFmtId="0" fontId="101" fillId="129" borderId="37" applyNumberFormat="0" applyAlignment="0" applyProtection="0"/>
    <xf numFmtId="0" fontId="101" fillId="129" borderId="37" applyNumberFormat="0" applyAlignment="0" applyProtection="0"/>
    <xf numFmtId="0" fontId="101" fillId="129" borderId="37" applyNumberFormat="0" applyAlignment="0" applyProtection="0"/>
    <xf numFmtId="0" fontId="101" fillId="129" borderId="37" applyNumberFormat="0" applyAlignment="0" applyProtection="0"/>
    <xf numFmtId="0" fontId="101" fillId="129" borderId="37" applyNumberFormat="0" applyAlignment="0" applyProtection="0"/>
    <xf numFmtId="0" fontId="101" fillId="129" borderId="37" applyNumberFormat="0" applyAlignment="0" applyProtection="0"/>
    <xf numFmtId="0" fontId="101" fillId="129" borderId="37" applyNumberFormat="0" applyAlignment="0" applyProtection="0"/>
    <xf numFmtId="0" fontId="101" fillId="129" borderId="37" applyNumberFormat="0" applyAlignment="0" applyProtection="0"/>
    <xf numFmtId="0" fontId="101" fillId="129" borderId="37" applyNumberFormat="0" applyAlignment="0" applyProtection="0"/>
    <xf numFmtId="0" fontId="101" fillId="129" borderId="37" applyNumberFormat="0" applyAlignment="0" applyProtection="0"/>
    <xf numFmtId="0" fontId="101" fillId="129" borderId="37" applyNumberFormat="0" applyAlignment="0" applyProtection="0"/>
    <xf numFmtId="0" fontId="101" fillId="129" borderId="37" applyNumberFormat="0" applyAlignment="0" applyProtection="0"/>
    <xf numFmtId="0" fontId="101" fillId="129" borderId="37" applyNumberFormat="0" applyAlignment="0" applyProtection="0"/>
    <xf numFmtId="0" fontId="101" fillId="129" borderId="37" applyNumberFormat="0" applyAlignment="0" applyProtection="0"/>
    <xf numFmtId="0" fontId="101" fillId="129" borderId="37" applyNumberFormat="0" applyAlignment="0" applyProtection="0"/>
    <xf numFmtId="0" fontId="101" fillId="129" borderId="37" applyNumberFormat="0" applyAlignment="0" applyProtection="0"/>
    <xf numFmtId="0" fontId="101" fillId="129" borderId="37" applyNumberFormat="0" applyAlignment="0" applyProtection="0"/>
    <xf numFmtId="0" fontId="101" fillId="129" borderId="37" applyNumberFormat="0" applyAlignment="0" applyProtection="0"/>
    <xf numFmtId="0" fontId="101" fillId="129" borderId="37" applyNumberFormat="0" applyAlignment="0" applyProtection="0"/>
    <xf numFmtId="0" fontId="101" fillId="129" borderId="37" applyNumberFormat="0" applyAlignment="0" applyProtection="0"/>
    <xf numFmtId="0" fontId="101" fillId="129" borderId="37" applyNumberFormat="0" applyAlignment="0" applyProtection="0"/>
    <xf numFmtId="0" fontId="101" fillId="129" borderId="37" applyNumberFormat="0" applyAlignment="0" applyProtection="0"/>
    <xf numFmtId="0" fontId="101" fillId="129" borderId="37" applyNumberFormat="0" applyAlignment="0" applyProtection="0"/>
    <xf numFmtId="0" fontId="101" fillId="129" borderId="37" applyNumberFormat="0" applyAlignment="0" applyProtection="0"/>
    <xf numFmtId="0" fontId="101" fillId="129" borderId="37" applyNumberFormat="0" applyAlignment="0" applyProtection="0"/>
    <xf numFmtId="0" fontId="101" fillId="129" borderId="37" applyNumberFormat="0" applyAlignment="0" applyProtection="0"/>
    <xf numFmtId="0" fontId="101" fillId="129" borderId="37" applyNumberFormat="0" applyAlignment="0" applyProtection="0"/>
    <xf numFmtId="0" fontId="101" fillId="129" borderId="37" applyNumberFormat="0" applyAlignment="0" applyProtection="0"/>
    <xf numFmtId="0" fontId="101" fillId="129" borderId="37" applyNumberFormat="0" applyAlignment="0" applyProtection="0"/>
    <xf numFmtId="0" fontId="101" fillId="129" borderId="37" applyNumberFormat="0" applyAlignment="0" applyProtection="0"/>
    <xf numFmtId="0" fontId="101" fillId="129" borderId="37" applyNumberFormat="0" applyAlignment="0" applyProtection="0"/>
    <xf numFmtId="0" fontId="101" fillId="129" borderId="37" applyNumberFormat="0" applyAlignment="0" applyProtection="0"/>
    <xf numFmtId="0" fontId="101" fillId="129" borderId="37" applyNumberFormat="0" applyAlignment="0" applyProtection="0"/>
    <xf numFmtId="0" fontId="101" fillId="129" borderId="37" applyNumberFormat="0" applyAlignment="0" applyProtection="0"/>
    <xf numFmtId="0" fontId="101" fillId="129" borderId="37" applyNumberFormat="0" applyAlignment="0" applyProtection="0"/>
    <xf numFmtId="0" fontId="101" fillId="129" borderId="37" applyNumberFormat="0" applyAlignment="0" applyProtection="0"/>
    <xf numFmtId="0" fontId="101" fillId="129" borderId="37" applyNumberFormat="0" applyAlignment="0" applyProtection="0"/>
    <xf numFmtId="0" fontId="101" fillId="129" borderId="37" applyNumberFormat="0" applyAlignment="0" applyProtection="0"/>
    <xf numFmtId="0" fontId="101" fillId="129" borderId="37" applyNumberFormat="0" applyAlignment="0" applyProtection="0"/>
    <xf numFmtId="0" fontId="101" fillId="129" borderId="37" applyNumberFormat="0" applyAlignment="0" applyProtection="0"/>
    <xf numFmtId="0" fontId="101" fillId="129" borderId="37" applyNumberFormat="0" applyAlignment="0" applyProtection="0"/>
    <xf numFmtId="0" fontId="101" fillId="129" borderId="37" applyNumberFormat="0" applyAlignment="0" applyProtection="0"/>
    <xf numFmtId="0" fontId="101" fillId="129" borderId="37" applyNumberFormat="0" applyAlignment="0" applyProtection="0"/>
    <xf numFmtId="0" fontId="101" fillId="129" borderId="37" applyNumberFormat="0" applyAlignment="0" applyProtection="0"/>
    <xf numFmtId="0" fontId="101" fillId="129" borderId="37" applyNumberFormat="0" applyAlignment="0" applyProtection="0"/>
    <xf numFmtId="0" fontId="101" fillId="129" borderId="37" applyNumberFormat="0" applyAlignment="0" applyProtection="0"/>
    <xf numFmtId="0" fontId="101" fillId="129" borderId="37" applyNumberFormat="0" applyAlignment="0" applyProtection="0"/>
    <xf numFmtId="0" fontId="101" fillId="129" borderId="37" applyNumberFormat="0" applyAlignment="0" applyProtection="0"/>
    <xf numFmtId="0" fontId="101" fillId="129" borderId="37" applyNumberFormat="0" applyAlignment="0" applyProtection="0"/>
    <xf numFmtId="0" fontId="101" fillId="129" borderId="37" applyNumberFormat="0" applyAlignment="0" applyProtection="0"/>
    <xf numFmtId="0" fontId="101" fillId="129" borderId="37" applyNumberFormat="0" applyAlignment="0" applyProtection="0"/>
    <xf numFmtId="0" fontId="101" fillId="129" borderId="37" applyNumberFormat="0" applyAlignment="0" applyProtection="0"/>
    <xf numFmtId="0" fontId="101" fillId="129" borderId="37" applyNumberFormat="0" applyAlignment="0" applyProtection="0"/>
    <xf numFmtId="0" fontId="101" fillId="129" borderId="37" applyNumberFormat="0" applyAlignment="0" applyProtection="0"/>
    <xf numFmtId="0" fontId="101" fillId="129" borderId="37" applyNumberFormat="0" applyAlignment="0" applyProtection="0"/>
    <xf numFmtId="0" fontId="101" fillId="129" borderId="37" applyNumberFormat="0" applyAlignment="0" applyProtection="0"/>
    <xf numFmtId="0" fontId="101" fillId="129" borderId="37" applyNumberFormat="0" applyAlignment="0" applyProtection="0"/>
    <xf numFmtId="0" fontId="101" fillId="129" borderId="37" applyNumberFormat="0" applyAlignment="0" applyProtection="0"/>
    <xf numFmtId="0" fontId="101" fillId="127" borderId="37" applyNumberFormat="0" applyProtection="0"/>
    <xf numFmtId="0" fontId="101" fillId="127" borderId="37" applyNumberFormat="0" applyProtection="0"/>
    <xf numFmtId="0" fontId="101" fillId="127" borderId="37" applyNumberFormat="0" applyProtection="0"/>
    <xf numFmtId="0" fontId="101" fillId="127" borderId="37" applyNumberFormat="0" applyProtection="0"/>
    <xf numFmtId="0" fontId="101" fillId="127" borderId="37" applyNumberFormat="0" applyProtection="0"/>
    <xf numFmtId="0" fontId="101" fillId="127" borderId="37" applyNumberFormat="0" applyProtection="0"/>
    <xf numFmtId="0" fontId="101" fillId="127" borderId="37" applyNumberFormat="0" applyProtection="0"/>
    <xf numFmtId="0" fontId="101" fillId="127" borderId="37" applyNumberFormat="0" applyProtection="0"/>
    <xf numFmtId="0" fontId="101" fillId="127" borderId="37" applyNumberFormat="0" applyProtection="0"/>
    <xf numFmtId="0" fontId="101" fillId="127" borderId="37" applyNumberFormat="0" applyProtection="0"/>
    <xf numFmtId="0" fontId="101" fillId="127" borderId="37" applyNumberFormat="0" applyProtection="0"/>
    <xf numFmtId="0" fontId="101" fillId="127" borderId="37" applyNumberFormat="0" applyProtection="0"/>
    <xf numFmtId="0" fontId="101" fillId="127" borderId="37" applyNumberFormat="0" applyProtection="0"/>
    <xf numFmtId="0" fontId="101" fillId="127" borderId="37" applyNumberFormat="0" applyProtection="0"/>
    <xf numFmtId="0" fontId="101" fillId="127" borderId="37" applyNumberFormat="0" applyProtection="0"/>
    <xf numFmtId="0" fontId="101" fillId="127" borderId="37" applyNumberFormat="0" applyProtection="0"/>
    <xf numFmtId="0" fontId="101" fillId="127" borderId="37" applyNumberFormat="0" applyProtection="0"/>
    <xf numFmtId="0" fontId="101" fillId="127" borderId="37" applyNumberFormat="0" applyProtection="0"/>
    <xf numFmtId="0" fontId="101" fillId="127" borderId="37" applyNumberFormat="0" applyProtection="0"/>
    <xf numFmtId="0" fontId="101" fillId="127" borderId="37" applyNumberFormat="0" applyProtection="0"/>
    <xf numFmtId="0" fontId="101" fillId="127" borderId="37" applyNumberFormat="0" applyProtection="0"/>
    <xf numFmtId="0" fontId="101" fillId="127" borderId="37" applyNumberFormat="0" applyProtection="0"/>
    <xf numFmtId="0" fontId="101" fillId="127" borderId="37" applyNumberFormat="0" applyProtection="0"/>
    <xf numFmtId="0" fontId="101" fillId="127" borderId="37" applyNumberFormat="0" applyProtection="0"/>
    <xf numFmtId="0" fontId="101" fillId="127" borderId="37" applyNumberFormat="0" applyProtection="0"/>
    <xf numFmtId="0" fontId="101" fillId="127" borderId="37" applyNumberFormat="0" applyProtection="0"/>
    <xf numFmtId="0" fontId="101" fillId="127" borderId="37" applyNumberForma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Protection="0"/>
    <xf numFmtId="0" fontId="105" fillId="0" borderId="0" applyNumberFormat="0" applyFill="0" applyBorder="0" applyProtection="0"/>
    <xf numFmtId="0" fontId="105" fillId="0" borderId="0" applyNumberFormat="0" applyFill="0" applyBorder="0" applyProtection="0"/>
    <xf numFmtId="0" fontId="105" fillId="0" borderId="0" applyNumberFormat="0" applyFill="0" applyBorder="0" applyProtection="0"/>
    <xf numFmtId="0" fontId="105" fillId="0" borderId="0" applyNumberFormat="0" applyFill="0" applyBorder="0" applyProtection="0"/>
    <xf numFmtId="0" fontId="105" fillId="0" borderId="0" applyNumberFormat="0" applyFill="0" applyBorder="0" applyProtection="0"/>
    <xf numFmtId="0" fontId="105" fillId="0" borderId="0" applyNumberFormat="0" applyFill="0" applyBorder="0" applyProtection="0"/>
    <xf numFmtId="0" fontId="105" fillId="0" borderId="0" applyNumberFormat="0" applyFill="0" applyBorder="0" applyProtection="0"/>
    <xf numFmtId="0" fontId="107" fillId="0" borderId="0" applyNumberFormat="0" applyFill="0" applyBorder="0" applyProtection="0"/>
    <xf numFmtId="0" fontId="107" fillId="0" borderId="0" applyNumberFormat="0" applyFill="0" applyBorder="0" applyProtection="0"/>
    <xf numFmtId="0" fontId="107" fillId="0" borderId="0" applyNumberFormat="0" applyFill="0" applyBorder="0" applyProtection="0"/>
    <xf numFmtId="0" fontId="107" fillId="0" borderId="0" applyNumberFormat="0" applyFill="0" applyBorder="0" applyProtection="0"/>
    <xf numFmtId="0" fontId="107" fillId="0" borderId="0" applyNumberFormat="0" applyFill="0" applyBorder="0" applyProtection="0"/>
    <xf numFmtId="0" fontId="107" fillId="0" borderId="0" applyNumberFormat="0" applyFill="0" applyBorder="0" applyProtection="0"/>
    <xf numFmtId="0" fontId="107" fillId="0" borderId="0" applyNumberFormat="0" applyFill="0" applyBorder="0" applyProtection="0"/>
    <xf numFmtId="0" fontId="107" fillId="0" borderId="0" applyNumberFormat="0" applyFill="0" applyBorder="0" applyProtection="0"/>
    <xf numFmtId="0" fontId="107" fillId="0" borderId="0" applyNumberFormat="0" applyFill="0" applyBorder="0" applyProtection="0"/>
    <xf numFmtId="0" fontId="107" fillId="0" borderId="0" applyNumberFormat="0" applyFill="0" applyBorder="0" applyProtection="0"/>
    <xf numFmtId="0" fontId="107" fillId="0" borderId="0" applyNumberFormat="0" applyFill="0" applyBorder="0" applyProtection="0"/>
    <xf numFmtId="0" fontId="107" fillId="0" borderId="0" applyNumberFormat="0" applyFill="0" applyBorder="0" applyProtection="0"/>
    <xf numFmtId="0" fontId="107" fillId="0" borderId="0" applyNumberFormat="0" applyFill="0" applyBorder="0" applyProtection="0"/>
    <xf numFmtId="0" fontId="107" fillId="0" borderId="0" applyNumberFormat="0" applyFill="0" applyBorder="0" applyProtection="0"/>
    <xf numFmtId="0" fontId="107" fillId="0" borderId="0" applyNumberFormat="0" applyFill="0" applyBorder="0" applyProtection="0"/>
    <xf numFmtId="0" fontId="107" fillId="0" borderId="0" applyNumberFormat="0" applyFill="0" applyBorder="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Protection="0"/>
    <xf numFmtId="0" fontId="105" fillId="0" borderId="0" applyNumberFormat="0" applyFill="0" applyBorder="0" applyProtection="0"/>
    <xf numFmtId="0" fontId="105" fillId="0" borderId="0" applyNumberFormat="0" applyFill="0" applyBorder="0" applyProtection="0"/>
    <xf numFmtId="0" fontId="105" fillId="0" borderId="0" applyNumberFormat="0" applyFill="0" applyBorder="0" applyProtection="0"/>
    <xf numFmtId="0" fontId="105" fillId="0" borderId="0" applyNumberFormat="0" applyFill="0" applyBorder="0" applyProtection="0"/>
    <xf numFmtId="0" fontId="105" fillId="0" borderId="0" applyNumberFormat="0" applyFill="0" applyBorder="0" applyProtection="0"/>
    <xf numFmtId="0" fontId="105" fillId="0" borderId="0" applyNumberFormat="0" applyFill="0" applyBorder="0" applyProtection="0"/>
    <xf numFmtId="0" fontId="105" fillId="0" borderId="0" applyNumberFormat="0" applyFill="0" applyBorder="0" applyProtection="0"/>
    <xf numFmtId="0" fontId="107" fillId="0" borderId="0">
      <alignment vertical="top"/>
      <protection locked="0"/>
    </xf>
    <xf numFmtId="0" fontId="107" fillId="0" borderId="0">
      <alignment vertical="top"/>
      <protection locked="0"/>
    </xf>
    <xf numFmtId="0" fontId="107" fillId="0" borderId="0">
      <alignment vertical="top"/>
      <protection locked="0"/>
    </xf>
    <xf numFmtId="0" fontId="107" fillId="0" borderId="0">
      <alignment vertical="top"/>
      <protection locked="0"/>
    </xf>
    <xf numFmtId="0" fontId="107" fillId="0" borderId="0">
      <alignment vertical="top"/>
      <protection locked="0"/>
    </xf>
    <xf numFmtId="0" fontId="107" fillId="0" borderId="0">
      <alignment vertical="top"/>
      <protection locked="0"/>
    </xf>
    <xf numFmtId="0" fontId="107" fillId="0" borderId="0">
      <alignment vertical="top"/>
      <protection locked="0"/>
    </xf>
    <xf numFmtId="0" fontId="107" fillId="0" borderId="0">
      <alignment vertical="top"/>
      <protection locked="0"/>
    </xf>
    <xf numFmtId="0" fontId="107" fillId="0" borderId="0">
      <alignment vertical="top"/>
      <protection locked="0"/>
    </xf>
    <xf numFmtId="0" fontId="107" fillId="0" borderId="0">
      <alignment vertical="top"/>
      <protection locked="0"/>
    </xf>
    <xf numFmtId="0" fontId="107" fillId="0" borderId="0">
      <alignment vertical="top"/>
      <protection locked="0"/>
    </xf>
    <xf numFmtId="0" fontId="107" fillId="0" borderId="0">
      <alignment vertical="top"/>
      <protection locked="0"/>
    </xf>
    <xf numFmtId="0" fontId="107" fillId="0" borderId="0">
      <alignment vertical="top"/>
      <protection locked="0"/>
    </xf>
    <xf numFmtId="0" fontId="107" fillId="0" borderId="0">
      <alignment vertical="top"/>
      <protection locked="0"/>
    </xf>
    <xf numFmtId="0" fontId="107" fillId="0" borderId="0">
      <alignment vertical="top"/>
      <protection locked="0"/>
    </xf>
    <xf numFmtId="0" fontId="107" fillId="0" borderId="0">
      <alignment vertical="top"/>
      <protection locked="0"/>
    </xf>
    <xf numFmtId="0" fontId="107" fillId="0" borderId="0">
      <alignment vertical="top"/>
      <protection locked="0"/>
    </xf>
    <xf numFmtId="0" fontId="107" fillId="0" borderId="0">
      <alignment vertical="top"/>
      <protection locked="0"/>
    </xf>
    <xf numFmtId="0" fontId="107" fillId="0" borderId="0">
      <alignment vertical="top"/>
      <protection locked="0"/>
    </xf>
    <xf numFmtId="0" fontId="107" fillId="0" borderId="0">
      <alignment vertical="top"/>
      <protection locked="0"/>
    </xf>
    <xf numFmtId="0" fontId="107" fillId="0" borderId="0">
      <alignment vertical="top"/>
      <protection locked="0"/>
    </xf>
    <xf numFmtId="0" fontId="107" fillId="0" borderId="0">
      <alignment vertical="top"/>
      <protection locked="0"/>
    </xf>
    <xf numFmtId="0" fontId="107" fillId="0" borderId="0">
      <alignment vertical="top"/>
      <protection locked="0"/>
    </xf>
    <xf numFmtId="0" fontId="107" fillId="0" borderId="0">
      <alignment vertical="top"/>
      <protection locked="0"/>
    </xf>
    <xf numFmtId="0" fontId="107" fillId="0" borderId="0">
      <alignment vertical="top"/>
      <protection locked="0"/>
    </xf>
    <xf numFmtId="0" fontId="107" fillId="0" borderId="0">
      <alignment vertical="top"/>
      <protection locked="0"/>
    </xf>
    <xf numFmtId="0" fontId="107" fillId="0" borderId="0">
      <alignment vertical="top"/>
      <protection locked="0"/>
    </xf>
    <xf numFmtId="0" fontId="107" fillId="0" borderId="0">
      <alignment vertical="top"/>
      <protection locked="0"/>
    </xf>
    <xf numFmtId="0" fontId="107" fillId="0" borderId="0">
      <alignment vertical="top"/>
      <protection locked="0"/>
    </xf>
    <xf numFmtId="0" fontId="107" fillId="0" borderId="0">
      <alignment vertical="top"/>
      <protection locked="0"/>
    </xf>
    <xf numFmtId="0" fontId="107" fillId="0" borderId="0">
      <alignment vertical="top"/>
      <protection locked="0"/>
    </xf>
    <xf numFmtId="0" fontId="107" fillId="0" borderId="0">
      <alignment vertical="top"/>
      <protection locked="0"/>
    </xf>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Protection="0"/>
    <xf numFmtId="0" fontId="105" fillId="0" borderId="0" applyNumberFormat="0" applyFill="0" applyBorder="0" applyProtection="0"/>
    <xf numFmtId="0" fontId="105" fillId="0" borderId="0" applyNumberFormat="0" applyFill="0" applyBorder="0" applyProtection="0"/>
    <xf numFmtId="0" fontId="105" fillId="0" borderId="0" applyNumberFormat="0" applyFill="0" applyBorder="0" applyProtection="0"/>
    <xf numFmtId="0" fontId="105" fillId="0" borderId="0" applyNumberFormat="0" applyFill="0" applyBorder="0" applyProtection="0"/>
    <xf numFmtId="0" fontId="105" fillId="0" borderId="0" applyNumberFormat="0" applyFill="0" applyBorder="0" applyProtection="0"/>
    <xf numFmtId="0" fontId="105" fillId="0" borderId="0" applyNumberFormat="0" applyFill="0" applyBorder="0" applyProtection="0"/>
    <xf numFmtId="0" fontId="105" fillId="0" borderId="0" applyNumberFormat="0" applyFill="0" applyBorder="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Protection="0"/>
    <xf numFmtId="0" fontId="105" fillId="0" borderId="0" applyNumberFormat="0" applyFill="0" applyBorder="0" applyProtection="0"/>
    <xf numFmtId="0" fontId="105" fillId="0" borderId="0" applyNumberFormat="0" applyFill="0" applyBorder="0" applyProtection="0"/>
    <xf numFmtId="0" fontId="105" fillId="0" borderId="0" applyNumberFormat="0" applyFill="0" applyBorder="0" applyProtection="0"/>
    <xf numFmtId="0" fontId="105" fillId="0" borderId="0" applyNumberFormat="0" applyFill="0" applyBorder="0" applyProtection="0"/>
    <xf numFmtId="0" fontId="105" fillId="0" borderId="0" applyNumberFormat="0" applyFill="0" applyBorder="0" applyProtection="0"/>
    <xf numFmtId="0" fontId="105" fillId="0" borderId="0" applyNumberFormat="0" applyFill="0" applyBorder="0" applyProtection="0"/>
    <xf numFmtId="0" fontId="105" fillId="0" borderId="0" applyNumberFormat="0" applyFill="0" applyBorder="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Protection="0"/>
    <xf numFmtId="0" fontId="105" fillId="0" borderId="0" applyNumberFormat="0" applyFill="0" applyBorder="0" applyProtection="0"/>
    <xf numFmtId="0" fontId="105" fillId="0" borderId="0" applyNumberFormat="0" applyFill="0" applyBorder="0" applyProtection="0"/>
    <xf numFmtId="0" fontId="105" fillId="0" borderId="0" applyNumberFormat="0" applyFill="0" applyBorder="0" applyProtection="0"/>
    <xf numFmtId="0" fontId="105" fillId="0" borderId="0" applyNumberFormat="0" applyFill="0" applyBorder="0" applyProtection="0"/>
    <xf numFmtId="0" fontId="105" fillId="0" borderId="0" applyNumberFormat="0" applyFill="0" applyBorder="0" applyProtection="0"/>
    <xf numFmtId="0" fontId="105" fillId="0" borderId="0" applyNumberFormat="0" applyFill="0" applyBorder="0" applyProtection="0"/>
    <xf numFmtId="0" fontId="105" fillId="0" borderId="0" applyNumberFormat="0" applyFill="0" applyBorder="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Protection="0"/>
    <xf numFmtId="0" fontId="105" fillId="0" borderId="0" applyNumberFormat="0" applyFill="0" applyBorder="0" applyProtection="0"/>
    <xf numFmtId="0" fontId="105" fillId="0" borderId="0" applyNumberFormat="0" applyFill="0" applyBorder="0" applyProtection="0"/>
    <xf numFmtId="0" fontId="105" fillId="0" borderId="0" applyNumberFormat="0" applyFill="0" applyBorder="0" applyProtection="0"/>
    <xf numFmtId="0" fontId="105" fillId="0" borderId="0" applyNumberFormat="0" applyFill="0" applyBorder="0" applyProtection="0"/>
    <xf numFmtId="0" fontId="105" fillId="0" borderId="0" applyNumberFormat="0" applyFill="0" applyBorder="0" applyProtection="0"/>
    <xf numFmtId="0" fontId="105" fillId="0" borderId="0" applyNumberFormat="0" applyFill="0" applyBorder="0" applyProtection="0"/>
    <xf numFmtId="0" fontId="105" fillId="0" borderId="0" applyNumberFormat="0" applyFill="0" applyBorder="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Protection="0"/>
    <xf numFmtId="0" fontId="105" fillId="0" borderId="0" applyNumberFormat="0" applyFill="0" applyBorder="0" applyProtection="0"/>
    <xf numFmtId="0" fontId="105" fillId="0" borderId="0" applyNumberFormat="0" applyFill="0" applyBorder="0" applyProtection="0"/>
    <xf numFmtId="0" fontId="105" fillId="0" borderId="0" applyNumberFormat="0" applyFill="0" applyBorder="0" applyProtection="0"/>
    <xf numFmtId="0" fontId="105" fillId="0" borderId="0" applyNumberFormat="0" applyFill="0" applyBorder="0" applyProtection="0"/>
    <xf numFmtId="0" fontId="105" fillId="0" borderId="0" applyNumberFormat="0" applyFill="0" applyBorder="0" applyProtection="0"/>
    <xf numFmtId="0" fontId="105" fillId="0" borderId="0" applyNumberFormat="0" applyFill="0" applyBorder="0" applyProtection="0"/>
    <xf numFmtId="0" fontId="105" fillId="0" borderId="0" applyNumberFormat="0" applyFill="0" applyBorder="0" applyProtection="0"/>
    <xf numFmtId="44" fontId="24" fillId="0" borderId="0" applyFont="0" applyFill="0" applyBorder="0" applyProtection="0"/>
    <xf numFmtId="44" fontId="24" fillId="0" borderId="0" applyFont="0" applyFill="0" applyBorder="0" applyProtection="0"/>
    <xf numFmtId="44" fontId="24" fillId="0" borderId="0" applyFont="0" applyFill="0" applyBorder="0" applyProtection="0"/>
    <xf numFmtId="44" fontId="24" fillId="0" borderId="0" applyFont="0" applyFill="0" applyBorder="0" applyProtection="0"/>
    <xf numFmtId="44" fontId="24" fillId="0" borderId="0" applyFont="0" applyFill="0" applyBorder="0" applyProtection="0"/>
    <xf numFmtId="44" fontId="24" fillId="0" borderId="0" applyFont="0" applyFill="0" applyBorder="0" applyProtection="0"/>
    <xf numFmtId="44" fontId="24" fillId="0" borderId="0" applyFont="0" applyFill="0" applyBorder="0" applyProtection="0"/>
    <xf numFmtId="44" fontId="24" fillId="0" borderId="0" applyFont="0" applyFill="0" applyBorder="0" applyProtection="0"/>
    <xf numFmtId="44" fontId="24" fillId="0" borderId="0" applyFont="0" applyFill="0" applyBorder="0" applyProtection="0"/>
    <xf numFmtId="44" fontId="24" fillId="0" borderId="0" applyFont="0" applyFill="0" applyBorder="0" applyProtection="0"/>
    <xf numFmtId="44" fontId="24" fillId="0" borderId="0" applyFont="0" applyFill="0" applyBorder="0" applyProtection="0"/>
    <xf numFmtId="44" fontId="24" fillId="0" borderId="0" applyFont="0" applyFill="0" applyBorder="0" applyProtection="0"/>
    <xf numFmtId="44" fontId="24" fillId="0" borderId="0" applyFont="0" applyFill="0" applyBorder="0" applyProtection="0"/>
    <xf numFmtId="44" fontId="24" fillId="0" borderId="0" applyFont="0" applyFill="0" applyBorder="0" applyProtection="0"/>
    <xf numFmtId="44" fontId="24" fillId="0" borderId="0" applyFont="0" applyFill="0" applyBorder="0" applyProtection="0"/>
    <xf numFmtId="44" fontId="24" fillId="0" borderId="0" applyFont="0" applyFill="0" applyBorder="0" applyProtection="0"/>
    <xf numFmtId="0" fontId="111" fillId="0" borderId="39" applyNumberFormat="0" applyFill="0" applyProtection="0"/>
    <xf numFmtId="0" fontId="111" fillId="0" borderId="39" applyNumberFormat="0" applyFill="0" applyProtection="0"/>
    <xf numFmtId="0" fontId="111" fillId="0" borderId="39" applyNumberFormat="0" applyFill="0" applyProtection="0"/>
    <xf numFmtId="0" fontId="111" fillId="0" borderId="39" applyNumberFormat="0" applyFill="0" applyProtection="0"/>
    <xf numFmtId="0" fontId="111" fillId="0" borderId="39" applyNumberFormat="0" applyFill="0" applyProtection="0"/>
    <xf numFmtId="0" fontId="111" fillId="0" borderId="39" applyNumberFormat="0" applyFill="0" applyProtection="0"/>
    <xf numFmtId="0" fontId="111" fillId="0" borderId="39" applyNumberFormat="0" applyFill="0" applyProtection="0"/>
    <xf numFmtId="0" fontId="111" fillId="0" borderId="39" applyNumberFormat="0" applyFill="0" applyProtection="0"/>
    <xf numFmtId="0" fontId="110" fillId="0" borderId="39" applyNumberFormat="0" applyFill="0" applyAlignment="0" applyProtection="0"/>
    <xf numFmtId="0" fontId="110" fillId="0" borderId="39" applyNumberFormat="0" applyFill="0" applyAlignment="0" applyProtection="0"/>
    <xf numFmtId="0" fontId="110" fillId="0" borderId="39" applyNumberFormat="0" applyFill="0" applyAlignment="0" applyProtection="0"/>
    <xf numFmtId="0" fontId="110" fillId="0" borderId="39" applyNumberFormat="0" applyFill="0" applyAlignment="0" applyProtection="0"/>
    <xf numFmtId="0" fontId="110" fillId="0" borderId="39" applyNumberFormat="0" applyFill="0" applyAlignment="0" applyProtection="0"/>
    <xf numFmtId="0" fontId="110" fillId="0" borderId="39" applyNumberFormat="0" applyFill="0" applyAlignment="0" applyProtection="0"/>
    <xf numFmtId="0" fontId="110" fillId="0" borderId="39" applyNumberFormat="0" applyFill="0" applyAlignment="0" applyProtection="0"/>
    <xf numFmtId="0" fontId="110" fillId="0" borderId="39" applyNumberFormat="0" applyFill="0" applyAlignment="0" applyProtection="0"/>
    <xf numFmtId="0" fontId="110" fillId="0" borderId="39" applyNumberFormat="0" applyFill="0" applyAlignment="0" applyProtection="0"/>
    <xf numFmtId="0" fontId="110" fillId="0" borderId="39" applyNumberFormat="0" applyFill="0" applyAlignment="0" applyProtection="0"/>
    <xf numFmtId="0" fontId="110" fillId="0" borderId="39" applyNumberFormat="0" applyFill="0" applyAlignment="0" applyProtection="0"/>
    <xf numFmtId="0" fontId="110" fillId="0" borderId="39" applyNumberFormat="0" applyFill="0" applyAlignment="0" applyProtection="0"/>
    <xf numFmtId="0" fontId="110" fillId="0" borderId="39" applyNumberFormat="0" applyFill="0" applyAlignment="0" applyProtection="0"/>
    <xf numFmtId="0" fontId="110" fillId="0" borderId="39" applyNumberFormat="0" applyFill="0" applyAlignment="0" applyProtection="0"/>
    <xf numFmtId="0" fontId="110" fillId="0" borderId="39" applyNumberFormat="0" applyFill="0" applyAlignment="0" applyProtection="0"/>
    <xf numFmtId="0" fontId="110" fillId="0" borderId="39" applyNumberFormat="0" applyFill="0" applyAlignment="0" applyProtection="0"/>
    <xf numFmtId="0" fontId="110" fillId="0" borderId="39" applyNumberFormat="0" applyFill="0" applyAlignment="0" applyProtection="0"/>
    <xf numFmtId="0" fontId="110" fillId="0" borderId="39" applyNumberFormat="0" applyFill="0" applyAlignment="0" applyProtection="0"/>
    <xf numFmtId="0" fontId="110" fillId="0" borderId="39" applyNumberFormat="0" applyFill="0" applyAlignment="0" applyProtection="0"/>
    <xf numFmtId="0" fontId="110" fillId="0" borderId="39" applyNumberFormat="0" applyFill="0" applyAlignment="0" applyProtection="0"/>
    <xf numFmtId="0" fontId="110" fillId="0" borderId="39" applyNumberFormat="0" applyFill="0" applyProtection="0"/>
    <xf numFmtId="0" fontId="110" fillId="0" borderId="39" applyNumberFormat="0" applyFill="0" applyProtection="0"/>
    <xf numFmtId="0" fontId="110" fillId="0" borderId="39" applyNumberFormat="0" applyFill="0" applyProtection="0"/>
    <xf numFmtId="0" fontId="110" fillId="0" borderId="39" applyNumberFormat="0" applyFill="0" applyProtection="0"/>
    <xf numFmtId="0" fontId="110" fillId="0" borderId="39" applyNumberFormat="0" applyFill="0" applyProtection="0"/>
    <xf numFmtId="0" fontId="110" fillId="0" borderId="39" applyNumberFormat="0" applyFill="0" applyProtection="0"/>
    <xf numFmtId="0" fontId="110" fillId="0" borderId="39" applyNumberFormat="0" applyFill="0" applyProtection="0"/>
    <xf numFmtId="0" fontId="110" fillId="0" borderId="39" applyNumberFormat="0" applyFill="0" applyProtection="0"/>
    <xf numFmtId="0" fontId="110" fillId="0" borderId="39" applyNumberFormat="0" applyFill="0" applyAlignment="0" applyProtection="0"/>
    <xf numFmtId="0" fontId="110" fillId="0" borderId="39" applyNumberFormat="0" applyFill="0" applyAlignment="0" applyProtection="0"/>
    <xf numFmtId="0" fontId="110" fillId="0" borderId="39" applyNumberFormat="0" applyFill="0" applyAlignment="0" applyProtection="0"/>
    <xf numFmtId="0" fontId="110" fillId="0" borderId="39" applyNumberFormat="0" applyFill="0" applyAlignment="0" applyProtection="0"/>
    <xf numFmtId="0" fontId="110" fillId="0" borderId="39" applyNumberFormat="0" applyFill="0" applyAlignment="0" applyProtection="0"/>
    <xf numFmtId="0" fontId="110" fillId="0" borderId="39" applyNumberFormat="0" applyFill="0" applyAlignment="0" applyProtection="0"/>
    <xf numFmtId="0" fontId="110" fillId="0" borderId="39" applyNumberFormat="0" applyFill="0" applyAlignment="0" applyProtection="0"/>
    <xf numFmtId="0" fontId="110" fillId="0" borderId="39" applyNumberFormat="0" applyFill="0" applyAlignment="0" applyProtection="0"/>
    <xf numFmtId="0" fontId="110" fillId="0" borderId="39" applyNumberFormat="0" applyFill="0" applyAlignment="0" applyProtection="0"/>
    <xf numFmtId="0" fontId="110" fillId="0" borderId="39" applyNumberFormat="0" applyFill="0" applyAlignment="0" applyProtection="0"/>
    <xf numFmtId="0" fontId="110" fillId="0" borderId="39" applyNumberFormat="0" applyFill="0" applyAlignment="0" applyProtection="0"/>
    <xf numFmtId="0" fontId="110" fillId="0" borderId="39" applyNumberFormat="0" applyFill="0" applyAlignment="0" applyProtection="0"/>
    <xf numFmtId="0" fontId="110" fillId="0" borderId="39" applyNumberFormat="0" applyFill="0" applyAlignment="0" applyProtection="0"/>
    <xf numFmtId="0" fontId="110" fillId="0" borderId="39" applyNumberFormat="0" applyFill="0" applyAlignment="0" applyProtection="0"/>
    <xf numFmtId="0" fontId="110" fillId="0" borderId="39" applyNumberFormat="0" applyFill="0" applyAlignment="0" applyProtection="0"/>
    <xf numFmtId="0" fontId="110" fillId="0" borderId="39" applyNumberFormat="0" applyFill="0" applyAlignment="0" applyProtection="0"/>
    <xf numFmtId="0" fontId="110" fillId="0" borderId="39" applyNumberFormat="0" applyFill="0" applyAlignment="0" applyProtection="0"/>
    <xf numFmtId="0" fontId="110" fillId="0" borderId="39" applyNumberFormat="0" applyFill="0" applyAlignment="0" applyProtection="0"/>
    <xf numFmtId="0" fontId="110" fillId="0" borderId="39" applyNumberFormat="0" applyFill="0" applyAlignment="0" applyProtection="0"/>
    <xf numFmtId="0" fontId="110" fillId="0" borderId="39" applyNumberFormat="0" applyFill="0" applyAlignment="0" applyProtection="0"/>
    <xf numFmtId="0" fontId="110" fillId="0" borderId="39" applyNumberFormat="0" applyFill="0" applyProtection="0"/>
    <xf numFmtId="0" fontId="110" fillId="0" borderId="39" applyNumberFormat="0" applyFill="0" applyProtection="0"/>
    <xf numFmtId="0" fontId="110" fillId="0" borderId="39" applyNumberFormat="0" applyFill="0" applyProtection="0"/>
    <xf numFmtId="0" fontId="110" fillId="0" borderId="39" applyNumberFormat="0" applyFill="0" applyProtection="0"/>
    <xf numFmtId="0" fontId="110" fillId="0" borderId="39" applyNumberFormat="0" applyFill="0" applyProtection="0"/>
    <xf numFmtId="0" fontId="110" fillId="0" borderId="39" applyNumberFormat="0" applyFill="0" applyProtection="0"/>
    <xf numFmtId="0" fontId="110" fillId="0" borderId="39" applyNumberFormat="0" applyFill="0" applyProtection="0"/>
    <xf numFmtId="0" fontId="110" fillId="0" borderId="39" applyNumberFormat="0" applyFill="0" applyProtection="0"/>
    <xf numFmtId="0" fontId="110" fillId="0" borderId="39" applyNumberFormat="0" applyFill="0" applyAlignment="0" applyProtection="0"/>
    <xf numFmtId="0" fontId="110" fillId="0" borderId="39" applyNumberFormat="0" applyFill="0" applyAlignment="0" applyProtection="0"/>
    <xf numFmtId="0" fontId="110" fillId="0" borderId="39" applyNumberFormat="0" applyFill="0" applyAlignment="0" applyProtection="0"/>
    <xf numFmtId="0" fontId="110" fillId="0" borderId="39" applyNumberFormat="0" applyFill="0" applyAlignment="0" applyProtection="0"/>
    <xf numFmtId="0" fontId="110" fillId="0" borderId="39" applyNumberFormat="0" applyFill="0" applyAlignment="0" applyProtection="0"/>
    <xf numFmtId="0" fontId="110" fillId="0" borderId="39" applyNumberFormat="0" applyFill="0" applyAlignment="0" applyProtection="0"/>
    <xf numFmtId="0" fontId="110" fillId="0" borderId="39" applyNumberFormat="0" applyFill="0" applyAlignment="0" applyProtection="0"/>
    <xf numFmtId="0" fontId="110" fillId="0" borderId="39" applyNumberFormat="0" applyFill="0" applyAlignment="0" applyProtection="0"/>
    <xf numFmtId="0" fontId="110" fillId="0" borderId="39" applyNumberFormat="0" applyFill="0" applyAlignment="0" applyProtection="0"/>
    <xf numFmtId="0" fontId="110" fillId="0" borderId="39" applyNumberFormat="0" applyFill="0" applyAlignment="0" applyProtection="0"/>
    <xf numFmtId="0" fontId="110" fillId="0" borderId="39" applyNumberFormat="0" applyFill="0" applyAlignment="0" applyProtection="0"/>
    <xf numFmtId="0" fontId="110" fillId="0" borderId="39" applyNumberFormat="0" applyFill="0" applyAlignment="0" applyProtection="0"/>
    <xf numFmtId="0" fontId="110" fillId="0" borderId="39" applyNumberFormat="0" applyFill="0" applyAlignment="0" applyProtection="0"/>
    <xf numFmtId="0" fontId="110" fillId="0" borderId="39" applyNumberFormat="0" applyFill="0" applyAlignment="0" applyProtection="0"/>
    <xf numFmtId="0" fontId="110" fillId="0" borderId="39" applyNumberFormat="0" applyFill="0" applyAlignment="0" applyProtection="0"/>
    <xf numFmtId="0" fontId="110" fillId="0" borderId="39" applyNumberFormat="0" applyFill="0" applyAlignment="0" applyProtection="0"/>
    <xf numFmtId="0" fontId="110" fillId="0" borderId="39" applyNumberFormat="0" applyFill="0" applyAlignment="0" applyProtection="0"/>
    <xf numFmtId="0" fontId="110" fillId="0" borderId="39" applyNumberFormat="0" applyFill="0" applyAlignment="0" applyProtection="0"/>
    <xf numFmtId="0" fontId="110" fillId="0" borderId="39" applyNumberFormat="0" applyFill="0" applyAlignment="0" applyProtection="0"/>
    <xf numFmtId="0" fontId="110" fillId="0" borderId="39" applyNumberFormat="0" applyFill="0" applyAlignment="0" applyProtection="0"/>
    <xf numFmtId="0" fontId="110" fillId="0" borderId="39" applyNumberFormat="0" applyFill="0" applyProtection="0"/>
    <xf numFmtId="0" fontId="110" fillId="0" borderId="39" applyNumberFormat="0" applyFill="0" applyProtection="0"/>
    <xf numFmtId="0" fontId="110" fillId="0" borderId="39" applyNumberFormat="0" applyFill="0" applyProtection="0"/>
    <xf numFmtId="0" fontId="110" fillId="0" borderId="39" applyNumberFormat="0" applyFill="0" applyProtection="0"/>
    <xf numFmtId="0" fontId="110" fillId="0" borderId="39" applyNumberFormat="0" applyFill="0" applyProtection="0"/>
    <xf numFmtId="0" fontId="110" fillId="0" borderId="39" applyNumberFormat="0" applyFill="0" applyProtection="0"/>
    <xf numFmtId="0" fontId="110" fillId="0" borderId="39" applyNumberFormat="0" applyFill="0" applyProtection="0"/>
    <xf numFmtId="0" fontId="110" fillId="0" borderId="39" applyNumberFormat="0" applyFill="0" applyProtection="0"/>
    <xf numFmtId="0" fontId="110" fillId="0" borderId="39" applyNumberFormat="0" applyFill="0" applyAlignment="0" applyProtection="0"/>
    <xf numFmtId="0" fontId="110" fillId="0" borderId="39" applyNumberFormat="0" applyFill="0" applyAlignment="0" applyProtection="0"/>
    <xf numFmtId="0" fontId="110" fillId="0" borderId="39" applyNumberFormat="0" applyFill="0" applyAlignment="0" applyProtection="0"/>
    <xf numFmtId="0" fontId="110" fillId="0" borderId="39" applyNumberFormat="0" applyFill="0" applyAlignment="0" applyProtection="0"/>
    <xf numFmtId="0" fontId="110" fillId="0" borderId="39" applyNumberFormat="0" applyFill="0" applyAlignment="0" applyProtection="0"/>
    <xf numFmtId="0" fontId="110" fillId="0" borderId="39" applyNumberFormat="0" applyFill="0" applyAlignment="0" applyProtection="0"/>
    <xf numFmtId="0" fontId="110" fillId="0" borderId="39" applyNumberFormat="0" applyFill="0" applyAlignment="0" applyProtection="0"/>
    <xf numFmtId="0" fontId="110" fillId="0" borderId="39" applyNumberFormat="0" applyFill="0" applyAlignment="0" applyProtection="0"/>
    <xf numFmtId="0" fontId="110" fillId="0" borderId="39" applyNumberFormat="0" applyFill="0" applyAlignment="0" applyProtection="0"/>
    <xf numFmtId="0" fontId="110" fillId="0" borderId="39" applyNumberFormat="0" applyFill="0" applyAlignment="0" applyProtection="0"/>
    <xf numFmtId="0" fontId="110" fillId="0" borderId="39" applyNumberFormat="0" applyFill="0" applyAlignment="0" applyProtection="0"/>
    <xf numFmtId="0" fontId="110" fillId="0" borderId="39" applyNumberFormat="0" applyFill="0" applyAlignment="0" applyProtection="0"/>
    <xf numFmtId="0" fontId="110" fillId="0" borderId="39" applyNumberFormat="0" applyFill="0" applyAlignment="0" applyProtection="0"/>
    <xf numFmtId="0" fontId="110" fillId="0" borderId="39" applyNumberFormat="0" applyFill="0" applyAlignment="0" applyProtection="0"/>
    <xf numFmtId="0" fontId="110" fillId="0" borderId="39" applyNumberFormat="0" applyFill="0" applyAlignment="0" applyProtection="0"/>
    <xf numFmtId="0" fontId="110" fillId="0" borderId="39" applyNumberFormat="0" applyFill="0" applyAlignment="0" applyProtection="0"/>
    <xf numFmtId="0" fontId="110" fillId="0" borderId="39" applyNumberFormat="0" applyFill="0" applyAlignment="0" applyProtection="0"/>
    <xf numFmtId="0" fontId="110" fillId="0" borderId="39" applyNumberFormat="0" applyFill="0" applyAlignment="0" applyProtection="0"/>
    <xf numFmtId="0" fontId="110" fillId="0" borderId="39" applyNumberFormat="0" applyFill="0" applyAlignment="0" applyProtection="0"/>
    <xf numFmtId="0" fontId="110" fillId="0" borderId="39" applyNumberFormat="0" applyFill="0" applyAlignment="0" applyProtection="0"/>
    <xf numFmtId="0" fontId="110" fillId="0" borderId="39" applyNumberFormat="0" applyFill="0" applyProtection="0"/>
    <xf numFmtId="0" fontId="110" fillId="0" borderId="39" applyNumberFormat="0" applyFill="0" applyProtection="0"/>
    <xf numFmtId="0" fontId="110" fillId="0" borderId="39" applyNumberFormat="0" applyFill="0" applyProtection="0"/>
    <xf numFmtId="0" fontId="110" fillId="0" borderId="39" applyNumberFormat="0" applyFill="0" applyProtection="0"/>
    <xf numFmtId="0" fontId="110" fillId="0" borderId="39" applyNumberFormat="0" applyFill="0" applyProtection="0"/>
    <xf numFmtId="0" fontId="110" fillId="0" borderId="39" applyNumberFormat="0" applyFill="0" applyProtection="0"/>
    <xf numFmtId="0" fontId="110" fillId="0" borderId="39" applyNumberFormat="0" applyFill="0" applyProtection="0"/>
    <xf numFmtId="0" fontId="110" fillId="0" borderId="39" applyNumberFormat="0" applyFill="0" applyProtection="0"/>
    <xf numFmtId="0" fontId="110" fillId="0" borderId="39" applyNumberFormat="0" applyFill="0" applyAlignment="0" applyProtection="0"/>
    <xf numFmtId="0" fontId="110" fillId="0" borderId="39" applyNumberFormat="0" applyFill="0" applyAlignment="0" applyProtection="0"/>
    <xf numFmtId="0" fontId="110" fillId="0" borderId="39" applyNumberFormat="0" applyFill="0" applyAlignment="0" applyProtection="0"/>
    <xf numFmtId="0" fontId="110" fillId="0" borderId="39" applyNumberFormat="0" applyFill="0" applyAlignment="0" applyProtection="0"/>
    <xf numFmtId="0" fontId="110" fillId="0" borderId="39" applyNumberFormat="0" applyFill="0" applyAlignment="0" applyProtection="0"/>
    <xf numFmtId="0" fontId="110" fillId="0" borderId="39" applyNumberFormat="0" applyFill="0" applyAlignment="0" applyProtection="0"/>
    <xf numFmtId="0" fontId="110" fillId="0" borderId="39" applyNumberFormat="0" applyFill="0" applyAlignment="0" applyProtection="0"/>
    <xf numFmtId="0" fontId="110" fillId="0" borderId="39" applyNumberFormat="0" applyFill="0" applyAlignment="0" applyProtection="0"/>
    <xf numFmtId="0" fontId="110" fillId="0" borderId="39" applyNumberFormat="0" applyFill="0" applyAlignment="0" applyProtection="0"/>
    <xf numFmtId="0" fontId="110" fillId="0" borderId="39" applyNumberFormat="0" applyFill="0" applyAlignment="0" applyProtection="0"/>
    <xf numFmtId="0" fontId="110" fillId="0" borderId="39" applyNumberFormat="0" applyFill="0" applyAlignment="0" applyProtection="0"/>
    <xf numFmtId="0" fontId="110" fillId="0" borderId="39" applyNumberFormat="0" applyFill="0" applyAlignment="0" applyProtection="0"/>
    <xf numFmtId="0" fontId="110" fillId="0" borderId="39" applyNumberFormat="0" applyFill="0" applyAlignment="0" applyProtection="0"/>
    <xf numFmtId="0" fontId="110" fillId="0" borderId="39" applyNumberFormat="0" applyFill="0" applyAlignment="0" applyProtection="0"/>
    <xf numFmtId="0" fontId="110" fillId="0" borderId="39" applyNumberFormat="0" applyFill="0" applyAlignment="0" applyProtection="0"/>
    <xf numFmtId="0" fontId="110" fillId="0" borderId="39" applyNumberFormat="0" applyFill="0" applyAlignment="0" applyProtection="0"/>
    <xf numFmtId="0" fontId="110" fillId="0" borderId="39" applyNumberFormat="0" applyFill="0" applyAlignment="0" applyProtection="0"/>
    <xf numFmtId="0" fontId="110" fillId="0" borderId="39" applyNumberFormat="0" applyFill="0" applyAlignment="0" applyProtection="0"/>
    <xf numFmtId="0" fontId="110" fillId="0" borderId="39" applyNumberFormat="0" applyFill="0" applyAlignment="0" applyProtection="0"/>
    <xf numFmtId="0" fontId="110" fillId="0" borderId="39" applyNumberFormat="0" applyFill="0" applyAlignment="0" applyProtection="0"/>
    <xf numFmtId="0" fontId="110" fillId="0" borderId="39" applyNumberFormat="0" applyFill="0" applyProtection="0"/>
    <xf numFmtId="0" fontId="110" fillId="0" borderId="39" applyNumberFormat="0" applyFill="0" applyProtection="0"/>
    <xf numFmtId="0" fontId="110" fillId="0" borderId="39" applyNumberFormat="0" applyFill="0" applyProtection="0"/>
    <xf numFmtId="0" fontId="110" fillId="0" borderId="39" applyNumberFormat="0" applyFill="0" applyProtection="0"/>
    <xf numFmtId="0" fontId="110" fillId="0" borderId="39" applyNumberFormat="0" applyFill="0" applyProtection="0"/>
    <xf numFmtId="0" fontId="110" fillId="0" borderId="39" applyNumberFormat="0" applyFill="0" applyProtection="0"/>
    <xf numFmtId="0" fontId="110" fillId="0" borderId="39" applyNumberFormat="0" applyFill="0" applyProtection="0"/>
    <xf numFmtId="0" fontId="110" fillId="0" borderId="39" applyNumberFormat="0" applyFill="0" applyProtection="0"/>
    <xf numFmtId="0" fontId="115" fillId="0" borderId="40" applyNumberFormat="0" applyFill="0" applyProtection="0"/>
    <xf numFmtId="0" fontId="115" fillId="0" borderId="40" applyNumberFormat="0" applyFill="0" applyProtection="0"/>
    <xf numFmtId="0" fontId="115" fillId="0" borderId="40" applyNumberFormat="0" applyFill="0" applyProtection="0"/>
    <xf numFmtId="0" fontId="115" fillId="0" borderId="40" applyNumberFormat="0" applyFill="0" applyProtection="0"/>
    <xf numFmtId="0" fontId="115" fillId="0" borderId="40" applyNumberFormat="0" applyFill="0" applyProtection="0"/>
    <xf numFmtId="0" fontId="115" fillId="0" borderId="40" applyNumberFormat="0" applyFill="0" applyProtection="0"/>
    <xf numFmtId="0" fontId="115" fillId="0" borderId="40" applyNumberFormat="0" applyFill="0" applyProtection="0"/>
    <xf numFmtId="0" fontId="115" fillId="0" borderId="40" applyNumberFormat="0" applyFill="0" applyProtection="0"/>
    <xf numFmtId="0" fontId="114" fillId="0" borderId="40" applyNumberFormat="0" applyFill="0" applyAlignment="0" applyProtection="0"/>
    <xf numFmtId="0" fontId="114" fillId="0" borderId="40" applyNumberFormat="0" applyFill="0" applyAlignment="0" applyProtection="0"/>
    <xf numFmtId="0" fontId="114" fillId="0" borderId="40" applyNumberFormat="0" applyFill="0" applyAlignment="0" applyProtection="0"/>
    <xf numFmtId="0" fontId="114" fillId="0" borderId="40" applyNumberFormat="0" applyFill="0" applyAlignment="0" applyProtection="0"/>
    <xf numFmtId="0" fontId="114" fillId="0" borderId="40" applyNumberFormat="0" applyFill="0" applyAlignment="0" applyProtection="0"/>
    <xf numFmtId="0" fontId="114" fillId="0" borderId="40" applyNumberFormat="0" applyFill="0" applyAlignment="0" applyProtection="0"/>
    <xf numFmtId="0" fontId="114" fillId="0" borderId="40" applyNumberFormat="0" applyFill="0" applyAlignment="0" applyProtection="0"/>
    <xf numFmtId="0" fontId="114" fillId="0" borderId="40" applyNumberFormat="0" applyFill="0" applyAlignment="0" applyProtection="0"/>
    <xf numFmtId="0" fontId="114" fillId="0" borderId="40" applyNumberFormat="0" applyFill="0" applyAlignment="0" applyProtection="0"/>
    <xf numFmtId="0" fontId="114" fillId="0" borderId="40" applyNumberFormat="0" applyFill="0" applyAlignment="0" applyProtection="0"/>
    <xf numFmtId="0" fontId="114" fillId="0" borderId="40" applyNumberFormat="0" applyFill="0" applyAlignment="0" applyProtection="0"/>
    <xf numFmtId="0" fontId="114" fillId="0" borderId="40" applyNumberFormat="0" applyFill="0" applyAlignment="0" applyProtection="0"/>
    <xf numFmtId="0" fontId="114" fillId="0" borderId="40" applyNumberFormat="0" applyFill="0" applyAlignment="0" applyProtection="0"/>
    <xf numFmtId="0" fontId="114" fillId="0" borderId="40" applyNumberFormat="0" applyFill="0" applyAlignment="0" applyProtection="0"/>
    <xf numFmtId="0" fontId="114" fillId="0" borderId="40" applyNumberFormat="0" applyFill="0" applyAlignment="0" applyProtection="0"/>
    <xf numFmtId="0" fontId="114" fillId="0" borderId="40" applyNumberFormat="0" applyFill="0" applyAlignment="0" applyProtection="0"/>
    <xf numFmtId="0" fontId="114" fillId="0" borderId="40" applyNumberFormat="0" applyFill="0" applyAlignment="0" applyProtection="0"/>
    <xf numFmtId="0" fontId="114" fillId="0" borderId="40" applyNumberFormat="0" applyFill="0" applyAlignment="0" applyProtection="0"/>
    <xf numFmtId="0" fontId="114" fillId="0" borderId="40" applyNumberFormat="0" applyFill="0" applyAlignment="0" applyProtection="0"/>
    <xf numFmtId="0" fontId="114" fillId="0" borderId="40" applyNumberFormat="0" applyFill="0" applyAlignment="0" applyProtection="0"/>
    <xf numFmtId="0" fontId="114" fillId="0" borderId="40" applyNumberFormat="0" applyFill="0" applyProtection="0"/>
    <xf numFmtId="0" fontId="114" fillId="0" borderId="40" applyNumberFormat="0" applyFill="0" applyProtection="0"/>
    <xf numFmtId="0" fontId="114" fillId="0" borderId="40" applyNumberFormat="0" applyFill="0" applyProtection="0"/>
    <xf numFmtId="0" fontId="114" fillId="0" borderId="40" applyNumberFormat="0" applyFill="0" applyProtection="0"/>
    <xf numFmtId="0" fontId="114" fillId="0" borderId="40" applyNumberFormat="0" applyFill="0" applyProtection="0"/>
    <xf numFmtId="0" fontId="114" fillId="0" borderId="40" applyNumberFormat="0" applyFill="0" applyProtection="0"/>
    <xf numFmtId="0" fontId="114" fillId="0" borderId="40" applyNumberFormat="0" applyFill="0" applyProtection="0"/>
    <xf numFmtId="0" fontId="114" fillId="0" borderId="40" applyNumberFormat="0" applyFill="0" applyProtection="0"/>
    <xf numFmtId="0" fontId="114" fillId="0" borderId="40" applyNumberFormat="0" applyFill="0" applyAlignment="0" applyProtection="0"/>
    <xf numFmtId="0" fontId="114" fillId="0" borderId="40" applyNumberFormat="0" applyFill="0" applyAlignment="0" applyProtection="0"/>
    <xf numFmtId="0" fontId="114" fillId="0" borderId="40" applyNumberFormat="0" applyFill="0" applyAlignment="0" applyProtection="0"/>
    <xf numFmtId="0" fontId="114" fillId="0" borderId="40" applyNumberFormat="0" applyFill="0" applyAlignment="0" applyProtection="0"/>
    <xf numFmtId="0" fontId="114" fillId="0" borderId="40" applyNumberFormat="0" applyFill="0" applyAlignment="0" applyProtection="0"/>
    <xf numFmtId="0" fontId="114" fillId="0" borderId="40" applyNumberFormat="0" applyFill="0" applyAlignment="0" applyProtection="0"/>
    <xf numFmtId="0" fontId="114" fillId="0" borderId="40" applyNumberFormat="0" applyFill="0" applyAlignment="0" applyProtection="0"/>
    <xf numFmtId="0" fontId="114" fillId="0" borderId="40" applyNumberFormat="0" applyFill="0" applyAlignment="0" applyProtection="0"/>
    <xf numFmtId="0" fontId="114" fillId="0" borderId="40" applyNumberFormat="0" applyFill="0" applyAlignment="0" applyProtection="0"/>
    <xf numFmtId="0" fontId="114" fillId="0" borderId="40" applyNumberFormat="0" applyFill="0" applyAlignment="0" applyProtection="0"/>
    <xf numFmtId="0" fontId="114" fillId="0" borderId="40" applyNumberFormat="0" applyFill="0" applyAlignment="0" applyProtection="0"/>
    <xf numFmtId="0" fontId="114" fillId="0" borderId="40" applyNumberFormat="0" applyFill="0" applyAlignment="0" applyProtection="0"/>
    <xf numFmtId="0" fontId="114" fillId="0" borderId="40" applyNumberFormat="0" applyFill="0" applyAlignment="0" applyProtection="0"/>
    <xf numFmtId="0" fontId="114" fillId="0" borderId="40" applyNumberFormat="0" applyFill="0" applyAlignment="0" applyProtection="0"/>
    <xf numFmtId="0" fontId="114" fillId="0" borderId="40" applyNumberFormat="0" applyFill="0" applyAlignment="0" applyProtection="0"/>
    <xf numFmtId="0" fontId="114" fillId="0" borderId="40" applyNumberFormat="0" applyFill="0" applyAlignment="0" applyProtection="0"/>
    <xf numFmtId="0" fontId="114" fillId="0" borderId="40" applyNumberFormat="0" applyFill="0" applyAlignment="0" applyProtection="0"/>
    <xf numFmtId="0" fontId="114" fillId="0" borderId="40" applyNumberFormat="0" applyFill="0" applyAlignment="0" applyProtection="0"/>
    <xf numFmtId="0" fontId="114" fillId="0" borderId="40" applyNumberFormat="0" applyFill="0" applyAlignment="0" applyProtection="0"/>
    <xf numFmtId="0" fontId="114" fillId="0" borderId="40" applyNumberFormat="0" applyFill="0" applyAlignment="0" applyProtection="0"/>
    <xf numFmtId="0" fontId="114" fillId="0" borderId="40" applyNumberFormat="0" applyFill="0" applyProtection="0"/>
    <xf numFmtId="0" fontId="114" fillId="0" borderId="40" applyNumberFormat="0" applyFill="0" applyProtection="0"/>
    <xf numFmtId="0" fontId="114" fillId="0" borderId="40" applyNumberFormat="0" applyFill="0" applyProtection="0"/>
    <xf numFmtId="0" fontId="114" fillId="0" borderId="40" applyNumberFormat="0" applyFill="0" applyProtection="0"/>
    <xf numFmtId="0" fontId="114" fillId="0" borderId="40" applyNumberFormat="0" applyFill="0" applyProtection="0"/>
    <xf numFmtId="0" fontId="114" fillId="0" borderId="40" applyNumberFormat="0" applyFill="0" applyProtection="0"/>
    <xf numFmtId="0" fontId="114" fillId="0" borderId="40" applyNumberFormat="0" applyFill="0" applyProtection="0"/>
    <xf numFmtId="0" fontId="114" fillId="0" borderId="40" applyNumberFormat="0" applyFill="0" applyProtection="0"/>
    <xf numFmtId="0" fontId="114" fillId="0" borderId="40" applyNumberFormat="0" applyFill="0" applyAlignment="0" applyProtection="0"/>
    <xf numFmtId="0" fontId="114" fillId="0" borderId="40" applyNumberFormat="0" applyFill="0" applyAlignment="0" applyProtection="0"/>
    <xf numFmtId="0" fontId="114" fillId="0" borderId="40" applyNumberFormat="0" applyFill="0" applyAlignment="0" applyProtection="0"/>
    <xf numFmtId="0" fontId="114" fillId="0" borderId="40" applyNumberFormat="0" applyFill="0" applyAlignment="0" applyProtection="0"/>
    <xf numFmtId="0" fontId="114" fillId="0" borderId="40" applyNumberFormat="0" applyFill="0" applyAlignment="0" applyProtection="0"/>
    <xf numFmtId="0" fontId="114" fillId="0" borderId="40" applyNumberFormat="0" applyFill="0" applyAlignment="0" applyProtection="0"/>
    <xf numFmtId="0" fontId="114" fillId="0" borderId="40" applyNumberFormat="0" applyFill="0" applyAlignment="0" applyProtection="0"/>
    <xf numFmtId="0" fontId="114" fillId="0" borderId="40" applyNumberFormat="0" applyFill="0" applyAlignment="0" applyProtection="0"/>
    <xf numFmtId="0" fontId="114" fillId="0" borderId="40" applyNumberFormat="0" applyFill="0" applyAlignment="0" applyProtection="0"/>
    <xf numFmtId="0" fontId="114" fillId="0" borderId="40" applyNumberFormat="0" applyFill="0" applyAlignment="0" applyProtection="0"/>
    <xf numFmtId="0" fontId="114" fillId="0" borderId="40" applyNumberFormat="0" applyFill="0" applyAlignment="0" applyProtection="0"/>
    <xf numFmtId="0" fontId="114" fillId="0" borderId="40" applyNumberFormat="0" applyFill="0" applyAlignment="0" applyProtection="0"/>
    <xf numFmtId="0" fontId="114" fillId="0" borderId="40" applyNumberFormat="0" applyFill="0" applyAlignment="0" applyProtection="0"/>
    <xf numFmtId="0" fontId="114" fillId="0" borderId="40" applyNumberFormat="0" applyFill="0" applyAlignment="0" applyProtection="0"/>
    <xf numFmtId="0" fontId="114" fillId="0" borderId="40" applyNumberFormat="0" applyFill="0" applyAlignment="0" applyProtection="0"/>
    <xf numFmtId="0" fontId="114" fillId="0" borderId="40" applyNumberFormat="0" applyFill="0" applyAlignment="0" applyProtection="0"/>
    <xf numFmtId="0" fontId="114" fillId="0" borderId="40" applyNumberFormat="0" applyFill="0" applyAlignment="0" applyProtection="0"/>
    <xf numFmtId="0" fontId="114" fillId="0" borderId="40" applyNumberFormat="0" applyFill="0" applyAlignment="0" applyProtection="0"/>
    <xf numFmtId="0" fontId="114" fillId="0" borderId="40" applyNumberFormat="0" applyFill="0" applyAlignment="0" applyProtection="0"/>
    <xf numFmtId="0" fontId="114" fillId="0" borderId="40" applyNumberFormat="0" applyFill="0" applyAlignment="0" applyProtection="0"/>
    <xf numFmtId="0" fontId="114" fillId="0" borderId="40" applyNumberFormat="0" applyFill="0" applyProtection="0"/>
    <xf numFmtId="0" fontId="114" fillId="0" borderId="40" applyNumberFormat="0" applyFill="0" applyProtection="0"/>
    <xf numFmtId="0" fontId="114" fillId="0" borderId="40" applyNumberFormat="0" applyFill="0" applyProtection="0"/>
    <xf numFmtId="0" fontId="114" fillId="0" borderId="40" applyNumberFormat="0" applyFill="0" applyProtection="0"/>
    <xf numFmtId="0" fontId="114" fillId="0" borderId="40" applyNumberFormat="0" applyFill="0" applyProtection="0"/>
    <xf numFmtId="0" fontId="114" fillId="0" borderId="40" applyNumberFormat="0" applyFill="0" applyProtection="0"/>
    <xf numFmtId="0" fontId="114" fillId="0" borderId="40" applyNumberFormat="0" applyFill="0" applyProtection="0"/>
    <xf numFmtId="0" fontId="114" fillId="0" borderId="40" applyNumberFormat="0" applyFill="0" applyProtection="0"/>
    <xf numFmtId="0" fontId="114" fillId="0" borderId="40" applyNumberFormat="0" applyFill="0" applyAlignment="0" applyProtection="0"/>
    <xf numFmtId="0" fontId="114" fillId="0" borderId="40" applyNumberFormat="0" applyFill="0" applyAlignment="0" applyProtection="0"/>
    <xf numFmtId="0" fontId="114" fillId="0" borderId="40" applyNumberFormat="0" applyFill="0" applyAlignment="0" applyProtection="0"/>
    <xf numFmtId="0" fontId="114" fillId="0" borderId="40" applyNumberFormat="0" applyFill="0" applyAlignment="0" applyProtection="0"/>
    <xf numFmtId="0" fontId="114" fillId="0" borderId="40" applyNumberFormat="0" applyFill="0" applyAlignment="0" applyProtection="0"/>
    <xf numFmtId="0" fontId="114" fillId="0" borderId="40" applyNumberFormat="0" applyFill="0" applyAlignment="0" applyProtection="0"/>
    <xf numFmtId="0" fontId="114" fillId="0" borderId="40" applyNumberFormat="0" applyFill="0" applyAlignment="0" applyProtection="0"/>
    <xf numFmtId="0" fontId="114" fillId="0" borderId="40" applyNumberFormat="0" applyFill="0" applyAlignment="0" applyProtection="0"/>
    <xf numFmtId="0" fontId="114" fillId="0" borderId="40" applyNumberFormat="0" applyFill="0" applyAlignment="0" applyProtection="0"/>
    <xf numFmtId="0" fontId="114" fillId="0" borderId="40" applyNumberFormat="0" applyFill="0" applyAlignment="0" applyProtection="0"/>
    <xf numFmtId="0" fontId="114" fillId="0" borderId="40" applyNumberFormat="0" applyFill="0" applyAlignment="0" applyProtection="0"/>
    <xf numFmtId="0" fontId="114" fillId="0" borderId="40" applyNumberFormat="0" applyFill="0" applyAlignment="0" applyProtection="0"/>
    <xf numFmtId="0" fontId="114" fillId="0" borderId="40" applyNumberFormat="0" applyFill="0" applyAlignment="0" applyProtection="0"/>
    <xf numFmtId="0" fontId="114" fillId="0" borderId="40" applyNumberFormat="0" applyFill="0" applyAlignment="0" applyProtection="0"/>
    <xf numFmtId="0" fontId="114" fillId="0" borderId="40" applyNumberFormat="0" applyFill="0" applyAlignment="0" applyProtection="0"/>
    <xf numFmtId="0" fontId="114" fillId="0" borderId="40" applyNumberFormat="0" applyFill="0" applyAlignment="0" applyProtection="0"/>
    <xf numFmtId="0" fontId="114" fillId="0" borderId="40" applyNumberFormat="0" applyFill="0" applyAlignment="0" applyProtection="0"/>
    <xf numFmtId="0" fontId="114" fillId="0" borderId="40" applyNumberFormat="0" applyFill="0" applyAlignment="0" applyProtection="0"/>
    <xf numFmtId="0" fontId="114" fillId="0" borderId="40" applyNumberFormat="0" applyFill="0" applyAlignment="0" applyProtection="0"/>
    <xf numFmtId="0" fontId="114" fillId="0" borderId="40" applyNumberFormat="0" applyFill="0" applyAlignment="0" applyProtection="0"/>
    <xf numFmtId="0" fontId="114" fillId="0" borderId="40" applyNumberFormat="0" applyFill="0" applyProtection="0"/>
    <xf numFmtId="0" fontId="114" fillId="0" borderId="40" applyNumberFormat="0" applyFill="0" applyProtection="0"/>
    <xf numFmtId="0" fontId="114" fillId="0" borderId="40" applyNumberFormat="0" applyFill="0" applyProtection="0"/>
    <xf numFmtId="0" fontId="114" fillId="0" borderId="40" applyNumberFormat="0" applyFill="0" applyProtection="0"/>
    <xf numFmtId="0" fontId="114" fillId="0" borderId="40" applyNumberFormat="0" applyFill="0" applyProtection="0"/>
    <xf numFmtId="0" fontId="114" fillId="0" borderId="40" applyNumberFormat="0" applyFill="0" applyProtection="0"/>
    <xf numFmtId="0" fontId="114" fillId="0" borderId="40" applyNumberFormat="0" applyFill="0" applyProtection="0"/>
    <xf numFmtId="0" fontId="114" fillId="0" borderId="40" applyNumberFormat="0" applyFill="0" applyProtection="0"/>
    <xf numFmtId="0" fontId="114" fillId="0" borderId="40" applyNumberFormat="0" applyFill="0" applyAlignment="0" applyProtection="0"/>
    <xf numFmtId="0" fontId="114" fillId="0" borderId="40" applyNumberFormat="0" applyFill="0" applyAlignment="0" applyProtection="0"/>
    <xf numFmtId="0" fontId="114" fillId="0" borderId="40" applyNumberFormat="0" applyFill="0" applyAlignment="0" applyProtection="0"/>
    <xf numFmtId="0" fontId="114" fillId="0" borderId="40" applyNumberFormat="0" applyFill="0" applyAlignment="0" applyProtection="0"/>
    <xf numFmtId="0" fontId="114" fillId="0" borderId="40" applyNumberFormat="0" applyFill="0" applyAlignment="0" applyProtection="0"/>
    <xf numFmtId="0" fontId="114" fillId="0" borderId="40" applyNumberFormat="0" applyFill="0" applyAlignment="0" applyProtection="0"/>
    <xf numFmtId="0" fontId="114" fillId="0" borderId="40" applyNumberFormat="0" applyFill="0" applyAlignment="0" applyProtection="0"/>
    <xf numFmtId="0" fontId="114" fillId="0" borderId="40" applyNumberFormat="0" applyFill="0" applyAlignment="0" applyProtection="0"/>
    <xf numFmtId="0" fontId="114" fillId="0" borderId="40" applyNumberFormat="0" applyFill="0" applyAlignment="0" applyProtection="0"/>
    <xf numFmtId="0" fontId="114" fillId="0" borderId="40" applyNumberFormat="0" applyFill="0" applyAlignment="0" applyProtection="0"/>
    <xf numFmtId="0" fontId="114" fillId="0" borderId="40" applyNumberFormat="0" applyFill="0" applyAlignment="0" applyProtection="0"/>
    <xf numFmtId="0" fontId="114" fillId="0" borderId="40" applyNumberFormat="0" applyFill="0" applyAlignment="0" applyProtection="0"/>
    <xf numFmtId="0" fontId="114" fillId="0" borderId="40" applyNumberFormat="0" applyFill="0" applyAlignment="0" applyProtection="0"/>
    <xf numFmtId="0" fontId="114" fillId="0" borderId="40" applyNumberFormat="0" applyFill="0" applyAlignment="0" applyProtection="0"/>
    <xf numFmtId="0" fontId="114" fillId="0" borderId="40" applyNumberFormat="0" applyFill="0" applyAlignment="0" applyProtection="0"/>
    <xf numFmtId="0" fontId="114" fillId="0" borderId="40" applyNumberFormat="0" applyFill="0" applyAlignment="0" applyProtection="0"/>
    <xf numFmtId="0" fontId="114" fillId="0" borderId="40" applyNumberFormat="0" applyFill="0" applyAlignment="0" applyProtection="0"/>
    <xf numFmtId="0" fontId="114" fillId="0" borderId="40" applyNumberFormat="0" applyFill="0" applyAlignment="0" applyProtection="0"/>
    <xf numFmtId="0" fontId="114" fillId="0" borderId="40" applyNumberFormat="0" applyFill="0" applyAlignment="0" applyProtection="0"/>
    <xf numFmtId="0" fontId="114" fillId="0" borderId="40" applyNumberFormat="0" applyFill="0" applyAlignment="0" applyProtection="0"/>
    <xf numFmtId="0" fontId="114" fillId="0" borderId="40" applyNumberFormat="0" applyFill="0" applyProtection="0"/>
    <xf numFmtId="0" fontId="114" fillId="0" borderId="40" applyNumberFormat="0" applyFill="0" applyProtection="0"/>
    <xf numFmtId="0" fontId="114" fillId="0" borderId="40" applyNumberFormat="0" applyFill="0" applyProtection="0"/>
    <xf numFmtId="0" fontId="114" fillId="0" borderId="40" applyNumberFormat="0" applyFill="0" applyProtection="0"/>
    <xf numFmtId="0" fontId="114" fillId="0" borderId="40" applyNumberFormat="0" applyFill="0" applyProtection="0"/>
    <xf numFmtId="0" fontId="114" fillId="0" borderId="40" applyNumberFormat="0" applyFill="0" applyProtection="0"/>
    <xf numFmtId="0" fontId="114" fillId="0" borderId="40" applyNumberFormat="0" applyFill="0" applyProtection="0"/>
    <xf numFmtId="0" fontId="114" fillId="0" borderId="40" applyNumberFormat="0" applyFill="0" applyProtection="0"/>
    <xf numFmtId="0" fontId="119" fillId="0" borderId="41" applyNumberFormat="0" applyFill="0" applyProtection="0"/>
    <xf numFmtId="0" fontId="119" fillId="0" borderId="41" applyNumberFormat="0" applyFill="0" applyProtection="0"/>
    <xf numFmtId="0" fontId="119" fillId="0" borderId="41" applyNumberFormat="0" applyFill="0" applyProtection="0"/>
    <xf numFmtId="0" fontId="119" fillId="0" borderId="41" applyNumberFormat="0" applyFill="0" applyProtection="0"/>
    <xf numFmtId="0" fontId="119" fillId="0" borderId="41" applyNumberFormat="0" applyFill="0" applyProtection="0"/>
    <xf numFmtId="0" fontId="119" fillId="0" borderId="41" applyNumberFormat="0" applyFill="0" applyProtection="0"/>
    <xf numFmtId="0" fontId="119" fillId="0" borderId="41" applyNumberFormat="0" applyFill="0" applyProtection="0"/>
    <xf numFmtId="0" fontId="119" fillId="0" borderId="41" applyNumberFormat="0" applyFill="0" applyProtection="0"/>
    <xf numFmtId="0" fontId="118" fillId="0" borderId="41" applyNumberFormat="0" applyFill="0" applyAlignment="0" applyProtection="0"/>
    <xf numFmtId="0" fontId="118" fillId="0" borderId="41" applyNumberFormat="0" applyFill="0" applyAlignment="0" applyProtection="0"/>
    <xf numFmtId="0" fontId="118" fillId="0" borderId="41" applyNumberFormat="0" applyFill="0" applyAlignment="0" applyProtection="0"/>
    <xf numFmtId="0" fontId="118" fillId="0" borderId="41" applyNumberFormat="0" applyFill="0" applyAlignment="0" applyProtection="0"/>
    <xf numFmtId="0" fontId="118" fillId="0" borderId="41" applyNumberFormat="0" applyFill="0" applyAlignment="0" applyProtection="0"/>
    <xf numFmtId="0" fontId="118" fillId="0" borderId="41" applyNumberFormat="0" applyFill="0" applyAlignment="0" applyProtection="0"/>
    <xf numFmtId="0" fontId="118" fillId="0" borderId="41" applyNumberFormat="0" applyFill="0" applyAlignment="0" applyProtection="0"/>
    <xf numFmtId="0" fontId="118" fillId="0" borderId="41" applyNumberFormat="0" applyFill="0" applyAlignment="0" applyProtection="0"/>
    <xf numFmtId="0" fontId="118" fillId="0" borderId="41" applyNumberFormat="0" applyFill="0" applyAlignment="0" applyProtection="0"/>
    <xf numFmtId="0" fontId="118" fillId="0" borderId="41" applyNumberFormat="0" applyFill="0" applyAlignment="0" applyProtection="0"/>
    <xf numFmtId="0" fontId="118" fillId="0" borderId="41" applyNumberFormat="0" applyFill="0" applyAlignment="0" applyProtection="0"/>
    <xf numFmtId="0" fontId="118" fillId="0" borderId="41" applyNumberFormat="0" applyFill="0" applyAlignment="0" applyProtection="0"/>
    <xf numFmtId="0" fontId="118" fillId="0" borderId="41" applyNumberFormat="0" applyFill="0" applyAlignment="0" applyProtection="0"/>
    <xf numFmtId="0" fontId="118" fillId="0" borderId="41" applyNumberFormat="0" applyFill="0" applyAlignment="0" applyProtection="0"/>
    <xf numFmtId="0" fontId="118" fillId="0" borderId="41" applyNumberFormat="0" applyFill="0" applyAlignment="0" applyProtection="0"/>
    <xf numFmtId="0" fontId="118" fillId="0" borderId="41" applyNumberFormat="0" applyFill="0" applyAlignment="0" applyProtection="0"/>
    <xf numFmtId="0" fontId="118" fillId="0" borderId="41" applyNumberFormat="0" applyFill="0" applyAlignment="0" applyProtection="0"/>
    <xf numFmtId="0" fontId="118" fillId="0" borderId="41" applyNumberFormat="0" applyFill="0" applyAlignment="0" applyProtection="0"/>
    <xf numFmtId="0" fontId="118" fillId="0" borderId="41" applyNumberFormat="0" applyFill="0" applyAlignment="0" applyProtection="0"/>
    <xf numFmtId="0" fontId="118" fillId="0" borderId="41" applyNumberFormat="0" applyFill="0" applyAlignment="0" applyProtection="0"/>
    <xf numFmtId="0" fontId="118" fillId="0" borderId="41" applyNumberFormat="0" applyFill="0" applyProtection="0"/>
    <xf numFmtId="0" fontId="118" fillId="0" borderId="41" applyNumberFormat="0" applyFill="0" applyProtection="0"/>
    <xf numFmtId="0" fontId="118" fillId="0" borderId="41" applyNumberFormat="0" applyFill="0" applyProtection="0"/>
    <xf numFmtId="0" fontId="118" fillId="0" borderId="41" applyNumberFormat="0" applyFill="0" applyProtection="0"/>
    <xf numFmtId="0" fontId="118" fillId="0" borderId="41" applyNumberFormat="0" applyFill="0" applyProtection="0"/>
    <xf numFmtId="0" fontId="118" fillId="0" borderId="41" applyNumberFormat="0" applyFill="0" applyProtection="0"/>
    <xf numFmtId="0" fontId="118" fillId="0" borderId="41" applyNumberFormat="0" applyFill="0" applyProtection="0"/>
    <xf numFmtId="0" fontId="118" fillId="0" borderId="41" applyNumberFormat="0" applyFill="0" applyProtection="0"/>
    <xf numFmtId="0" fontId="118" fillId="0" borderId="41" applyNumberFormat="0" applyFill="0" applyAlignment="0" applyProtection="0"/>
    <xf numFmtId="0" fontId="118" fillId="0" borderId="41" applyNumberFormat="0" applyFill="0" applyAlignment="0" applyProtection="0"/>
    <xf numFmtId="0" fontId="118" fillId="0" borderId="41" applyNumberFormat="0" applyFill="0" applyAlignment="0" applyProtection="0"/>
    <xf numFmtId="0" fontId="118" fillId="0" borderId="41" applyNumberFormat="0" applyFill="0" applyAlignment="0" applyProtection="0"/>
    <xf numFmtId="0" fontId="118" fillId="0" borderId="41" applyNumberFormat="0" applyFill="0" applyAlignment="0" applyProtection="0"/>
    <xf numFmtId="0" fontId="118" fillId="0" borderId="41" applyNumberFormat="0" applyFill="0" applyAlignment="0" applyProtection="0"/>
    <xf numFmtId="0" fontId="118" fillId="0" borderId="41" applyNumberFormat="0" applyFill="0" applyAlignment="0" applyProtection="0"/>
    <xf numFmtId="0" fontId="118" fillId="0" borderId="41" applyNumberFormat="0" applyFill="0" applyAlignment="0" applyProtection="0"/>
    <xf numFmtId="0" fontId="118" fillId="0" borderId="41" applyNumberFormat="0" applyFill="0" applyAlignment="0" applyProtection="0"/>
    <xf numFmtId="0" fontId="118" fillId="0" borderId="41" applyNumberFormat="0" applyFill="0" applyAlignment="0" applyProtection="0"/>
    <xf numFmtId="0" fontId="118" fillId="0" borderId="41" applyNumberFormat="0" applyFill="0" applyAlignment="0" applyProtection="0"/>
    <xf numFmtId="0" fontId="118" fillId="0" borderId="41" applyNumberFormat="0" applyFill="0" applyAlignment="0" applyProtection="0"/>
    <xf numFmtId="0" fontId="118" fillId="0" borderId="41" applyNumberFormat="0" applyFill="0" applyAlignment="0" applyProtection="0"/>
    <xf numFmtId="0" fontId="118" fillId="0" borderId="41" applyNumberFormat="0" applyFill="0" applyAlignment="0" applyProtection="0"/>
    <xf numFmtId="0" fontId="118" fillId="0" borderId="41" applyNumberFormat="0" applyFill="0" applyAlignment="0" applyProtection="0"/>
    <xf numFmtId="0" fontId="118" fillId="0" borderId="41" applyNumberFormat="0" applyFill="0" applyAlignment="0" applyProtection="0"/>
    <xf numFmtId="0" fontId="118" fillId="0" borderId="41" applyNumberFormat="0" applyFill="0" applyAlignment="0" applyProtection="0"/>
    <xf numFmtId="0" fontId="118" fillId="0" borderId="41" applyNumberFormat="0" applyFill="0" applyAlignment="0" applyProtection="0"/>
    <xf numFmtId="0" fontId="118" fillId="0" borderId="41" applyNumberFormat="0" applyFill="0" applyAlignment="0" applyProtection="0"/>
    <xf numFmtId="0" fontId="118" fillId="0" borderId="41" applyNumberFormat="0" applyFill="0" applyAlignment="0" applyProtection="0"/>
    <xf numFmtId="0" fontId="118" fillId="0" borderId="41" applyNumberFormat="0" applyFill="0" applyProtection="0"/>
    <xf numFmtId="0" fontId="118" fillId="0" borderId="41" applyNumberFormat="0" applyFill="0" applyProtection="0"/>
    <xf numFmtId="0" fontId="118" fillId="0" borderId="41" applyNumberFormat="0" applyFill="0" applyProtection="0"/>
    <xf numFmtId="0" fontId="118" fillId="0" borderId="41" applyNumberFormat="0" applyFill="0" applyProtection="0"/>
    <xf numFmtId="0" fontId="118" fillId="0" borderId="41" applyNumberFormat="0" applyFill="0" applyProtection="0"/>
    <xf numFmtId="0" fontId="118" fillId="0" borderId="41" applyNumberFormat="0" applyFill="0" applyProtection="0"/>
    <xf numFmtId="0" fontId="118" fillId="0" borderId="41" applyNumberFormat="0" applyFill="0" applyProtection="0"/>
    <xf numFmtId="0" fontId="118" fillId="0" borderId="41" applyNumberFormat="0" applyFill="0" applyProtection="0"/>
    <xf numFmtId="0" fontId="118" fillId="0" borderId="41" applyNumberFormat="0" applyFill="0" applyAlignment="0" applyProtection="0"/>
    <xf numFmtId="0" fontId="118" fillId="0" borderId="41" applyNumberFormat="0" applyFill="0" applyAlignment="0" applyProtection="0"/>
    <xf numFmtId="0" fontId="118" fillId="0" borderId="41" applyNumberFormat="0" applyFill="0" applyAlignment="0" applyProtection="0"/>
    <xf numFmtId="0" fontId="118" fillId="0" borderId="41" applyNumberFormat="0" applyFill="0" applyAlignment="0" applyProtection="0"/>
    <xf numFmtId="0" fontId="118" fillId="0" borderId="41" applyNumberFormat="0" applyFill="0" applyAlignment="0" applyProtection="0"/>
    <xf numFmtId="0" fontId="118" fillId="0" borderId="41" applyNumberFormat="0" applyFill="0" applyAlignment="0" applyProtection="0"/>
    <xf numFmtId="0" fontId="118" fillId="0" borderId="41" applyNumberFormat="0" applyFill="0" applyAlignment="0" applyProtection="0"/>
    <xf numFmtId="0" fontId="118" fillId="0" borderId="41" applyNumberFormat="0" applyFill="0" applyAlignment="0" applyProtection="0"/>
    <xf numFmtId="0" fontId="118" fillId="0" borderId="41" applyNumberFormat="0" applyFill="0" applyAlignment="0" applyProtection="0"/>
    <xf numFmtId="0" fontId="118" fillId="0" borderId="41" applyNumberFormat="0" applyFill="0" applyAlignment="0" applyProtection="0"/>
    <xf numFmtId="0" fontId="118" fillId="0" borderId="41" applyNumberFormat="0" applyFill="0" applyAlignment="0" applyProtection="0"/>
    <xf numFmtId="0" fontId="118" fillId="0" borderId="41" applyNumberFormat="0" applyFill="0" applyAlignment="0" applyProtection="0"/>
    <xf numFmtId="0" fontId="118" fillId="0" borderId="41" applyNumberFormat="0" applyFill="0" applyAlignment="0" applyProtection="0"/>
    <xf numFmtId="0" fontId="118" fillId="0" borderId="41" applyNumberFormat="0" applyFill="0" applyAlignment="0" applyProtection="0"/>
    <xf numFmtId="0" fontId="118" fillId="0" borderId="41" applyNumberFormat="0" applyFill="0" applyAlignment="0" applyProtection="0"/>
    <xf numFmtId="0" fontId="118" fillId="0" borderId="41" applyNumberFormat="0" applyFill="0" applyAlignment="0" applyProtection="0"/>
    <xf numFmtId="0" fontId="118" fillId="0" borderId="41" applyNumberFormat="0" applyFill="0" applyAlignment="0" applyProtection="0"/>
    <xf numFmtId="0" fontId="118" fillId="0" borderId="41" applyNumberFormat="0" applyFill="0" applyAlignment="0" applyProtection="0"/>
    <xf numFmtId="0" fontId="118" fillId="0" borderId="41" applyNumberFormat="0" applyFill="0" applyAlignment="0" applyProtection="0"/>
    <xf numFmtId="0" fontId="118" fillId="0" borderId="41" applyNumberFormat="0" applyFill="0" applyAlignment="0" applyProtection="0"/>
    <xf numFmtId="0" fontId="118" fillId="0" borderId="41" applyNumberFormat="0" applyFill="0" applyProtection="0"/>
    <xf numFmtId="0" fontId="118" fillId="0" borderId="41" applyNumberFormat="0" applyFill="0" applyProtection="0"/>
    <xf numFmtId="0" fontId="118" fillId="0" borderId="41" applyNumberFormat="0" applyFill="0" applyProtection="0"/>
    <xf numFmtId="0" fontId="118" fillId="0" borderId="41" applyNumberFormat="0" applyFill="0" applyProtection="0"/>
    <xf numFmtId="0" fontId="118" fillId="0" borderId="41" applyNumberFormat="0" applyFill="0" applyProtection="0"/>
    <xf numFmtId="0" fontId="118" fillId="0" borderId="41" applyNumberFormat="0" applyFill="0" applyProtection="0"/>
    <xf numFmtId="0" fontId="118" fillId="0" borderId="41" applyNumberFormat="0" applyFill="0" applyProtection="0"/>
    <xf numFmtId="0" fontId="118" fillId="0" borderId="41" applyNumberFormat="0" applyFill="0" applyProtection="0"/>
    <xf numFmtId="0" fontId="118" fillId="0" borderId="41" applyNumberFormat="0" applyFill="0" applyAlignment="0" applyProtection="0"/>
    <xf numFmtId="0" fontId="118" fillId="0" borderId="41" applyNumberFormat="0" applyFill="0" applyAlignment="0" applyProtection="0"/>
    <xf numFmtId="0" fontId="118" fillId="0" borderId="41" applyNumberFormat="0" applyFill="0" applyAlignment="0" applyProtection="0"/>
    <xf numFmtId="0" fontId="118" fillId="0" borderId="41" applyNumberFormat="0" applyFill="0" applyAlignment="0" applyProtection="0"/>
    <xf numFmtId="0" fontId="118" fillId="0" borderId="41" applyNumberFormat="0" applyFill="0" applyAlignment="0" applyProtection="0"/>
    <xf numFmtId="0" fontId="118" fillId="0" borderId="41" applyNumberFormat="0" applyFill="0" applyAlignment="0" applyProtection="0"/>
    <xf numFmtId="0" fontId="118" fillId="0" borderId="41" applyNumberFormat="0" applyFill="0" applyAlignment="0" applyProtection="0"/>
    <xf numFmtId="0" fontId="118" fillId="0" borderId="41" applyNumberFormat="0" applyFill="0" applyAlignment="0" applyProtection="0"/>
    <xf numFmtId="0" fontId="118" fillId="0" borderId="41" applyNumberFormat="0" applyFill="0" applyAlignment="0" applyProtection="0"/>
    <xf numFmtId="0" fontId="118" fillId="0" borderId="41" applyNumberFormat="0" applyFill="0" applyAlignment="0" applyProtection="0"/>
    <xf numFmtId="0" fontId="118" fillId="0" borderId="41" applyNumberFormat="0" applyFill="0" applyAlignment="0" applyProtection="0"/>
    <xf numFmtId="0" fontId="118" fillId="0" borderId="41" applyNumberFormat="0" applyFill="0" applyAlignment="0" applyProtection="0"/>
    <xf numFmtId="0" fontId="118" fillId="0" borderId="41" applyNumberFormat="0" applyFill="0" applyAlignment="0" applyProtection="0"/>
    <xf numFmtId="0" fontId="118" fillId="0" borderId="41" applyNumberFormat="0" applyFill="0" applyAlignment="0" applyProtection="0"/>
    <xf numFmtId="0" fontId="118" fillId="0" borderId="41" applyNumberFormat="0" applyFill="0" applyAlignment="0" applyProtection="0"/>
    <xf numFmtId="0" fontId="118" fillId="0" borderId="41" applyNumberFormat="0" applyFill="0" applyAlignment="0" applyProtection="0"/>
    <xf numFmtId="0" fontId="118" fillId="0" borderId="41" applyNumberFormat="0" applyFill="0" applyAlignment="0" applyProtection="0"/>
    <xf numFmtId="0" fontId="118" fillId="0" borderId="41" applyNumberFormat="0" applyFill="0" applyAlignment="0" applyProtection="0"/>
    <xf numFmtId="0" fontId="118" fillId="0" borderId="41" applyNumberFormat="0" applyFill="0" applyAlignment="0" applyProtection="0"/>
    <xf numFmtId="0" fontId="118" fillId="0" borderId="41" applyNumberFormat="0" applyFill="0" applyAlignment="0" applyProtection="0"/>
    <xf numFmtId="0" fontId="118" fillId="0" borderId="41" applyNumberFormat="0" applyFill="0" applyProtection="0"/>
    <xf numFmtId="0" fontId="118" fillId="0" borderId="41" applyNumberFormat="0" applyFill="0" applyProtection="0"/>
    <xf numFmtId="0" fontId="118" fillId="0" borderId="41" applyNumberFormat="0" applyFill="0" applyProtection="0"/>
    <xf numFmtId="0" fontId="118" fillId="0" borderId="41" applyNumberFormat="0" applyFill="0" applyProtection="0"/>
    <xf numFmtId="0" fontId="118" fillId="0" borderId="41" applyNumberFormat="0" applyFill="0" applyProtection="0"/>
    <xf numFmtId="0" fontId="118" fillId="0" borderId="41" applyNumberFormat="0" applyFill="0" applyProtection="0"/>
    <xf numFmtId="0" fontId="118" fillId="0" borderId="41" applyNumberFormat="0" applyFill="0" applyProtection="0"/>
    <xf numFmtId="0" fontId="118" fillId="0" borderId="41" applyNumberFormat="0" applyFill="0" applyProtection="0"/>
    <xf numFmtId="0" fontId="118" fillId="0" borderId="41" applyNumberFormat="0" applyFill="0" applyAlignment="0" applyProtection="0"/>
    <xf numFmtId="0" fontId="118" fillId="0" borderId="41" applyNumberFormat="0" applyFill="0" applyAlignment="0" applyProtection="0"/>
    <xf numFmtId="0" fontId="118" fillId="0" borderId="41" applyNumberFormat="0" applyFill="0" applyAlignment="0" applyProtection="0"/>
    <xf numFmtId="0" fontId="118" fillId="0" borderId="41" applyNumberFormat="0" applyFill="0" applyAlignment="0" applyProtection="0"/>
    <xf numFmtId="0" fontId="118" fillId="0" borderId="41" applyNumberFormat="0" applyFill="0" applyAlignment="0" applyProtection="0"/>
    <xf numFmtId="0" fontId="118" fillId="0" borderId="41" applyNumberFormat="0" applyFill="0" applyAlignment="0" applyProtection="0"/>
    <xf numFmtId="0" fontId="118" fillId="0" borderId="41" applyNumberFormat="0" applyFill="0" applyAlignment="0" applyProtection="0"/>
    <xf numFmtId="0" fontId="118" fillId="0" borderId="41" applyNumberFormat="0" applyFill="0" applyAlignment="0" applyProtection="0"/>
    <xf numFmtId="0" fontId="118" fillId="0" borderId="41" applyNumberFormat="0" applyFill="0" applyAlignment="0" applyProtection="0"/>
    <xf numFmtId="0" fontId="118" fillId="0" borderId="41" applyNumberFormat="0" applyFill="0" applyAlignment="0" applyProtection="0"/>
    <xf numFmtId="0" fontId="118" fillId="0" borderId="41" applyNumberFormat="0" applyFill="0" applyAlignment="0" applyProtection="0"/>
    <xf numFmtId="0" fontId="118" fillId="0" borderId="41" applyNumberFormat="0" applyFill="0" applyAlignment="0" applyProtection="0"/>
    <xf numFmtId="0" fontId="118" fillId="0" borderId="41" applyNumberFormat="0" applyFill="0" applyAlignment="0" applyProtection="0"/>
    <xf numFmtId="0" fontId="118" fillId="0" borderId="41" applyNumberFormat="0" applyFill="0" applyAlignment="0" applyProtection="0"/>
    <xf numFmtId="0" fontId="118" fillId="0" borderId="41" applyNumberFormat="0" applyFill="0" applyAlignment="0" applyProtection="0"/>
    <xf numFmtId="0" fontId="118" fillId="0" borderId="41" applyNumberFormat="0" applyFill="0" applyAlignment="0" applyProtection="0"/>
    <xf numFmtId="0" fontId="118" fillId="0" borderId="41" applyNumberFormat="0" applyFill="0" applyAlignment="0" applyProtection="0"/>
    <xf numFmtId="0" fontId="118" fillId="0" borderId="41" applyNumberFormat="0" applyFill="0" applyAlignment="0" applyProtection="0"/>
    <xf numFmtId="0" fontId="118" fillId="0" borderId="41" applyNumberFormat="0" applyFill="0" applyAlignment="0" applyProtection="0"/>
    <xf numFmtId="0" fontId="118" fillId="0" borderId="41" applyNumberFormat="0" applyFill="0" applyAlignment="0" applyProtection="0"/>
    <xf numFmtId="0" fontId="118" fillId="0" borderId="41" applyNumberFormat="0" applyFill="0" applyProtection="0"/>
    <xf numFmtId="0" fontId="118" fillId="0" borderId="41" applyNumberFormat="0" applyFill="0" applyProtection="0"/>
    <xf numFmtId="0" fontId="118" fillId="0" borderId="41" applyNumberFormat="0" applyFill="0" applyProtection="0"/>
    <xf numFmtId="0" fontId="118" fillId="0" borderId="41" applyNumberFormat="0" applyFill="0" applyProtection="0"/>
    <xf numFmtId="0" fontId="118" fillId="0" borderId="41" applyNumberFormat="0" applyFill="0" applyProtection="0"/>
    <xf numFmtId="0" fontId="118" fillId="0" borderId="41" applyNumberFormat="0" applyFill="0" applyProtection="0"/>
    <xf numFmtId="0" fontId="118" fillId="0" borderId="41" applyNumberFormat="0" applyFill="0" applyProtection="0"/>
    <xf numFmtId="0" fontId="118" fillId="0" borderId="41" applyNumberFormat="0" applyFill="0" applyProtection="0"/>
    <xf numFmtId="0" fontId="119" fillId="0" borderId="0" applyNumberFormat="0" applyFill="0" applyBorder="0" applyProtection="0"/>
    <xf numFmtId="0" fontId="119" fillId="0" borderId="0" applyNumberFormat="0" applyFill="0" applyBorder="0" applyProtection="0"/>
    <xf numFmtId="0" fontId="119" fillId="0" borderId="0" applyNumberFormat="0" applyFill="0" applyBorder="0" applyProtection="0"/>
    <xf numFmtId="0" fontId="119" fillId="0" borderId="0" applyNumberFormat="0" applyFill="0" applyBorder="0" applyProtection="0"/>
    <xf numFmtId="0" fontId="119" fillId="0" borderId="0" applyNumberFormat="0" applyFill="0" applyBorder="0" applyProtection="0"/>
    <xf numFmtId="0" fontId="119" fillId="0" borderId="0" applyNumberFormat="0" applyFill="0" applyBorder="0" applyProtection="0"/>
    <xf numFmtId="0" fontId="119" fillId="0" borderId="0" applyNumberFormat="0" applyFill="0" applyBorder="0" applyProtection="0"/>
    <xf numFmtId="0" fontId="119" fillId="0" borderId="0" applyNumberFormat="0" applyFill="0" applyBorder="0" applyProtection="0"/>
    <xf numFmtId="0" fontId="118" fillId="0" borderId="0" applyNumberForma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118" fillId="0" borderId="0" applyNumberFormat="0" applyFill="0" applyBorder="0" applyProtection="0"/>
    <xf numFmtId="0" fontId="118" fillId="0" borderId="0" applyNumberFormat="0" applyFill="0" applyBorder="0" applyProtection="0"/>
    <xf numFmtId="0" fontId="118" fillId="0" borderId="0" applyNumberFormat="0" applyFill="0" applyBorder="0" applyProtection="0"/>
    <xf numFmtId="0" fontId="118" fillId="0" borderId="0" applyNumberFormat="0" applyFill="0" applyBorder="0" applyProtection="0"/>
    <xf numFmtId="0" fontId="118" fillId="0" borderId="0" applyNumberFormat="0" applyFill="0" applyBorder="0" applyProtection="0"/>
    <xf numFmtId="0" fontId="118" fillId="0" borderId="0" applyNumberFormat="0" applyFill="0" applyBorder="0" applyProtection="0"/>
    <xf numFmtId="0" fontId="118" fillId="0" borderId="0" applyNumberFormat="0" applyFill="0" applyBorder="0" applyProtection="0"/>
    <xf numFmtId="0" fontId="118" fillId="0" borderId="0" applyNumberFormat="0" applyFill="0" applyBorder="0" applyProtection="0"/>
    <xf numFmtId="0" fontId="118" fillId="0" borderId="0" applyNumberForma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118" fillId="0" borderId="0" applyNumberFormat="0" applyFill="0" applyBorder="0" applyProtection="0"/>
    <xf numFmtId="0" fontId="118" fillId="0" borderId="0" applyNumberFormat="0" applyFill="0" applyBorder="0" applyProtection="0"/>
    <xf numFmtId="0" fontId="118" fillId="0" borderId="0" applyNumberFormat="0" applyFill="0" applyBorder="0" applyProtection="0"/>
    <xf numFmtId="0" fontId="118" fillId="0" borderId="0" applyNumberFormat="0" applyFill="0" applyBorder="0" applyProtection="0"/>
    <xf numFmtId="0" fontId="118" fillId="0" borderId="0" applyNumberFormat="0" applyFill="0" applyBorder="0" applyProtection="0"/>
    <xf numFmtId="0" fontId="118" fillId="0" borderId="0" applyNumberFormat="0" applyFill="0" applyBorder="0" applyProtection="0"/>
    <xf numFmtId="0" fontId="118" fillId="0" borderId="0" applyNumberFormat="0" applyFill="0" applyBorder="0" applyProtection="0"/>
    <xf numFmtId="0" fontId="118" fillId="0" borderId="0" applyNumberFormat="0" applyFill="0" applyBorder="0" applyProtection="0"/>
    <xf numFmtId="0" fontId="118" fillId="0" borderId="0" applyNumberForma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118" fillId="0" borderId="0" applyNumberFormat="0" applyFill="0" applyBorder="0" applyProtection="0"/>
    <xf numFmtId="0" fontId="118" fillId="0" borderId="0" applyNumberFormat="0" applyFill="0" applyBorder="0" applyProtection="0"/>
    <xf numFmtId="0" fontId="118" fillId="0" borderId="0" applyNumberFormat="0" applyFill="0" applyBorder="0" applyProtection="0"/>
    <xf numFmtId="0" fontId="118" fillId="0" borderId="0" applyNumberFormat="0" applyFill="0" applyBorder="0" applyProtection="0"/>
    <xf numFmtId="0" fontId="118" fillId="0" borderId="0" applyNumberFormat="0" applyFill="0" applyBorder="0" applyProtection="0"/>
    <xf numFmtId="0" fontId="118" fillId="0" borderId="0" applyNumberFormat="0" applyFill="0" applyBorder="0" applyProtection="0"/>
    <xf numFmtId="0" fontId="118" fillId="0" borderId="0" applyNumberFormat="0" applyFill="0" applyBorder="0" applyProtection="0"/>
    <xf numFmtId="0" fontId="118" fillId="0" borderId="0" applyNumberFormat="0" applyFill="0" applyBorder="0" applyProtection="0"/>
    <xf numFmtId="0" fontId="118" fillId="0" borderId="0" applyNumberForma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118" fillId="0" borderId="0" applyNumberFormat="0" applyFill="0" applyBorder="0" applyProtection="0"/>
    <xf numFmtId="0" fontId="118" fillId="0" borderId="0" applyNumberFormat="0" applyFill="0" applyBorder="0" applyProtection="0"/>
    <xf numFmtId="0" fontId="118" fillId="0" borderId="0" applyNumberFormat="0" applyFill="0" applyBorder="0" applyProtection="0"/>
    <xf numFmtId="0" fontId="118" fillId="0" borderId="0" applyNumberFormat="0" applyFill="0" applyBorder="0" applyProtection="0"/>
    <xf numFmtId="0" fontId="118" fillId="0" borderId="0" applyNumberFormat="0" applyFill="0" applyBorder="0" applyProtection="0"/>
    <xf numFmtId="0" fontId="118" fillId="0" borderId="0" applyNumberFormat="0" applyFill="0" applyBorder="0" applyProtection="0"/>
    <xf numFmtId="0" fontId="118" fillId="0" borderId="0" applyNumberFormat="0" applyFill="0" applyBorder="0" applyProtection="0"/>
    <xf numFmtId="0" fontId="118" fillId="0" borderId="0" applyNumberFormat="0" applyFill="0" applyBorder="0" applyProtection="0"/>
    <xf numFmtId="0" fontId="118" fillId="0" borderId="0" applyNumberForma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118" fillId="0" borderId="0" applyNumberFormat="0" applyFill="0" applyBorder="0" applyProtection="0"/>
    <xf numFmtId="0" fontId="118" fillId="0" borderId="0" applyNumberFormat="0" applyFill="0" applyBorder="0" applyProtection="0"/>
    <xf numFmtId="0" fontId="118" fillId="0" borderId="0" applyNumberFormat="0" applyFill="0" applyBorder="0" applyProtection="0"/>
    <xf numFmtId="0" fontId="118" fillId="0" borderId="0" applyNumberFormat="0" applyFill="0" applyBorder="0" applyProtection="0"/>
    <xf numFmtId="0" fontId="118" fillId="0" borderId="0" applyNumberFormat="0" applyFill="0" applyBorder="0" applyProtection="0"/>
    <xf numFmtId="0" fontId="118" fillId="0" borderId="0" applyNumberFormat="0" applyFill="0" applyBorder="0" applyProtection="0"/>
    <xf numFmtId="0" fontId="118" fillId="0" borderId="0" applyNumberFormat="0" applyFill="0" applyBorder="0" applyProtection="0"/>
    <xf numFmtId="0" fontId="118" fillId="0" borderId="0" applyNumberFormat="0" applyFill="0" applyBorder="0" applyProtection="0"/>
    <xf numFmtId="0" fontId="122" fillId="0" borderId="42" applyNumberFormat="0" applyFill="0" applyProtection="0"/>
    <xf numFmtId="0" fontId="122" fillId="0" borderId="42" applyNumberFormat="0" applyFill="0" applyProtection="0"/>
    <xf numFmtId="0" fontId="122" fillId="0" borderId="42" applyNumberFormat="0" applyFill="0" applyProtection="0"/>
    <xf numFmtId="0" fontId="122" fillId="0" borderId="42" applyNumberFormat="0" applyFill="0" applyProtection="0"/>
    <xf numFmtId="0" fontId="122" fillId="0" borderId="42" applyNumberFormat="0" applyFill="0" applyProtection="0"/>
    <xf numFmtId="0" fontId="122" fillId="0" borderId="42" applyNumberFormat="0" applyFill="0" applyProtection="0"/>
    <xf numFmtId="0" fontId="123" fillId="0" borderId="42" applyNumberFormat="0" applyFill="0" applyProtection="0"/>
    <xf numFmtId="0" fontId="123" fillId="0" borderId="42" applyNumberFormat="0" applyFill="0" applyProtection="0"/>
    <xf numFmtId="0" fontId="123" fillId="0" borderId="42" applyNumberFormat="0" applyFill="0" applyProtection="0"/>
    <xf numFmtId="0" fontId="123" fillId="0" borderId="42" applyNumberFormat="0" applyFill="0" applyProtection="0"/>
    <xf numFmtId="0" fontId="123" fillId="0" borderId="42" applyNumberFormat="0" applyFill="0" applyProtection="0"/>
    <xf numFmtId="0" fontId="124" fillId="0" borderId="42" applyNumberFormat="0" applyFill="0" applyAlignment="0" applyProtection="0"/>
    <xf numFmtId="0" fontId="124" fillId="0" borderId="42" applyNumberFormat="0" applyFill="0" applyAlignment="0" applyProtection="0"/>
    <xf numFmtId="0" fontId="124" fillId="0" borderId="42" applyNumberFormat="0" applyFill="0" applyAlignment="0" applyProtection="0"/>
    <xf numFmtId="0" fontId="124" fillId="0" borderId="42" applyNumberFormat="0" applyFill="0" applyAlignment="0" applyProtection="0"/>
    <xf numFmtId="0" fontId="124" fillId="0" borderId="42" applyNumberFormat="0" applyFill="0" applyAlignment="0" applyProtection="0"/>
    <xf numFmtId="0" fontId="124" fillId="0" borderId="42" applyNumberFormat="0" applyFill="0" applyAlignment="0" applyProtection="0"/>
    <xf numFmtId="0" fontId="124" fillId="0" borderId="42" applyNumberFormat="0" applyFill="0" applyAlignment="0" applyProtection="0"/>
    <xf numFmtId="0" fontId="124" fillId="0" borderId="42" applyNumberFormat="0" applyFill="0" applyAlignment="0" applyProtection="0"/>
    <xf numFmtId="0" fontId="124" fillId="0" borderId="42" applyNumberFormat="0" applyFill="0" applyAlignment="0" applyProtection="0"/>
    <xf numFmtId="0" fontId="124" fillId="0" borderId="42" applyNumberFormat="0" applyFill="0" applyAlignment="0" applyProtection="0"/>
    <xf numFmtId="0" fontId="124" fillId="0" borderId="42" applyNumberFormat="0" applyFill="0" applyAlignment="0" applyProtection="0"/>
    <xf numFmtId="0" fontId="124" fillId="0" borderId="42" applyNumberFormat="0" applyFill="0" applyAlignment="0" applyProtection="0"/>
    <xf numFmtId="0" fontId="124" fillId="0" borderId="42" applyNumberFormat="0" applyFill="0" applyAlignment="0" applyProtection="0"/>
    <xf numFmtId="0" fontId="124" fillId="0" borderId="42" applyNumberFormat="0" applyFill="0" applyAlignment="0" applyProtection="0"/>
    <xf numFmtId="0" fontId="124" fillId="0" borderId="42" applyNumberFormat="0" applyFill="0" applyAlignment="0" applyProtection="0"/>
    <xf numFmtId="0" fontId="124" fillId="0" borderId="42" applyNumberFormat="0" applyFill="0" applyAlignment="0" applyProtection="0"/>
    <xf numFmtId="0" fontId="124" fillId="0" borderId="42" applyNumberFormat="0" applyFill="0" applyAlignment="0" applyProtection="0"/>
    <xf numFmtId="0" fontId="124" fillId="0" borderId="42" applyNumberFormat="0" applyFill="0" applyAlignment="0" applyProtection="0"/>
    <xf numFmtId="0" fontId="124" fillId="0" borderId="42" applyNumberFormat="0" applyFill="0" applyAlignment="0" applyProtection="0"/>
    <xf numFmtId="0" fontId="124" fillId="0" borderId="42" applyNumberFormat="0" applyFill="0" applyAlignment="0" applyProtection="0"/>
    <xf numFmtId="0" fontId="124" fillId="0" borderId="42" applyNumberFormat="0" applyFill="0" applyAlignment="0" applyProtection="0"/>
    <xf numFmtId="0" fontId="124" fillId="0" borderId="42" applyNumberFormat="0" applyFill="0" applyAlignment="0" applyProtection="0"/>
    <xf numFmtId="0" fontId="124" fillId="0" borderId="42" applyNumberFormat="0" applyFill="0" applyAlignment="0" applyProtection="0"/>
    <xf numFmtId="0" fontId="124" fillId="0" borderId="42" applyNumberFormat="0" applyFill="0" applyAlignment="0" applyProtection="0"/>
    <xf numFmtId="0" fontId="124" fillId="0" borderId="42" applyNumberFormat="0" applyFill="0" applyAlignment="0" applyProtection="0"/>
    <xf numFmtId="0" fontId="124" fillId="0" borderId="42" applyNumberFormat="0" applyFill="0" applyAlignment="0" applyProtection="0"/>
    <xf numFmtId="0" fontId="124" fillId="0" borderId="42" applyNumberFormat="0" applyFill="0" applyAlignment="0" applyProtection="0"/>
    <xf numFmtId="0" fontId="124" fillId="0" borderId="42" applyNumberFormat="0" applyFill="0" applyAlignment="0" applyProtection="0"/>
    <xf numFmtId="0" fontId="124" fillId="0" borderId="42" applyNumberFormat="0" applyFill="0" applyAlignment="0" applyProtection="0"/>
    <xf numFmtId="0" fontId="124" fillId="0" borderId="42" applyNumberFormat="0" applyFill="0" applyAlignment="0" applyProtection="0"/>
    <xf numFmtId="0" fontId="124" fillId="0" borderId="42" applyNumberFormat="0" applyFill="0" applyAlignment="0" applyProtection="0"/>
    <xf numFmtId="0" fontId="124" fillId="0" borderId="42" applyNumberFormat="0" applyFill="0" applyAlignment="0" applyProtection="0"/>
    <xf numFmtId="0" fontId="124" fillId="0" borderId="42" applyNumberFormat="0" applyFill="0" applyAlignment="0" applyProtection="0"/>
    <xf numFmtId="0" fontId="124" fillId="0" borderId="42" applyNumberFormat="0" applyFill="0" applyAlignment="0" applyProtection="0"/>
    <xf numFmtId="0" fontId="124" fillId="0" borderId="42" applyNumberFormat="0" applyFill="0" applyAlignment="0" applyProtection="0"/>
    <xf numFmtId="0" fontId="124" fillId="0" borderId="42" applyNumberFormat="0" applyFill="0" applyAlignment="0" applyProtection="0"/>
    <xf numFmtId="0" fontId="124" fillId="0" borderId="42" applyNumberFormat="0" applyFill="0" applyAlignment="0" applyProtection="0"/>
    <xf numFmtId="0" fontId="124" fillId="0" borderId="42" applyNumberFormat="0" applyFill="0" applyAlignment="0" applyProtection="0"/>
    <xf numFmtId="0" fontId="124" fillId="0" borderId="42" applyNumberFormat="0" applyFill="0" applyAlignment="0" applyProtection="0"/>
    <xf numFmtId="0" fontId="124" fillId="0" borderId="42" applyNumberFormat="0" applyFill="0" applyAlignment="0" applyProtection="0"/>
    <xf numFmtId="0" fontId="124" fillId="0" borderId="42" applyNumberFormat="0" applyFill="0" applyAlignment="0" applyProtection="0"/>
    <xf numFmtId="0" fontId="124" fillId="0" borderId="42" applyNumberFormat="0" applyFill="0" applyAlignment="0" applyProtection="0"/>
    <xf numFmtId="0" fontId="123" fillId="0" borderId="42" applyNumberFormat="0" applyFill="0" applyProtection="0"/>
    <xf numFmtId="0" fontId="123" fillId="0" borderId="42" applyNumberFormat="0" applyFill="0" applyProtection="0"/>
    <xf numFmtId="0" fontId="123" fillId="0" borderId="42" applyNumberFormat="0" applyFill="0" applyProtection="0"/>
    <xf numFmtId="0" fontId="123" fillId="0" borderId="42" applyNumberFormat="0" applyFill="0" applyProtection="0"/>
    <xf numFmtId="0" fontId="123" fillId="0" borderId="42" applyNumberFormat="0" applyFill="0" applyProtection="0"/>
    <xf numFmtId="0" fontId="123" fillId="0" borderId="42" applyNumberFormat="0" applyFill="0" applyProtection="0"/>
    <xf numFmtId="0" fontId="123" fillId="0" borderId="42" applyNumberFormat="0" applyFill="0" applyProtection="0"/>
    <xf numFmtId="0" fontId="123" fillId="0" borderId="42" applyNumberFormat="0" applyFill="0" applyProtection="0"/>
    <xf numFmtId="0" fontId="123" fillId="0" borderId="42" applyNumberFormat="0" applyFill="0" applyProtection="0"/>
    <xf numFmtId="0" fontId="123" fillId="0" borderId="42" applyNumberFormat="0" applyFill="0" applyProtection="0"/>
    <xf numFmtId="0" fontId="123" fillId="0" borderId="42" applyNumberFormat="0" applyFill="0" applyProtection="0"/>
    <xf numFmtId="0" fontId="123" fillId="0" borderId="42" applyNumberFormat="0" applyFill="0" applyProtection="0"/>
    <xf numFmtId="0" fontId="123" fillId="0" borderId="42" applyNumberFormat="0" applyFill="0" applyProtection="0"/>
    <xf numFmtId="0" fontId="123" fillId="0" borderId="42" applyNumberFormat="0" applyFill="0" applyProtection="0"/>
    <xf numFmtId="0" fontId="123" fillId="0" borderId="42" applyNumberFormat="0" applyFill="0" applyProtection="0"/>
    <xf numFmtId="0" fontId="123" fillId="0" borderId="42" applyNumberFormat="0" applyFill="0" applyProtection="0"/>
    <xf numFmtId="0" fontId="123" fillId="0" borderId="42" applyNumberFormat="0" applyFill="0" applyProtection="0"/>
    <xf numFmtId="0" fontId="123" fillId="0" borderId="42" applyNumberFormat="0" applyFill="0" applyProtection="0"/>
    <xf numFmtId="0" fontId="123" fillId="0" borderId="42" applyNumberFormat="0" applyFill="0" applyProtection="0"/>
    <xf numFmtId="0" fontId="123" fillId="0" borderId="42" applyNumberFormat="0" applyFill="0" applyProtection="0"/>
    <xf numFmtId="0" fontId="123" fillId="0" borderId="42" applyNumberFormat="0" applyFill="0" applyProtection="0"/>
    <xf numFmtId="0" fontId="123" fillId="0" borderId="42" applyNumberFormat="0" applyFill="0" applyProtection="0"/>
    <xf numFmtId="0" fontId="123" fillId="0" borderId="42" applyNumberFormat="0" applyFill="0" applyProtection="0"/>
    <xf numFmtId="0" fontId="123" fillId="0" borderId="42" applyNumberFormat="0" applyFill="0" applyProtection="0"/>
    <xf numFmtId="0" fontId="123" fillId="0" borderId="42" applyNumberFormat="0" applyFill="0" applyProtection="0"/>
    <xf numFmtId="0" fontId="123" fillId="0" borderId="42" applyNumberFormat="0" applyFill="0" applyProtection="0"/>
    <xf numFmtId="0" fontId="123" fillId="0" borderId="42" applyNumberFormat="0" applyFill="0" applyProtection="0"/>
    <xf numFmtId="0" fontId="125" fillId="0" borderId="42" applyNumberFormat="0" applyFill="0" applyAlignment="0" applyProtection="0"/>
    <xf numFmtId="0" fontId="125" fillId="0" borderId="42" applyNumberFormat="0" applyFill="0" applyAlignment="0" applyProtection="0"/>
    <xf numFmtId="0" fontId="125" fillId="0" borderId="42" applyNumberFormat="0" applyFill="0" applyAlignment="0" applyProtection="0"/>
    <xf numFmtId="0" fontId="125" fillId="0" borderId="42" applyNumberFormat="0" applyFill="0" applyAlignment="0" applyProtection="0"/>
    <xf numFmtId="0" fontId="125" fillId="0" borderId="42" applyNumberFormat="0" applyFill="0" applyAlignment="0" applyProtection="0"/>
    <xf numFmtId="0" fontId="125" fillId="0" borderId="42" applyNumberFormat="0" applyFill="0" applyAlignment="0" applyProtection="0"/>
    <xf numFmtId="0" fontId="125" fillId="0" borderId="42" applyNumberFormat="0" applyFill="0" applyAlignment="0" applyProtection="0"/>
    <xf numFmtId="0" fontId="125" fillId="0" borderId="42" applyNumberFormat="0" applyFill="0" applyAlignment="0" applyProtection="0"/>
    <xf numFmtId="0" fontId="125" fillId="0" borderId="42" applyNumberFormat="0" applyFill="0" applyAlignment="0" applyProtection="0"/>
    <xf numFmtId="0" fontId="125" fillId="0" borderId="42" applyNumberFormat="0" applyFill="0" applyAlignment="0" applyProtection="0"/>
    <xf numFmtId="0" fontId="125" fillId="0" borderId="42" applyNumberFormat="0" applyFill="0" applyAlignment="0" applyProtection="0"/>
    <xf numFmtId="0" fontId="125" fillId="0" borderId="42" applyNumberFormat="0" applyFill="0" applyAlignment="0" applyProtection="0"/>
    <xf numFmtId="0" fontId="125" fillId="0" borderId="42" applyNumberFormat="0" applyFill="0" applyAlignment="0" applyProtection="0"/>
    <xf numFmtId="0" fontId="125" fillId="0" borderId="42" applyNumberFormat="0" applyFill="0" applyAlignment="0" applyProtection="0"/>
    <xf numFmtId="0" fontId="125" fillId="0" borderId="42" applyNumberFormat="0" applyFill="0" applyAlignment="0" applyProtection="0"/>
    <xf numFmtId="0" fontId="125" fillId="0" borderId="42" applyNumberFormat="0" applyFill="0" applyAlignment="0" applyProtection="0"/>
    <xf numFmtId="0" fontId="125" fillId="0" borderId="42" applyNumberFormat="0" applyFill="0" applyAlignment="0" applyProtection="0"/>
    <xf numFmtId="0" fontId="125" fillId="0" borderId="42" applyNumberFormat="0" applyFill="0" applyAlignment="0" applyProtection="0"/>
    <xf numFmtId="0" fontId="125" fillId="0" borderId="42" applyNumberFormat="0" applyFill="0" applyAlignment="0" applyProtection="0"/>
    <xf numFmtId="0" fontId="125" fillId="0" borderId="42" applyNumberFormat="0" applyFill="0" applyAlignment="0" applyProtection="0"/>
    <xf numFmtId="0" fontId="125" fillId="0" borderId="42" applyNumberFormat="0" applyFill="0" applyAlignment="0" applyProtection="0"/>
    <xf numFmtId="0" fontId="125" fillId="0" borderId="42" applyNumberFormat="0" applyFill="0" applyAlignment="0" applyProtection="0"/>
    <xf numFmtId="0" fontId="125" fillId="0" borderId="42" applyNumberFormat="0" applyFill="0" applyAlignment="0" applyProtection="0"/>
    <xf numFmtId="0" fontId="125" fillId="0" borderId="42" applyNumberFormat="0" applyFill="0" applyAlignment="0" applyProtection="0"/>
    <xf numFmtId="0" fontId="125" fillId="0" borderId="42" applyNumberFormat="0" applyFill="0" applyAlignment="0" applyProtection="0"/>
    <xf numFmtId="0" fontId="125" fillId="0" borderId="42" applyNumberFormat="0" applyFill="0" applyAlignment="0" applyProtection="0"/>
    <xf numFmtId="0" fontId="125" fillId="0" borderId="42" applyNumberFormat="0" applyFill="0" applyAlignment="0" applyProtection="0"/>
    <xf numFmtId="0" fontId="125" fillId="0" borderId="42" applyNumberFormat="0" applyFill="0" applyAlignment="0" applyProtection="0"/>
    <xf numFmtId="0" fontId="125" fillId="0" borderId="42" applyNumberFormat="0" applyFill="0" applyAlignment="0" applyProtection="0"/>
    <xf numFmtId="0" fontId="125" fillId="0" borderId="42" applyNumberFormat="0" applyFill="0" applyAlignment="0" applyProtection="0"/>
    <xf numFmtId="0" fontId="125" fillId="0" borderId="42" applyNumberFormat="0" applyFill="0" applyAlignment="0" applyProtection="0"/>
    <xf numFmtId="0" fontId="125" fillId="0" borderId="42" applyNumberFormat="0" applyFill="0" applyAlignment="0" applyProtection="0"/>
    <xf numFmtId="0" fontId="125" fillId="0" borderId="42" applyNumberFormat="0" applyFill="0" applyAlignment="0" applyProtection="0"/>
    <xf numFmtId="0" fontId="125" fillId="0" borderId="42" applyNumberFormat="0" applyFill="0" applyAlignment="0" applyProtection="0"/>
    <xf numFmtId="0" fontId="125" fillId="0" borderId="42" applyNumberFormat="0" applyFill="0" applyAlignment="0" applyProtection="0"/>
    <xf numFmtId="0" fontId="125" fillId="0" borderId="42" applyNumberFormat="0" applyFill="0" applyAlignment="0" applyProtection="0"/>
    <xf numFmtId="0" fontId="125" fillId="0" borderId="42" applyNumberFormat="0" applyFill="0" applyAlignment="0" applyProtection="0"/>
    <xf numFmtId="0" fontId="125" fillId="0" borderId="42" applyNumberFormat="0" applyFill="0" applyAlignment="0" applyProtection="0"/>
    <xf numFmtId="0" fontId="125" fillId="0" borderId="42" applyNumberFormat="0" applyFill="0" applyAlignment="0" applyProtection="0"/>
    <xf numFmtId="0" fontId="125" fillId="0" borderId="42" applyNumberFormat="0" applyFill="0" applyAlignment="0" applyProtection="0"/>
    <xf numFmtId="0" fontId="125" fillId="0" borderId="42" applyNumberFormat="0" applyFill="0" applyAlignment="0" applyProtection="0"/>
    <xf numFmtId="0" fontId="125" fillId="0" borderId="42" applyNumberFormat="0" applyFill="0" applyAlignment="0" applyProtection="0"/>
    <xf numFmtId="0" fontId="122" fillId="0" borderId="42" applyNumberFormat="0" applyFill="0" applyProtection="0"/>
    <xf numFmtId="0" fontId="122" fillId="0" borderId="42" applyNumberFormat="0" applyFill="0" applyProtection="0"/>
    <xf numFmtId="0" fontId="122" fillId="0" borderId="42" applyNumberFormat="0" applyFill="0" applyProtection="0"/>
    <xf numFmtId="0" fontId="122" fillId="0" borderId="42" applyNumberFormat="0" applyFill="0" applyProtection="0"/>
    <xf numFmtId="0" fontId="122" fillId="0" borderId="42" applyNumberFormat="0" applyFill="0" applyProtection="0"/>
    <xf numFmtId="0" fontId="122" fillId="0" borderId="42" applyNumberFormat="0" applyFill="0" applyProtection="0"/>
    <xf numFmtId="0" fontId="122" fillId="0" borderId="42" applyNumberFormat="0" applyFill="0" applyProtection="0"/>
    <xf numFmtId="0" fontId="122" fillId="0" borderId="42" applyNumberFormat="0" applyFill="0" applyProtection="0"/>
    <xf numFmtId="0" fontId="122" fillId="0" borderId="42" applyNumberFormat="0" applyFill="0" applyProtection="0"/>
    <xf numFmtId="0" fontId="122" fillId="0" borderId="42" applyNumberFormat="0" applyFill="0" applyProtection="0"/>
    <xf numFmtId="0" fontId="122" fillId="0" borderId="42" applyNumberFormat="0" applyFill="0" applyProtection="0"/>
    <xf numFmtId="0" fontId="122" fillId="0" borderId="42" applyNumberFormat="0" applyFill="0" applyProtection="0"/>
    <xf numFmtId="0" fontId="122" fillId="0" borderId="42" applyNumberFormat="0" applyFill="0" applyProtection="0"/>
    <xf numFmtId="0" fontId="122" fillId="0" borderId="42" applyNumberFormat="0" applyFill="0" applyProtection="0"/>
    <xf numFmtId="0" fontId="122" fillId="0" borderId="42" applyNumberFormat="0" applyFill="0" applyProtection="0"/>
    <xf numFmtId="0" fontId="122" fillId="0" borderId="42" applyNumberFormat="0" applyFill="0" applyProtection="0"/>
    <xf numFmtId="0" fontId="122" fillId="0" borderId="42" applyNumberFormat="0" applyFill="0" applyProtection="0"/>
    <xf numFmtId="0" fontId="122" fillId="0" borderId="42" applyNumberFormat="0" applyFill="0" applyProtection="0"/>
    <xf numFmtId="0" fontId="122" fillId="0" borderId="42" applyNumberFormat="0" applyFill="0" applyProtection="0"/>
    <xf numFmtId="0" fontId="122" fillId="0" borderId="42" applyNumberFormat="0" applyFill="0" applyProtection="0"/>
    <xf numFmtId="0" fontId="122" fillId="0" borderId="42" applyNumberFormat="0" applyFill="0" applyProtection="0"/>
    <xf numFmtId="0" fontId="122" fillId="0" borderId="42" applyNumberFormat="0" applyFill="0" applyProtection="0"/>
    <xf numFmtId="0" fontId="122" fillId="0" borderId="42" applyNumberFormat="0" applyFill="0" applyProtection="0"/>
    <xf numFmtId="0" fontId="122" fillId="0" borderId="42" applyNumberFormat="0" applyFill="0" applyProtection="0"/>
    <xf numFmtId="0" fontId="122" fillId="0" borderId="42" applyNumberFormat="0" applyFill="0" applyProtection="0"/>
    <xf numFmtId="0" fontId="122" fillId="0" borderId="42" applyNumberFormat="0" applyFill="0" applyProtection="0"/>
    <xf numFmtId="0" fontId="122" fillId="0" borderId="42" applyNumberFormat="0" applyFill="0" applyProtection="0"/>
    <xf numFmtId="0" fontId="122" fillId="0" borderId="42" applyNumberFormat="0" applyFill="0" applyProtection="0"/>
    <xf numFmtId="0" fontId="122" fillId="0" borderId="42" applyNumberFormat="0" applyFill="0" applyProtection="0"/>
    <xf numFmtId="0" fontId="122" fillId="0" borderId="42" applyNumberFormat="0" applyFill="0" applyProtection="0"/>
    <xf numFmtId="0" fontId="122" fillId="0" borderId="42" applyNumberFormat="0" applyFill="0" applyProtection="0"/>
    <xf numFmtId="0" fontId="125" fillId="0" borderId="42" applyNumberFormat="0" applyFill="0" applyAlignment="0" applyProtection="0"/>
    <xf numFmtId="0" fontId="125" fillId="0" borderId="42" applyNumberFormat="0" applyFill="0" applyAlignment="0" applyProtection="0"/>
    <xf numFmtId="0" fontId="125" fillId="0" borderId="42" applyNumberFormat="0" applyFill="0" applyAlignment="0" applyProtection="0"/>
    <xf numFmtId="0" fontId="125" fillId="0" borderId="42" applyNumberFormat="0" applyFill="0" applyAlignment="0" applyProtection="0"/>
    <xf numFmtId="0" fontId="125" fillId="0" borderId="42" applyNumberFormat="0" applyFill="0" applyAlignment="0" applyProtection="0"/>
    <xf numFmtId="0" fontId="125" fillId="0" borderId="42" applyNumberFormat="0" applyFill="0" applyAlignment="0" applyProtection="0"/>
    <xf numFmtId="0" fontId="125" fillId="0" borderId="42" applyNumberFormat="0" applyFill="0" applyAlignment="0" applyProtection="0"/>
    <xf numFmtId="0" fontId="125" fillId="0" borderId="42" applyNumberFormat="0" applyFill="0" applyAlignment="0" applyProtection="0"/>
    <xf numFmtId="0" fontId="125" fillId="0" borderId="42" applyNumberFormat="0" applyFill="0" applyAlignment="0" applyProtection="0"/>
    <xf numFmtId="0" fontId="125" fillId="0" borderId="42" applyNumberFormat="0" applyFill="0" applyAlignment="0" applyProtection="0"/>
    <xf numFmtId="0" fontId="125" fillId="0" borderId="42" applyNumberFormat="0" applyFill="0" applyAlignment="0" applyProtection="0"/>
    <xf numFmtId="0" fontId="125" fillId="0" borderId="42" applyNumberFormat="0" applyFill="0" applyAlignment="0" applyProtection="0"/>
    <xf numFmtId="0" fontId="125" fillId="0" borderId="42" applyNumberFormat="0" applyFill="0" applyAlignment="0" applyProtection="0"/>
    <xf numFmtId="0" fontId="125" fillId="0" borderId="42" applyNumberFormat="0" applyFill="0" applyAlignment="0" applyProtection="0"/>
    <xf numFmtId="0" fontId="125" fillId="0" borderId="42" applyNumberFormat="0" applyFill="0" applyAlignment="0" applyProtection="0"/>
    <xf numFmtId="0" fontId="125" fillId="0" borderId="42" applyNumberFormat="0" applyFill="0" applyAlignment="0" applyProtection="0"/>
    <xf numFmtId="0" fontId="125" fillId="0" borderId="42" applyNumberFormat="0" applyFill="0" applyAlignment="0" applyProtection="0"/>
    <xf numFmtId="0" fontId="125" fillId="0" borderId="42" applyNumberFormat="0" applyFill="0" applyAlignment="0" applyProtection="0"/>
    <xf numFmtId="0" fontId="125" fillId="0" borderId="42" applyNumberFormat="0" applyFill="0" applyAlignment="0" applyProtection="0"/>
    <xf numFmtId="0" fontId="125" fillId="0" borderId="42" applyNumberFormat="0" applyFill="0" applyAlignment="0" applyProtection="0"/>
    <xf numFmtId="0" fontId="125" fillId="0" borderId="42" applyNumberFormat="0" applyFill="0" applyAlignment="0" applyProtection="0"/>
    <xf numFmtId="0" fontId="125" fillId="0" borderId="42" applyNumberFormat="0" applyFill="0" applyAlignment="0" applyProtection="0"/>
    <xf numFmtId="0" fontId="125" fillId="0" borderId="42" applyNumberFormat="0" applyFill="0" applyAlignment="0" applyProtection="0"/>
    <xf numFmtId="0" fontId="125" fillId="0" borderId="42" applyNumberFormat="0" applyFill="0" applyAlignment="0" applyProtection="0"/>
    <xf numFmtId="0" fontId="125" fillId="0" borderId="42" applyNumberFormat="0" applyFill="0" applyAlignment="0" applyProtection="0"/>
    <xf numFmtId="0" fontId="125" fillId="0" borderId="42" applyNumberFormat="0" applyFill="0" applyAlignment="0" applyProtection="0"/>
    <xf numFmtId="0" fontId="125" fillId="0" borderId="42" applyNumberFormat="0" applyFill="0" applyAlignment="0" applyProtection="0"/>
    <xf numFmtId="0" fontId="125" fillId="0" borderId="42" applyNumberFormat="0" applyFill="0" applyAlignment="0" applyProtection="0"/>
    <xf numFmtId="0" fontId="125" fillId="0" borderId="42" applyNumberFormat="0" applyFill="0" applyAlignment="0" applyProtection="0"/>
    <xf numFmtId="0" fontId="125" fillId="0" borderId="42" applyNumberFormat="0" applyFill="0" applyAlignment="0" applyProtection="0"/>
    <xf numFmtId="0" fontId="125" fillId="0" borderId="42" applyNumberFormat="0" applyFill="0" applyAlignment="0" applyProtection="0"/>
    <xf numFmtId="0" fontId="125" fillId="0" borderId="42" applyNumberFormat="0" applyFill="0" applyAlignment="0" applyProtection="0"/>
    <xf numFmtId="0" fontId="125" fillId="0" borderId="42" applyNumberFormat="0" applyFill="0" applyAlignment="0" applyProtection="0"/>
    <xf numFmtId="0" fontId="125" fillId="0" borderId="42" applyNumberFormat="0" applyFill="0" applyAlignment="0" applyProtection="0"/>
    <xf numFmtId="0" fontId="125" fillId="0" borderId="42" applyNumberFormat="0" applyFill="0" applyAlignment="0" applyProtection="0"/>
    <xf numFmtId="0" fontId="125" fillId="0" borderId="42" applyNumberFormat="0" applyFill="0" applyAlignment="0" applyProtection="0"/>
    <xf numFmtId="0" fontId="125" fillId="0" borderId="42" applyNumberFormat="0" applyFill="0" applyAlignment="0" applyProtection="0"/>
    <xf numFmtId="0" fontId="125" fillId="0" borderId="42" applyNumberFormat="0" applyFill="0" applyAlignment="0" applyProtection="0"/>
    <xf numFmtId="0" fontId="125" fillId="0" borderId="42" applyNumberFormat="0" applyFill="0" applyAlignment="0" applyProtection="0"/>
    <xf numFmtId="0" fontId="125" fillId="0" borderId="42" applyNumberFormat="0" applyFill="0" applyAlignment="0" applyProtection="0"/>
    <xf numFmtId="0" fontId="125" fillId="0" borderId="42" applyNumberFormat="0" applyFill="0" applyAlignment="0" applyProtection="0"/>
    <xf numFmtId="0" fontId="125" fillId="0" borderId="42" applyNumberFormat="0" applyFill="0" applyAlignment="0" applyProtection="0"/>
    <xf numFmtId="0" fontId="122" fillId="0" borderId="42" applyNumberFormat="0" applyFill="0" applyProtection="0"/>
    <xf numFmtId="0" fontId="122" fillId="0" borderId="42" applyNumberFormat="0" applyFill="0" applyProtection="0"/>
    <xf numFmtId="0" fontId="122" fillId="0" borderId="42" applyNumberFormat="0" applyFill="0" applyProtection="0"/>
    <xf numFmtId="0" fontId="122" fillId="0" borderId="42" applyNumberFormat="0" applyFill="0" applyProtection="0"/>
    <xf numFmtId="0" fontId="122" fillId="0" borderId="42" applyNumberFormat="0" applyFill="0" applyProtection="0"/>
    <xf numFmtId="0" fontId="122" fillId="0" borderId="42" applyNumberFormat="0" applyFill="0" applyProtection="0"/>
    <xf numFmtId="0" fontId="122" fillId="0" borderId="42" applyNumberFormat="0" applyFill="0" applyProtection="0"/>
    <xf numFmtId="0" fontId="122" fillId="0" borderId="42" applyNumberFormat="0" applyFill="0" applyProtection="0"/>
    <xf numFmtId="0" fontId="122" fillId="0" borderId="42" applyNumberFormat="0" applyFill="0" applyProtection="0"/>
    <xf numFmtId="0" fontId="122" fillId="0" borderId="42" applyNumberFormat="0" applyFill="0" applyProtection="0"/>
    <xf numFmtId="0" fontId="122" fillId="0" borderId="42" applyNumberFormat="0" applyFill="0" applyProtection="0"/>
    <xf numFmtId="0" fontId="122" fillId="0" borderId="42" applyNumberFormat="0" applyFill="0" applyProtection="0"/>
    <xf numFmtId="0" fontId="122" fillId="0" borderId="42" applyNumberFormat="0" applyFill="0" applyProtection="0"/>
    <xf numFmtId="0" fontId="122" fillId="0" borderId="42" applyNumberFormat="0" applyFill="0" applyProtection="0"/>
    <xf numFmtId="0" fontId="122" fillId="0" borderId="42" applyNumberFormat="0" applyFill="0" applyProtection="0"/>
    <xf numFmtId="0" fontId="122" fillId="0" borderId="42" applyNumberFormat="0" applyFill="0" applyProtection="0"/>
    <xf numFmtId="0" fontId="122" fillId="0" borderId="42" applyNumberFormat="0" applyFill="0" applyProtection="0"/>
    <xf numFmtId="0" fontId="122" fillId="0" borderId="42" applyNumberFormat="0" applyFill="0" applyProtection="0"/>
    <xf numFmtId="0" fontId="122" fillId="0" borderId="42" applyNumberFormat="0" applyFill="0" applyProtection="0"/>
    <xf numFmtId="0" fontId="122" fillId="0" borderId="42" applyNumberFormat="0" applyFill="0" applyProtection="0"/>
    <xf numFmtId="0" fontId="122" fillId="0" borderId="42" applyNumberFormat="0" applyFill="0" applyProtection="0"/>
    <xf numFmtId="0" fontId="122" fillId="0" borderId="42" applyNumberFormat="0" applyFill="0" applyProtection="0"/>
    <xf numFmtId="0" fontId="122" fillId="0" borderId="42" applyNumberFormat="0" applyFill="0" applyProtection="0"/>
    <xf numFmtId="0" fontId="122" fillId="0" borderId="42" applyNumberFormat="0" applyFill="0" applyProtection="0"/>
    <xf numFmtId="0" fontId="122" fillId="0" borderId="42" applyNumberFormat="0" applyFill="0" applyProtection="0"/>
    <xf numFmtId="0" fontId="122" fillId="0" borderId="42" applyNumberFormat="0" applyFill="0" applyProtection="0"/>
    <xf numFmtId="0" fontId="122" fillId="0" borderId="42" applyNumberFormat="0" applyFill="0" applyProtection="0"/>
    <xf numFmtId="0" fontId="122" fillId="0" borderId="42" applyNumberFormat="0" applyFill="0" applyProtection="0"/>
    <xf numFmtId="0" fontId="122" fillId="0" borderId="42" applyNumberFormat="0" applyFill="0" applyProtection="0"/>
    <xf numFmtId="0" fontId="122" fillId="0" borderId="42" applyNumberFormat="0" applyFill="0" applyProtection="0"/>
    <xf numFmtId="0" fontId="122" fillId="0" borderId="42" applyNumberFormat="0" applyFill="0" applyProtection="0"/>
    <xf numFmtId="0" fontId="122" fillId="0" borderId="42" applyNumberFormat="0" applyFill="0" applyProtection="0"/>
    <xf numFmtId="0" fontId="125" fillId="0" borderId="42" applyNumberFormat="0" applyFill="0" applyAlignment="0" applyProtection="0"/>
    <xf numFmtId="0" fontId="125" fillId="0" borderId="42" applyNumberFormat="0" applyFill="0" applyAlignment="0" applyProtection="0"/>
    <xf numFmtId="0" fontId="125" fillId="0" borderId="42" applyNumberFormat="0" applyFill="0" applyAlignment="0" applyProtection="0"/>
    <xf numFmtId="0" fontId="125" fillId="0" borderId="42" applyNumberFormat="0" applyFill="0" applyAlignment="0" applyProtection="0"/>
    <xf numFmtId="0" fontId="125" fillId="0" borderId="42" applyNumberFormat="0" applyFill="0" applyAlignment="0" applyProtection="0"/>
    <xf numFmtId="0" fontId="125" fillId="0" borderId="42" applyNumberFormat="0" applyFill="0" applyAlignment="0" applyProtection="0"/>
    <xf numFmtId="0" fontId="125" fillId="0" borderId="42" applyNumberFormat="0" applyFill="0" applyAlignment="0" applyProtection="0"/>
    <xf numFmtId="0" fontId="125" fillId="0" borderId="42" applyNumberFormat="0" applyFill="0" applyAlignment="0" applyProtection="0"/>
    <xf numFmtId="0" fontId="125" fillId="0" borderId="42" applyNumberFormat="0" applyFill="0" applyAlignment="0" applyProtection="0"/>
    <xf numFmtId="0" fontId="125" fillId="0" borderId="42" applyNumberFormat="0" applyFill="0" applyAlignment="0" applyProtection="0"/>
    <xf numFmtId="0" fontId="125" fillId="0" borderId="42" applyNumberFormat="0" applyFill="0" applyAlignment="0" applyProtection="0"/>
    <xf numFmtId="0" fontId="125" fillId="0" borderId="42" applyNumberFormat="0" applyFill="0" applyAlignment="0" applyProtection="0"/>
    <xf numFmtId="0" fontId="125" fillId="0" borderId="42" applyNumberFormat="0" applyFill="0" applyAlignment="0" applyProtection="0"/>
    <xf numFmtId="0" fontId="125" fillId="0" borderId="42" applyNumberFormat="0" applyFill="0" applyAlignment="0" applyProtection="0"/>
    <xf numFmtId="0" fontId="125" fillId="0" borderId="42" applyNumberFormat="0" applyFill="0" applyAlignment="0" applyProtection="0"/>
    <xf numFmtId="0" fontId="125" fillId="0" borderId="42" applyNumberFormat="0" applyFill="0" applyAlignment="0" applyProtection="0"/>
    <xf numFmtId="0" fontId="125" fillId="0" borderId="42" applyNumberFormat="0" applyFill="0" applyAlignment="0" applyProtection="0"/>
    <xf numFmtId="0" fontId="125" fillId="0" borderId="42" applyNumberFormat="0" applyFill="0" applyAlignment="0" applyProtection="0"/>
    <xf numFmtId="0" fontId="125" fillId="0" borderId="42" applyNumberFormat="0" applyFill="0" applyAlignment="0" applyProtection="0"/>
    <xf numFmtId="0" fontId="125" fillId="0" borderId="42" applyNumberFormat="0" applyFill="0" applyAlignment="0" applyProtection="0"/>
    <xf numFmtId="0" fontId="125" fillId="0" borderId="42" applyNumberFormat="0" applyFill="0" applyAlignment="0" applyProtection="0"/>
    <xf numFmtId="0" fontId="125" fillId="0" borderId="42" applyNumberFormat="0" applyFill="0" applyAlignment="0" applyProtection="0"/>
    <xf numFmtId="0" fontId="125" fillId="0" borderId="42" applyNumberFormat="0" applyFill="0" applyAlignment="0" applyProtection="0"/>
    <xf numFmtId="0" fontId="125" fillId="0" borderId="42" applyNumberFormat="0" applyFill="0" applyAlignment="0" applyProtection="0"/>
    <xf numFmtId="0" fontId="125" fillId="0" borderId="42" applyNumberFormat="0" applyFill="0" applyAlignment="0" applyProtection="0"/>
    <xf numFmtId="0" fontId="125" fillId="0" borderId="42" applyNumberFormat="0" applyFill="0" applyAlignment="0" applyProtection="0"/>
    <xf numFmtId="0" fontId="125" fillId="0" borderId="42" applyNumberFormat="0" applyFill="0" applyAlignment="0" applyProtection="0"/>
    <xf numFmtId="0" fontId="125" fillId="0" borderId="42" applyNumberFormat="0" applyFill="0" applyAlignment="0" applyProtection="0"/>
    <xf numFmtId="0" fontId="125" fillId="0" borderId="42" applyNumberFormat="0" applyFill="0" applyAlignment="0" applyProtection="0"/>
    <xf numFmtId="0" fontId="125" fillId="0" borderId="42" applyNumberFormat="0" applyFill="0" applyAlignment="0" applyProtection="0"/>
    <xf numFmtId="0" fontId="125" fillId="0" borderId="42" applyNumberFormat="0" applyFill="0" applyAlignment="0" applyProtection="0"/>
    <xf numFmtId="0" fontId="125" fillId="0" borderId="42" applyNumberFormat="0" applyFill="0" applyAlignment="0" applyProtection="0"/>
    <xf numFmtId="0" fontId="125" fillId="0" borderId="42" applyNumberFormat="0" applyFill="0" applyAlignment="0" applyProtection="0"/>
    <xf numFmtId="0" fontId="125" fillId="0" borderId="42" applyNumberFormat="0" applyFill="0" applyAlignment="0" applyProtection="0"/>
    <xf numFmtId="0" fontId="125" fillId="0" borderId="42" applyNumberFormat="0" applyFill="0" applyAlignment="0" applyProtection="0"/>
    <xf numFmtId="0" fontId="125" fillId="0" borderId="42" applyNumberFormat="0" applyFill="0" applyAlignment="0" applyProtection="0"/>
    <xf numFmtId="0" fontId="125" fillId="0" borderId="42" applyNumberFormat="0" applyFill="0" applyAlignment="0" applyProtection="0"/>
    <xf numFmtId="0" fontId="125" fillId="0" borderId="42" applyNumberFormat="0" applyFill="0" applyAlignment="0" applyProtection="0"/>
    <xf numFmtId="0" fontId="125" fillId="0" borderId="42" applyNumberFormat="0" applyFill="0" applyAlignment="0" applyProtection="0"/>
    <xf numFmtId="0" fontId="125" fillId="0" borderId="42" applyNumberFormat="0" applyFill="0" applyAlignment="0" applyProtection="0"/>
    <xf numFmtId="0" fontId="125" fillId="0" borderId="42" applyNumberFormat="0" applyFill="0" applyAlignment="0" applyProtection="0"/>
    <xf numFmtId="0" fontId="125" fillId="0" borderId="42" applyNumberFormat="0" applyFill="0" applyAlignment="0" applyProtection="0"/>
    <xf numFmtId="0" fontId="122" fillId="0" borderId="42" applyNumberFormat="0" applyFill="0" applyProtection="0"/>
    <xf numFmtId="0" fontId="122" fillId="0" borderId="42" applyNumberFormat="0" applyFill="0" applyProtection="0"/>
    <xf numFmtId="0" fontId="122" fillId="0" borderId="42" applyNumberFormat="0" applyFill="0" applyProtection="0"/>
    <xf numFmtId="0" fontId="122" fillId="0" borderId="42" applyNumberFormat="0" applyFill="0" applyProtection="0"/>
    <xf numFmtId="0" fontId="122" fillId="0" borderId="42" applyNumberFormat="0" applyFill="0" applyProtection="0"/>
    <xf numFmtId="0" fontId="122" fillId="0" borderId="42" applyNumberFormat="0" applyFill="0" applyProtection="0"/>
    <xf numFmtId="0" fontId="122" fillId="0" borderId="42" applyNumberFormat="0" applyFill="0" applyProtection="0"/>
    <xf numFmtId="0" fontId="122" fillId="0" borderId="42" applyNumberFormat="0" applyFill="0" applyProtection="0"/>
    <xf numFmtId="0" fontId="122" fillId="0" borderId="42" applyNumberFormat="0" applyFill="0" applyProtection="0"/>
    <xf numFmtId="0" fontId="122" fillId="0" borderId="42" applyNumberFormat="0" applyFill="0" applyProtection="0"/>
    <xf numFmtId="0" fontId="122" fillId="0" borderId="42" applyNumberFormat="0" applyFill="0" applyProtection="0"/>
    <xf numFmtId="0" fontId="122" fillId="0" borderId="42" applyNumberFormat="0" applyFill="0" applyProtection="0"/>
    <xf numFmtId="0" fontId="122" fillId="0" borderId="42" applyNumberFormat="0" applyFill="0" applyProtection="0"/>
    <xf numFmtId="0" fontId="122" fillId="0" borderId="42" applyNumberFormat="0" applyFill="0" applyProtection="0"/>
    <xf numFmtId="0" fontId="122" fillId="0" borderId="42" applyNumberFormat="0" applyFill="0" applyProtection="0"/>
    <xf numFmtId="0" fontId="122" fillId="0" borderId="42" applyNumberFormat="0" applyFill="0" applyProtection="0"/>
    <xf numFmtId="0" fontId="122" fillId="0" borderId="42" applyNumberFormat="0" applyFill="0" applyProtection="0"/>
    <xf numFmtId="0" fontId="122" fillId="0" borderId="42" applyNumberFormat="0" applyFill="0" applyProtection="0"/>
    <xf numFmtId="0" fontId="122" fillId="0" borderId="42" applyNumberFormat="0" applyFill="0" applyProtection="0"/>
    <xf numFmtId="0" fontId="122" fillId="0" borderId="42" applyNumberFormat="0" applyFill="0" applyProtection="0"/>
    <xf numFmtId="0" fontId="122" fillId="0" borderId="42" applyNumberFormat="0" applyFill="0" applyProtection="0"/>
    <xf numFmtId="0" fontId="122" fillId="0" borderId="42" applyNumberFormat="0" applyFill="0" applyProtection="0"/>
    <xf numFmtId="0" fontId="122" fillId="0" borderId="42" applyNumberFormat="0" applyFill="0" applyProtection="0"/>
    <xf numFmtId="0" fontId="122" fillId="0" borderId="42" applyNumberFormat="0" applyFill="0" applyProtection="0"/>
    <xf numFmtId="0" fontId="122" fillId="0" borderId="42" applyNumberFormat="0" applyFill="0" applyProtection="0"/>
    <xf numFmtId="0" fontId="122" fillId="0" borderId="42" applyNumberFormat="0" applyFill="0" applyProtection="0"/>
    <xf numFmtId="0" fontId="122" fillId="0" borderId="42" applyNumberFormat="0" applyFill="0" applyProtection="0"/>
    <xf numFmtId="0" fontId="122" fillId="0" borderId="42" applyNumberFormat="0" applyFill="0" applyProtection="0"/>
    <xf numFmtId="0" fontId="122" fillId="0" borderId="42" applyNumberFormat="0" applyFill="0" applyProtection="0"/>
    <xf numFmtId="0" fontId="122" fillId="0" borderId="42" applyNumberFormat="0" applyFill="0" applyProtection="0"/>
    <xf numFmtId="0" fontId="122" fillId="0" borderId="42" applyNumberFormat="0" applyFill="0" applyProtection="0"/>
    <xf numFmtId="0" fontId="122" fillId="0" borderId="42" applyNumberFormat="0" applyFill="0" applyProtection="0"/>
    <xf numFmtId="0" fontId="125" fillId="0" borderId="42" applyNumberFormat="0" applyFill="0" applyAlignment="0" applyProtection="0"/>
    <xf numFmtId="0" fontId="125" fillId="0" borderId="42" applyNumberFormat="0" applyFill="0" applyAlignment="0" applyProtection="0"/>
    <xf numFmtId="0" fontId="125" fillId="0" borderId="42" applyNumberFormat="0" applyFill="0" applyAlignment="0" applyProtection="0"/>
    <xf numFmtId="0" fontId="125" fillId="0" borderId="42" applyNumberFormat="0" applyFill="0" applyAlignment="0" applyProtection="0"/>
    <xf numFmtId="0" fontId="125" fillId="0" borderId="42" applyNumberFormat="0" applyFill="0" applyAlignment="0" applyProtection="0"/>
    <xf numFmtId="0" fontId="125" fillId="0" borderId="42" applyNumberFormat="0" applyFill="0" applyAlignment="0" applyProtection="0"/>
    <xf numFmtId="0" fontId="125" fillId="0" borderId="42" applyNumberFormat="0" applyFill="0" applyAlignment="0" applyProtection="0"/>
    <xf numFmtId="0" fontId="125" fillId="0" borderId="42" applyNumberFormat="0" applyFill="0" applyAlignment="0" applyProtection="0"/>
    <xf numFmtId="0" fontId="125" fillId="0" borderId="42" applyNumberFormat="0" applyFill="0" applyAlignment="0" applyProtection="0"/>
    <xf numFmtId="0" fontId="125" fillId="0" borderId="42" applyNumberFormat="0" applyFill="0" applyAlignment="0" applyProtection="0"/>
    <xf numFmtId="0" fontId="125" fillId="0" borderId="42" applyNumberFormat="0" applyFill="0" applyAlignment="0" applyProtection="0"/>
    <xf numFmtId="0" fontId="125" fillId="0" borderId="42" applyNumberFormat="0" applyFill="0" applyAlignment="0" applyProtection="0"/>
    <xf numFmtId="0" fontId="125" fillId="0" borderId="42" applyNumberFormat="0" applyFill="0" applyAlignment="0" applyProtection="0"/>
    <xf numFmtId="0" fontId="125" fillId="0" borderId="42" applyNumberFormat="0" applyFill="0" applyAlignment="0" applyProtection="0"/>
    <xf numFmtId="0" fontId="125" fillId="0" borderId="42" applyNumberFormat="0" applyFill="0" applyAlignment="0" applyProtection="0"/>
    <xf numFmtId="0" fontId="125" fillId="0" borderId="42" applyNumberFormat="0" applyFill="0" applyAlignment="0" applyProtection="0"/>
    <xf numFmtId="0" fontId="125" fillId="0" borderId="42" applyNumberFormat="0" applyFill="0" applyAlignment="0" applyProtection="0"/>
    <xf numFmtId="0" fontId="125" fillId="0" borderId="42" applyNumberFormat="0" applyFill="0" applyAlignment="0" applyProtection="0"/>
    <xf numFmtId="0" fontId="125" fillId="0" borderId="42" applyNumberFormat="0" applyFill="0" applyAlignment="0" applyProtection="0"/>
    <xf numFmtId="0" fontId="125" fillId="0" borderId="42" applyNumberFormat="0" applyFill="0" applyAlignment="0" applyProtection="0"/>
    <xf numFmtId="0" fontId="125" fillId="0" borderId="42" applyNumberFormat="0" applyFill="0" applyAlignment="0" applyProtection="0"/>
    <xf numFmtId="0" fontId="125" fillId="0" borderId="42" applyNumberFormat="0" applyFill="0" applyAlignment="0" applyProtection="0"/>
    <xf numFmtId="0" fontId="125" fillId="0" borderId="42" applyNumberFormat="0" applyFill="0" applyAlignment="0" applyProtection="0"/>
    <xf numFmtId="0" fontId="125" fillId="0" borderId="42" applyNumberFormat="0" applyFill="0" applyAlignment="0" applyProtection="0"/>
    <xf numFmtId="0" fontId="125" fillId="0" borderId="42" applyNumberFormat="0" applyFill="0" applyAlignment="0" applyProtection="0"/>
    <xf numFmtId="0" fontId="125" fillId="0" borderId="42" applyNumberFormat="0" applyFill="0" applyAlignment="0" applyProtection="0"/>
    <xf numFmtId="0" fontId="125" fillId="0" borderId="42" applyNumberFormat="0" applyFill="0" applyAlignment="0" applyProtection="0"/>
    <xf numFmtId="0" fontId="125" fillId="0" borderId="42" applyNumberFormat="0" applyFill="0" applyAlignment="0" applyProtection="0"/>
    <xf numFmtId="0" fontId="125" fillId="0" borderId="42" applyNumberFormat="0" applyFill="0" applyAlignment="0" applyProtection="0"/>
    <xf numFmtId="0" fontId="125" fillId="0" borderId="42" applyNumberFormat="0" applyFill="0" applyAlignment="0" applyProtection="0"/>
    <xf numFmtId="0" fontId="125" fillId="0" borderId="42" applyNumberFormat="0" applyFill="0" applyAlignment="0" applyProtection="0"/>
    <xf numFmtId="0" fontId="125" fillId="0" borderId="42" applyNumberFormat="0" applyFill="0" applyAlignment="0" applyProtection="0"/>
    <xf numFmtId="0" fontId="125" fillId="0" borderId="42" applyNumberFormat="0" applyFill="0" applyAlignment="0" applyProtection="0"/>
    <xf numFmtId="0" fontId="125" fillId="0" borderId="42" applyNumberFormat="0" applyFill="0" applyAlignment="0" applyProtection="0"/>
    <xf numFmtId="0" fontId="125" fillId="0" borderId="42" applyNumberFormat="0" applyFill="0" applyAlignment="0" applyProtection="0"/>
    <xf numFmtId="0" fontId="125" fillId="0" borderId="42" applyNumberFormat="0" applyFill="0" applyAlignment="0" applyProtection="0"/>
    <xf numFmtId="0" fontId="125" fillId="0" borderId="42" applyNumberFormat="0" applyFill="0" applyAlignment="0" applyProtection="0"/>
    <xf numFmtId="0" fontId="125" fillId="0" borderId="42" applyNumberFormat="0" applyFill="0" applyAlignment="0" applyProtection="0"/>
    <xf numFmtId="0" fontId="125" fillId="0" borderId="42" applyNumberFormat="0" applyFill="0" applyAlignment="0" applyProtection="0"/>
    <xf numFmtId="0" fontId="125" fillId="0" borderId="42" applyNumberFormat="0" applyFill="0" applyAlignment="0" applyProtection="0"/>
    <xf numFmtId="0" fontId="125" fillId="0" borderId="42" applyNumberFormat="0" applyFill="0" applyAlignment="0" applyProtection="0"/>
    <xf numFmtId="0" fontId="125" fillId="0" borderId="42" applyNumberFormat="0" applyFill="0" applyAlignment="0" applyProtection="0"/>
    <xf numFmtId="0" fontId="122" fillId="0" borderId="42" applyNumberFormat="0" applyFill="0" applyProtection="0"/>
    <xf numFmtId="0" fontId="122" fillId="0" borderId="42" applyNumberFormat="0" applyFill="0" applyProtection="0"/>
    <xf numFmtId="0" fontId="122" fillId="0" borderId="42" applyNumberFormat="0" applyFill="0" applyProtection="0"/>
    <xf numFmtId="0" fontId="122" fillId="0" borderId="42" applyNumberFormat="0" applyFill="0" applyProtection="0"/>
    <xf numFmtId="0" fontId="122" fillId="0" borderId="42" applyNumberFormat="0" applyFill="0" applyProtection="0"/>
    <xf numFmtId="0" fontId="122" fillId="0" borderId="42" applyNumberFormat="0" applyFill="0" applyProtection="0"/>
    <xf numFmtId="0" fontId="122" fillId="0" borderId="42" applyNumberFormat="0" applyFill="0" applyProtection="0"/>
    <xf numFmtId="0" fontId="122" fillId="0" borderId="42" applyNumberFormat="0" applyFill="0" applyProtection="0"/>
    <xf numFmtId="0" fontId="122" fillId="0" borderId="42" applyNumberFormat="0" applyFill="0" applyProtection="0"/>
    <xf numFmtId="0" fontId="122" fillId="0" borderId="42" applyNumberFormat="0" applyFill="0" applyProtection="0"/>
    <xf numFmtId="0" fontId="122" fillId="0" borderId="42" applyNumberFormat="0" applyFill="0" applyProtection="0"/>
    <xf numFmtId="0" fontId="122" fillId="0" borderId="42" applyNumberFormat="0" applyFill="0" applyProtection="0"/>
    <xf numFmtId="0" fontId="122" fillId="0" borderId="42" applyNumberFormat="0" applyFill="0" applyProtection="0"/>
    <xf numFmtId="0" fontId="122" fillId="0" borderId="42" applyNumberFormat="0" applyFill="0" applyProtection="0"/>
    <xf numFmtId="0" fontId="122" fillId="0" borderId="42" applyNumberFormat="0" applyFill="0" applyProtection="0"/>
    <xf numFmtId="0" fontId="122" fillId="0" borderId="42" applyNumberFormat="0" applyFill="0" applyProtection="0"/>
    <xf numFmtId="0" fontId="122" fillId="0" borderId="42" applyNumberFormat="0" applyFill="0" applyProtection="0"/>
    <xf numFmtId="0" fontId="122" fillId="0" borderId="42" applyNumberFormat="0" applyFill="0" applyProtection="0"/>
    <xf numFmtId="0" fontId="122" fillId="0" borderId="42" applyNumberFormat="0" applyFill="0" applyProtection="0"/>
    <xf numFmtId="0" fontId="122" fillId="0" borderId="42" applyNumberFormat="0" applyFill="0" applyProtection="0"/>
    <xf numFmtId="0" fontId="122" fillId="0" borderId="42" applyNumberFormat="0" applyFill="0" applyProtection="0"/>
    <xf numFmtId="0" fontId="122" fillId="0" borderId="42" applyNumberFormat="0" applyFill="0" applyProtection="0"/>
    <xf numFmtId="0" fontId="122" fillId="0" borderId="42" applyNumberFormat="0" applyFill="0" applyProtection="0"/>
    <xf numFmtId="0" fontId="122" fillId="0" borderId="42" applyNumberFormat="0" applyFill="0" applyProtection="0"/>
    <xf numFmtId="0" fontId="122" fillId="0" borderId="42" applyNumberFormat="0" applyFill="0" applyProtection="0"/>
    <xf numFmtId="0" fontId="122" fillId="0" borderId="42" applyNumberFormat="0" applyFill="0" applyProtection="0"/>
    <xf numFmtId="0" fontId="122" fillId="0" borderId="42" applyNumberFormat="0" applyFill="0" applyProtection="0"/>
    <xf numFmtId="0" fontId="122" fillId="0" borderId="42" applyNumberFormat="0" applyFill="0" applyProtection="0"/>
    <xf numFmtId="0" fontId="122" fillId="0" borderId="42" applyNumberFormat="0" applyFill="0" applyProtection="0"/>
    <xf numFmtId="0" fontId="122" fillId="0" borderId="42" applyNumberFormat="0" applyFill="0" applyProtection="0"/>
    <xf numFmtId="0" fontId="122" fillId="0" borderId="42" applyNumberFormat="0" applyFill="0" applyProtection="0"/>
    <xf numFmtId="0" fontId="122" fillId="0" borderId="42" applyNumberFormat="0" applyFill="0" applyProtection="0"/>
    <xf numFmtId="0" fontId="125" fillId="0" borderId="42" applyNumberFormat="0" applyFill="0" applyAlignment="0" applyProtection="0"/>
    <xf numFmtId="0" fontId="125" fillId="0" borderId="42" applyNumberFormat="0" applyFill="0" applyAlignment="0" applyProtection="0"/>
    <xf numFmtId="0" fontId="125" fillId="0" borderId="42" applyNumberFormat="0" applyFill="0" applyAlignment="0" applyProtection="0"/>
    <xf numFmtId="0" fontId="125" fillId="0" borderId="42" applyNumberFormat="0" applyFill="0" applyAlignment="0" applyProtection="0"/>
    <xf numFmtId="0" fontId="125" fillId="0" borderId="42" applyNumberFormat="0" applyFill="0" applyAlignment="0" applyProtection="0"/>
    <xf numFmtId="0" fontId="125" fillId="0" borderId="42" applyNumberFormat="0" applyFill="0" applyAlignment="0" applyProtection="0"/>
    <xf numFmtId="0" fontId="125" fillId="0" borderId="42" applyNumberFormat="0" applyFill="0" applyAlignment="0" applyProtection="0"/>
    <xf numFmtId="0" fontId="125" fillId="0" borderId="42" applyNumberFormat="0" applyFill="0" applyAlignment="0" applyProtection="0"/>
    <xf numFmtId="0" fontId="125" fillId="0" borderId="42" applyNumberFormat="0" applyFill="0" applyAlignment="0" applyProtection="0"/>
    <xf numFmtId="0" fontId="125" fillId="0" borderId="42" applyNumberFormat="0" applyFill="0" applyAlignment="0" applyProtection="0"/>
    <xf numFmtId="0" fontId="125" fillId="0" borderId="42" applyNumberFormat="0" applyFill="0" applyAlignment="0" applyProtection="0"/>
    <xf numFmtId="0" fontId="125" fillId="0" borderId="42" applyNumberFormat="0" applyFill="0" applyAlignment="0" applyProtection="0"/>
    <xf numFmtId="0" fontId="125" fillId="0" borderId="42" applyNumberFormat="0" applyFill="0" applyAlignment="0" applyProtection="0"/>
    <xf numFmtId="0" fontId="125" fillId="0" borderId="42" applyNumberFormat="0" applyFill="0" applyAlignment="0" applyProtection="0"/>
    <xf numFmtId="0" fontId="125" fillId="0" borderId="42" applyNumberFormat="0" applyFill="0" applyAlignment="0" applyProtection="0"/>
    <xf numFmtId="0" fontId="125" fillId="0" borderId="42" applyNumberFormat="0" applyFill="0" applyAlignment="0" applyProtection="0"/>
    <xf numFmtId="0" fontId="125" fillId="0" borderId="42" applyNumberFormat="0" applyFill="0" applyAlignment="0" applyProtection="0"/>
    <xf numFmtId="0" fontId="125" fillId="0" borderId="42" applyNumberFormat="0" applyFill="0" applyAlignment="0" applyProtection="0"/>
    <xf numFmtId="0" fontId="125" fillId="0" borderId="42" applyNumberFormat="0" applyFill="0" applyAlignment="0" applyProtection="0"/>
    <xf numFmtId="0" fontId="125" fillId="0" borderId="42" applyNumberFormat="0" applyFill="0" applyAlignment="0" applyProtection="0"/>
    <xf numFmtId="0" fontId="125" fillId="0" borderId="42" applyNumberFormat="0" applyFill="0" applyAlignment="0" applyProtection="0"/>
    <xf numFmtId="0" fontId="125" fillId="0" borderId="42" applyNumberFormat="0" applyFill="0" applyAlignment="0" applyProtection="0"/>
    <xf numFmtId="0" fontId="125" fillId="0" borderId="42" applyNumberFormat="0" applyFill="0" applyAlignment="0" applyProtection="0"/>
    <xf numFmtId="0" fontId="125" fillId="0" borderId="42" applyNumberFormat="0" applyFill="0" applyAlignment="0" applyProtection="0"/>
    <xf numFmtId="0" fontId="125" fillId="0" borderId="42" applyNumberFormat="0" applyFill="0" applyAlignment="0" applyProtection="0"/>
    <xf numFmtId="0" fontId="125" fillId="0" borderId="42" applyNumberFormat="0" applyFill="0" applyAlignment="0" applyProtection="0"/>
    <xf numFmtId="0" fontId="125" fillId="0" borderId="42" applyNumberFormat="0" applyFill="0" applyAlignment="0" applyProtection="0"/>
    <xf numFmtId="0" fontId="125" fillId="0" borderId="42" applyNumberFormat="0" applyFill="0" applyAlignment="0" applyProtection="0"/>
    <xf numFmtId="0" fontId="125" fillId="0" borderId="42" applyNumberFormat="0" applyFill="0" applyAlignment="0" applyProtection="0"/>
    <xf numFmtId="0" fontId="125" fillId="0" borderId="42" applyNumberFormat="0" applyFill="0" applyAlignment="0" applyProtection="0"/>
    <xf numFmtId="0" fontId="125" fillId="0" borderId="42" applyNumberFormat="0" applyFill="0" applyAlignment="0" applyProtection="0"/>
    <xf numFmtId="0" fontId="125" fillId="0" borderId="42" applyNumberFormat="0" applyFill="0" applyAlignment="0" applyProtection="0"/>
    <xf numFmtId="0" fontId="125" fillId="0" borderId="42" applyNumberFormat="0" applyFill="0" applyAlignment="0" applyProtection="0"/>
    <xf numFmtId="0" fontId="125" fillId="0" borderId="42" applyNumberFormat="0" applyFill="0" applyAlignment="0" applyProtection="0"/>
    <xf numFmtId="0" fontId="125" fillId="0" borderId="42" applyNumberFormat="0" applyFill="0" applyAlignment="0" applyProtection="0"/>
    <xf numFmtId="0" fontId="125" fillId="0" borderId="42" applyNumberFormat="0" applyFill="0" applyAlignment="0" applyProtection="0"/>
    <xf numFmtId="0" fontId="125" fillId="0" borderId="42" applyNumberFormat="0" applyFill="0" applyAlignment="0" applyProtection="0"/>
    <xf numFmtId="0" fontId="125" fillId="0" borderId="42" applyNumberFormat="0" applyFill="0" applyAlignment="0" applyProtection="0"/>
    <xf numFmtId="0" fontId="125" fillId="0" borderId="42" applyNumberFormat="0" applyFill="0" applyAlignment="0" applyProtection="0"/>
    <xf numFmtId="0" fontId="125" fillId="0" borderId="42" applyNumberFormat="0" applyFill="0" applyAlignment="0" applyProtection="0"/>
    <xf numFmtId="0" fontId="125" fillId="0" borderId="42" applyNumberFormat="0" applyFill="0" applyAlignment="0" applyProtection="0"/>
    <xf numFmtId="0" fontId="125" fillId="0" borderId="42" applyNumberFormat="0" applyFill="0" applyAlignment="0" applyProtection="0"/>
    <xf numFmtId="0" fontId="122" fillId="0" borderId="42" applyNumberFormat="0" applyFill="0" applyProtection="0"/>
    <xf numFmtId="0" fontId="122" fillId="0" borderId="42" applyNumberFormat="0" applyFill="0" applyProtection="0"/>
    <xf numFmtId="0" fontId="122" fillId="0" borderId="42" applyNumberFormat="0" applyFill="0" applyProtection="0"/>
    <xf numFmtId="0" fontId="122" fillId="0" borderId="42" applyNumberFormat="0" applyFill="0" applyProtection="0"/>
    <xf numFmtId="0" fontId="122" fillId="0" borderId="42" applyNumberFormat="0" applyFill="0" applyProtection="0"/>
    <xf numFmtId="0" fontId="122" fillId="0" borderId="42" applyNumberFormat="0" applyFill="0" applyProtection="0"/>
    <xf numFmtId="0" fontId="122" fillId="0" borderId="42" applyNumberFormat="0" applyFill="0" applyProtection="0"/>
    <xf numFmtId="0" fontId="122" fillId="0" borderId="42" applyNumberFormat="0" applyFill="0" applyProtection="0"/>
    <xf numFmtId="0" fontId="122" fillId="0" borderId="42" applyNumberFormat="0" applyFill="0" applyProtection="0"/>
    <xf numFmtId="0" fontId="122" fillId="0" borderId="42" applyNumberFormat="0" applyFill="0" applyProtection="0"/>
    <xf numFmtId="0" fontId="122" fillId="0" borderId="42" applyNumberFormat="0" applyFill="0" applyProtection="0"/>
    <xf numFmtId="0" fontId="122" fillId="0" borderId="42" applyNumberFormat="0" applyFill="0" applyProtection="0"/>
    <xf numFmtId="0" fontId="122" fillId="0" borderId="42" applyNumberFormat="0" applyFill="0" applyProtection="0"/>
    <xf numFmtId="0" fontId="122" fillId="0" borderId="42" applyNumberFormat="0" applyFill="0" applyProtection="0"/>
    <xf numFmtId="0" fontId="122" fillId="0" borderId="42" applyNumberFormat="0" applyFill="0" applyProtection="0"/>
    <xf numFmtId="0" fontId="122" fillId="0" borderId="42" applyNumberFormat="0" applyFill="0" applyProtection="0"/>
    <xf numFmtId="0" fontId="122" fillId="0" borderId="42" applyNumberFormat="0" applyFill="0" applyProtection="0"/>
    <xf numFmtId="0" fontId="122" fillId="0" borderId="42" applyNumberFormat="0" applyFill="0" applyProtection="0"/>
    <xf numFmtId="0" fontId="122" fillId="0" borderId="42" applyNumberFormat="0" applyFill="0" applyProtection="0"/>
    <xf numFmtId="0" fontId="122" fillId="0" borderId="42" applyNumberFormat="0" applyFill="0" applyProtection="0"/>
    <xf numFmtId="0" fontId="122" fillId="0" borderId="42" applyNumberFormat="0" applyFill="0" applyProtection="0"/>
    <xf numFmtId="0" fontId="122" fillId="0" borderId="42" applyNumberFormat="0" applyFill="0" applyProtection="0"/>
    <xf numFmtId="0" fontId="122" fillId="0" borderId="42" applyNumberFormat="0" applyFill="0" applyProtection="0"/>
    <xf numFmtId="0" fontId="122" fillId="0" borderId="42" applyNumberFormat="0" applyFill="0" applyProtection="0"/>
    <xf numFmtId="0" fontId="122" fillId="0" borderId="42" applyNumberFormat="0" applyFill="0" applyProtection="0"/>
    <xf numFmtId="0" fontId="122" fillId="0" borderId="42" applyNumberFormat="0" applyFill="0" applyProtection="0"/>
    <xf numFmtId="0" fontId="122" fillId="0" borderId="42" applyNumberFormat="0" applyFill="0" applyProtection="0"/>
    <xf numFmtId="0" fontId="127" fillId="131" borderId="43" applyNumberFormat="0" applyProtection="0"/>
    <xf numFmtId="0" fontId="127" fillId="131" borderId="43" applyNumberFormat="0" applyProtection="0"/>
    <xf numFmtId="0" fontId="127" fillId="131" borderId="43" applyNumberFormat="0" applyProtection="0"/>
    <xf numFmtId="0" fontId="127" fillId="131" borderId="43" applyNumberFormat="0" applyProtection="0"/>
    <xf numFmtId="0" fontId="127" fillId="131" borderId="43" applyNumberFormat="0" applyProtection="0"/>
    <xf numFmtId="0" fontId="127" fillId="131" borderId="43" applyNumberFormat="0" applyProtection="0"/>
    <xf numFmtId="0" fontId="127" fillId="131" borderId="43" applyNumberFormat="0" applyProtection="0"/>
    <xf numFmtId="0" fontId="127" fillId="131" borderId="43" applyNumberFormat="0" applyProtection="0"/>
    <xf numFmtId="0" fontId="126" fillId="130" borderId="43" applyNumberFormat="0" applyProtection="0"/>
    <xf numFmtId="0" fontId="126" fillId="130" borderId="43" applyNumberFormat="0" applyProtection="0"/>
    <xf numFmtId="0" fontId="126" fillId="130" borderId="43" applyNumberFormat="0" applyProtection="0"/>
    <xf numFmtId="0" fontId="126" fillId="130" borderId="43" applyNumberFormat="0" applyProtection="0"/>
    <xf numFmtId="0" fontId="126" fillId="130" borderId="43" applyNumberFormat="0" applyProtection="0"/>
    <xf numFmtId="0" fontId="126" fillId="130" borderId="43" applyNumberFormat="0" applyProtection="0"/>
    <xf numFmtId="0" fontId="126" fillId="130" borderId="43" applyNumberFormat="0" applyProtection="0"/>
    <xf numFmtId="0" fontId="126" fillId="130" borderId="43" applyNumberFormat="0" applyProtection="0"/>
    <xf numFmtId="0" fontId="126" fillId="130" borderId="43" applyNumberFormat="0" applyProtection="0"/>
    <xf numFmtId="0" fontId="126" fillId="130" borderId="43" applyNumberFormat="0" applyProtection="0"/>
    <xf numFmtId="0" fontId="126" fillId="130" borderId="43" applyNumberFormat="0" applyProtection="0"/>
    <xf numFmtId="0" fontId="126" fillId="130" borderId="43" applyNumberFormat="0" applyProtection="0"/>
    <xf numFmtId="0" fontId="126" fillId="130" borderId="43" applyNumberFormat="0" applyProtection="0"/>
    <xf numFmtId="0" fontId="126" fillId="130" borderId="43" applyNumberFormat="0" applyProtection="0"/>
    <xf numFmtId="0" fontId="126" fillId="130" borderId="43" applyNumberFormat="0" applyProtection="0"/>
    <xf numFmtId="0" fontId="126" fillId="130" borderId="43" applyNumberFormat="0" applyProtection="0"/>
    <xf numFmtId="0" fontId="126" fillId="130" borderId="43" applyNumberFormat="0" applyProtection="0"/>
    <xf numFmtId="0" fontId="126" fillId="130" borderId="43" applyNumberFormat="0" applyProtection="0"/>
    <xf numFmtId="0" fontId="126" fillId="130" borderId="43" applyNumberFormat="0" applyProtection="0"/>
    <xf numFmtId="0" fontId="126" fillId="130" borderId="43" applyNumberFormat="0" applyProtection="0"/>
    <xf numFmtId="0" fontId="126" fillId="130" borderId="43" applyNumberFormat="0" applyProtection="0"/>
    <xf numFmtId="0" fontId="126" fillId="130" borderId="43" applyNumberFormat="0" applyProtection="0"/>
    <xf numFmtId="0" fontId="126" fillId="130" borderId="43" applyNumberFormat="0" applyProtection="0"/>
    <xf numFmtId="0" fontId="126" fillId="130" borderId="43" applyNumberFormat="0" applyProtection="0"/>
    <xf numFmtId="0" fontId="126" fillId="130" borderId="43" applyNumberFormat="0" applyProtection="0"/>
    <xf numFmtId="0" fontId="126" fillId="130" borderId="43" applyNumberFormat="0" applyProtection="0"/>
    <xf numFmtId="0" fontId="126" fillId="130" borderId="43" applyNumberFormat="0" applyProtection="0"/>
    <xf numFmtId="0" fontId="126" fillId="130" borderId="43" applyNumberFormat="0" applyProtection="0"/>
    <xf numFmtId="0" fontId="126" fillId="130" borderId="43" applyNumberFormat="0" applyProtection="0"/>
    <xf numFmtId="0" fontId="126" fillId="130" borderId="43" applyNumberFormat="0" applyProtection="0"/>
    <xf numFmtId="0" fontId="126" fillId="130" borderId="43" applyNumberFormat="0" applyProtection="0"/>
    <xf numFmtId="0" fontId="126" fillId="130" borderId="43" applyNumberFormat="0" applyProtection="0"/>
    <xf numFmtId="0" fontId="126" fillId="130" borderId="43" applyNumberFormat="0" applyProtection="0"/>
    <xf numFmtId="0" fontId="126" fillId="130" borderId="43" applyNumberFormat="0" applyProtection="0"/>
    <xf numFmtId="0" fontId="126" fillId="130" borderId="43" applyNumberFormat="0" applyProtection="0"/>
    <xf numFmtId="0" fontId="126" fillId="130" borderId="43" applyNumberFormat="0" applyProtection="0"/>
    <xf numFmtId="0" fontId="126" fillId="130" borderId="43" applyNumberFormat="0" applyProtection="0"/>
    <xf numFmtId="0" fontId="126" fillId="130" borderId="43" applyNumberFormat="0" applyProtection="0"/>
    <xf numFmtId="0" fontId="126" fillId="130" borderId="43" applyNumberFormat="0" applyProtection="0"/>
    <xf numFmtId="0" fontId="126" fillId="130" borderId="43" applyNumberFormat="0" applyProtection="0"/>
    <xf numFmtId="0" fontId="130" fillId="0" borderId="0" applyNumberFormat="0" applyFill="0" applyBorder="0" applyProtection="0"/>
    <xf numFmtId="0" fontId="130" fillId="0" borderId="0" applyNumberFormat="0" applyFill="0" applyBorder="0" applyProtection="0"/>
    <xf numFmtId="0" fontId="130" fillId="0" borderId="0" applyNumberFormat="0" applyFill="0" applyBorder="0" applyProtection="0"/>
    <xf numFmtId="0" fontId="130" fillId="0" borderId="0" applyNumberFormat="0" applyFill="0" applyBorder="0" applyProtection="0"/>
    <xf numFmtId="0" fontId="130" fillId="0" borderId="0" applyNumberFormat="0" applyFill="0" applyBorder="0" applyProtection="0"/>
    <xf numFmtId="0" fontId="130" fillId="0" borderId="0" applyNumberFormat="0" applyFill="0" applyBorder="0" applyProtection="0"/>
    <xf numFmtId="0" fontId="130" fillId="0" borderId="0" applyNumberFormat="0" applyFill="0" applyBorder="0" applyProtection="0"/>
    <xf numFmtId="0" fontId="130" fillId="0" borderId="0" applyNumberFormat="0" applyFill="0" applyBorder="0" applyProtection="0"/>
    <xf numFmtId="0" fontId="130" fillId="0" borderId="0" applyNumberFormat="0" applyFill="0" applyBorder="0" applyProtection="0"/>
    <xf numFmtId="0" fontId="130" fillId="0" borderId="0" applyNumberFormat="0" applyFill="0" applyBorder="0" applyProtection="0"/>
    <xf numFmtId="0" fontId="130" fillId="0" borderId="0" applyNumberFormat="0" applyFill="0" applyBorder="0" applyProtection="0"/>
    <xf numFmtId="0" fontId="130" fillId="0" borderId="0" applyNumberFormat="0" applyFill="0" applyBorder="0" applyProtection="0"/>
    <xf numFmtId="0" fontId="130" fillId="0" borderId="0" applyNumberFormat="0" applyFill="0" applyBorder="0" applyProtection="0"/>
    <xf numFmtId="0" fontId="130" fillId="0" borderId="0" applyNumberFormat="0" applyFill="0" applyBorder="0" applyProtection="0"/>
    <xf numFmtId="0" fontId="130" fillId="0" borderId="0" applyNumberFormat="0" applyFill="0" applyBorder="0" applyProtection="0"/>
    <xf numFmtId="0" fontId="130" fillId="0" borderId="0" applyNumberFormat="0" applyFill="0" applyBorder="0" applyProtection="0"/>
    <xf numFmtId="0" fontId="130" fillId="0" borderId="0" applyNumberFormat="0" applyFill="0" applyBorder="0" applyProtection="0"/>
    <xf numFmtId="0" fontId="130" fillId="0" borderId="0" applyNumberFormat="0" applyFill="0" applyBorder="0" applyProtection="0"/>
    <xf numFmtId="0" fontId="130" fillId="0" borderId="0" applyNumberFormat="0" applyFill="0" applyBorder="0" applyProtection="0"/>
    <xf numFmtId="0" fontId="130" fillId="0" borderId="0" applyNumberFormat="0" applyFill="0" applyBorder="0" applyProtection="0"/>
    <xf numFmtId="0" fontId="130" fillId="0" borderId="0" applyNumberFormat="0" applyFill="0" applyBorder="0" applyProtection="0"/>
    <xf numFmtId="0" fontId="130" fillId="0" borderId="0" applyNumberFormat="0" applyFill="0" applyBorder="0" applyProtection="0"/>
    <xf numFmtId="0" fontId="130" fillId="0" borderId="0" applyNumberFormat="0" applyFill="0" applyBorder="0" applyProtection="0"/>
    <xf numFmtId="0" fontId="130" fillId="0" borderId="0" applyNumberFormat="0" applyFill="0" applyBorder="0" applyProtection="0"/>
    <xf numFmtId="0" fontId="130" fillId="0" borderId="0" applyNumberFormat="0" applyFill="0" applyBorder="0" applyProtection="0"/>
    <xf numFmtId="0" fontId="130" fillId="0" borderId="0" applyNumberFormat="0" applyFill="0" applyBorder="0" applyProtection="0"/>
    <xf numFmtId="0" fontId="130" fillId="0" borderId="0" applyNumberFormat="0" applyFill="0" applyBorder="0" applyProtection="0"/>
    <xf numFmtId="0" fontId="130" fillId="0" borderId="0" applyNumberFormat="0" applyFill="0" applyBorder="0" applyProtection="0"/>
    <xf numFmtId="0" fontId="130" fillId="0" borderId="0" applyNumberFormat="0" applyFill="0" applyBorder="0" applyProtection="0"/>
    <xf numFmtId="0" fontId="130" fillId="0" borderId="0" applyNumberFormat="0" applyFill="0" applyBorder="0" applyProtection="0"/>
    <xf numFmtId="0" fontId="130" fillId="0" borderId="0" applyNumberFormat="0" applyFill="0" applyBorder="0" applyProtection="0"/>
    <xf numFmtId="0" fontId="130" fillId="0" borderId="0" applyNumberFormat="0" applyFill="0" applyBorder="0" applyProtection="0"/>
    <xf numFmtId="0" fontId="130" fillId="0" borderId="0" applyNumberFormat="0" applyFill="0" applyBorder="0" applyProtection="0"/>
    <xf numFmtId="0" fontId="130" fillId="0" borderId="0" applyNumberFormat="0" applyFill="0" applyBorder="0" applyProtection="0"/>
    <xf numFmtId="0" fontId="130" fillId="0" borderId="0" applyNumberFormat="0" applyFill="0" applyBorder="0" applyProtection="0"/>
    <xf numFmtId="0" fontId="130" fillId="0" borderId="0" applyNumberFormat="0" applyFill="0" applyBorder="0" applyProtection="0"/>
    <xf numFmtId="0" fontId="130" fillId="0" borderId="0" applyNumberFormat="0" applyFill="0" applyBorder="0" applyProtection="0"/>
    <xf numFmtId="0" fontId="130" fillId="0" borderId="0" applyNumberFormat="0" applyFill="0" applyBorder="0" applyProtection="0"/>
    <xf numFmtId="0" fontId="130" fillId="0" borderId="0" applyNumberFormat="0" applyFill="0" applyBorder="0" applyProtection="0"/>
    <xf numFmtId="0" fontId="130" fillId="0" borderId="0" applyNumberFormat="0" applyFill="0" applyBorder="0" applyProtection="0"/>
    <xf numFmtId="0" fontId="133" fillId="134" borderId="0" applyNumberFormat="0" applyBorder="0" applyProtection="0"/>
    <xf numFmtId="0" fontId="133" fillId="134" borderId="0" applyNumberFormat="0" applyBorder="0" applyProtection="0"/>
    <xf numFmtId="0" fontId="133" fillId="134" borderId="0" applyNumberFormat="0" applyBorder="0" applyProtection="0"/>
    <xf numFmtId="0" fontId="133" fillId="134" borderId="0" applyNumberFormat="0" applyBorder="0" applyProtection="0"/>
    <xf numFmtId="0" fontId="133" fillId="134" borderId="0" applyNumberFormat="0" applyBorder="0" applyProtection="0"/>
    <xf numFmtId="0" fontId="133" fillId="134" borderId="0" applyNumberFormat="0" applyBorder="0" applyProtection="0"/>
    <xf numFmtId="0" fontId="133" fillId="134" borderId="0" applyNumberFormat="0" applyBorder="0" applyProtection="0"/>
    <xf numFmtId="0" fontId="133" fillId="134" borderId="0" applyNumberFormat="0" applyBorder="0" applyProtection="0"/>
    <xf numFmtId="0" fontId="132" fillId="135" borderId="0" applyNumberFormat="0" applyBorder="0" applyAlignment="0" applyProtection="0"/>
    <xf numFmtId="0" fontId="132" fillId="135" borderId="0" applyNumberFormat="0" applyBorder="0" applyAlignment="0" applyProtection="0"/>
    <xf numFmtId="0" fontId="132" fillId="135" borderId="0" applyNumberFormat="0" applyBorder="0" applyAlignment="0" applyProtection="0"/>
    <xf numFmtId="0" fontId="132" fillId="135" borderId="0" applyNumberFormat="0" applyBorder="0" applyAlignment="0" applyProtection="0"/>
    <xf numFmtId="0" fontId="132" fillId="135" borderId="0" applyNumberFormat="0" applyBorder="0" applyAlignment="0" applyProtection="0"/>
    <xf numFmtId="0" fontId="132" fillId="135" borderId="0" applyNumberFormat="0" applyBorder="0" applyAlignment="0" applyProtection="0"/>
    <xf numFmtId="0" fontId="132" fillId="135" borderId="0" applyNumberFormat="0" applyBorder="0" applyAlignment="0" applyProtection="0"/>
    <xf numFmtId="0" fontId="132" fillId="135" borderId="0" applyNumberFormat="0" applyBorder="0" applyAlignment="0" applyProtection="0"/>
    <xf numFmtId="0" fontId="132" fillId="135" borderId="0" applyNumberFormat="0" applyBorder="0" applyAlignment="0" applyProtection="0"/>
    <xf numFmtId="0" fontId="132" fillId="135" borderId="0" applyNumberFormat="0" applyBorder="0" applyAlignment="0" applyProtection="0"/>
    <xf numFmtId="0" fontId="132" fillId="135" borderId="0" applyNumberFormat="0" applyBorder="0" applyAlignment="0" applyProtection="0"/>
    <xf numFmtId="0" fontId="132" fillId="135" borderId="0" applyNumberFormat="0" applyBorder="0" applyAlignment="0" applyProtection="0"/>
    <xf numFmtId="0" fontId="132" fillId="135" borderId="0" applyNumberFormat="0" applyBorder="0" applyAlignment="0" applyProtection="0"/>
    <xf numFmtId="0" fontId="132" fillId="135" borderId="0" applyNumberFormat="0" applyBorder="0" applyAlignment="0" applyProtection="0"/>
    <xf numFmtId="0" fontId="132" fillId="135" borderId="0" applyNumberFormat="0" applyBorder="0" applyAlignment="0" applyProtection="0"/>
    <xf numFmtId="0" fontId="132" fillId="135" borderId="0" applyNumberFormat="0" applyBorder="0" applyAlignment="0" applyProtection="0"/>
    <xf numFmtId="0" fontId="132" fillId="135" borderId="0" applyNumberFormat="0" applyBorder="0" applyAlignment="0" applyProtection="0"/>
    <xf numFmtId="0" fontId="132" fillId="135" borderId="0" applyNumberFormat="0" applyBorder="0" applyAlignment="0" applyProtection="0"/>
    <xf numFmtId="0" fontId="132" fillId="135" borderId="0" applyNumberFormat="0" applyBorder="0" applyAlignment="0" applyProtection="0"/>
    <xf numFmtId="0" fontId="132" fillId="135" borderId="0" applyNumberFormat="0" applyBorder="0" applyAlignment="0" applyProtection="0"/>
    <xf numFmtId="0" fontId="132" fillId="133" borderId="0" applyNumberFormat="0" applyBorder="0" applyProtection="0"/>
    <xf numFmtId="0" fontId="132" fillId="133" borderId="0" applyNumberFormat="0" applyBorder="0" applyProtection="0"/>
    <xf numFmtId="0" fontId="132" fillId="133" borderId="0" applyNumberFormat="0" applyBorder="0" applyProtection="0"/>
    <xf numFmtId="0" fontId="132" fillId="133" borderId="0" applyNumberFormat="0" applyBorder="0" applyProtection="0"/>
    <xf numFmtId="0" fontId="132" fillId="133" borderId="0" applyNumberFormat="0" applyBorder="0" applyProtection="0"/>
    <xf numFmtId="0" fontId="132" fillId="133" borderId="0" applyNumberFormat="0" applyBorder="0" applyProtection="0"/>
    <xf numFmtId="0" fontId="132" fillId="133" borderId="0" applyNumberFormat="0" applyBorder="0" applyProtection="0"/>
    <xf numFmtId="0" fontId="132" fillId="133" borderId="0" applyNumberFormat="0" applyBorder="0" applyProtection="0"/>
    <xf numFmtId="0" fontId="132" fillId="135" borderId="0" applyNumberFormat="0" applyBorder="0" applyAlignment="0" applyProtection="0"/>
    <xf numFmtId="0" fontId="132" fillId="135" borderId="0" applyNumberFormat="0" applyBorder="0" applyAlignment="0" applyProtection="0"/>
    <xf numFmtId="0" fontId="132" fillId="135" borderId="0" applyNumberFormat="0" applyBorder="0" applyAlignment="0" applyProtection="0"/>
    <xf numFmtId="0" fontId="132" fillId="135" borderId="0" applyNumberFormat="0" applyBorder="0" applyAlignment="0" applyProtection="0"/>
    <xf numFmtId="0" fontId="132" fillId="135" borderId="0" applyNumberFormat="0" applyBorder="0" applyAlignment="0" applyProtection="0"/>
    <xf numFmtId="0" fontId="132" fillId="135" borderId="0" applyNumberFormat="0" applyBorder="0" applyAlignment="0" applyProtection="0"/>
    <xf numFmtId="0" fontId="132" fillId="135" borderId="0" applyNumberFormat="0" applyBorder="0" applyAlignment="0" applyProtection="0"/>
    <xf numFmtId="0" fontId="132" fillId="135" borderId="0" applyNumberFormat="0" applyBorder="0" applyAlignment="0" applyProtection="0"/>
    <xf numFmtId="0" fontId="132" fillId="135" borderId="0" applyNumberFormat="0" applyBorder="0" applyAlignment="0" applyProtection="0"/>
    <xf numFmtId="0" fontId="132" fillId="135" borderId="0" applyNumberFormat="0" applyBorder="0" applyAlignment="0" applyProtection="0"/>
    <xf numFmtId="0" fontId="132" fillId="135" borderId="0" applyNumberFormat="0" applyBorder="0" applyAlignment="0" applyProtection="0"/>
    <xf numFmtId="0" fontId="132" fillId="135" borderId="0" applyNumberFormat="0" applyBorder="0" applyAlignment="0" applyProtection="0"/>
    <xf numFmtId="0" fontId="132" fillId="135" borderId="0" applyNumberFormat="0" applyBorder="0" applyAlignment="0" applyProtection="0"/>
    <xf numFmtId="0" fontId="132" fillId="135" borderId="0" applyNumberFormat="0" applyBorder="0" applyAlignment="0" applyProtection="0"/>
    <xf numFmtId="0" fontId="132" fillId="135" borderId="0" applyNumberFormat="0" applyBorder="0" applyAlignment="0" applyProtection="0"/>
    <xf numFmtId="0" fontId="132" fillId="135" borderId="0" applyNumberFormat="0" applyBorder="0" applyAlignment="0" applyProtection="0"/>
    <xf numFmtId="0" fontId="132" fillId="135" borderId="0" applyNumberFormat="0" applyBorder="0" applyAlignment="0" applyProtection="0"/>
    <xf numFmtId="0" fontId="132" fillId="135" borderId="0" applyNumberFormat="0" applyBorder="0" applyAlignment="0" applyProtection="0"/>
    <xf numFmtId="0" fontId="132" fillId="135" borderId="0" applyNumberFormat="0" applyBorder="0" applyAlignment="0" applyProtection="0"/>
    <xf numFmtId="0" fontId="132" fillId="135" borderId="0" applyNumberFormat="0" applyBorder="0" applyAlignment="0" applyProtection="0"/>
    <xf numFmtId="0" fontId="132" fillId="133" borderId="0" applyNumberFormat="0" applyBorder="0" applyProtection="0"/>
    <xf numFmtId="0" fontId="132" fillId="133" borderId="0" applyNumberFormat="0" applyBorder="0" applyProtection="0"/>
    <xf numFmtId="0" fontId="132" fillId="133" borderId="0" applyNumberFormat="0" applyBorder="0" applyProtection="0"/>
    <xf numFmtId="0" fontId="132" fillId="133" borderId="0" applyNumberFormat="0" applyBorder="0" applyProtection="0"/>
    <xf numFmtId="0" fontId="132" fillId="133" borderId="0" applyNumberFormat="0" applyBorder="0" applyProtection="0"/>
    <xf numFmtId="0" fontId="132" fillId="133" borderId="0" applyNumberFormat="0" applyBorder="0" applyProtection="0"/>
    <xf numFmtId="0" fontId="132" fillId="133" borderId="0" applyNumberFormat="0" applyBorder="0" applyProtection="0"/>
    <xf numFmtId="0" fontId="132" fillId="133" borderId="0" applyNumberFormat="0" applyBorder="0" applyProtection="0"/>
    <xf numFmtId="0" fontId="132" fillId="135" borderId="0" applyNumberFormat="0" applyBorder="0" applyAlignment="0" applyProtection="0"/>
    <xf numFmtId="0" fontId="132" fillId="135" borderId="0" applyNumberFormat="0" applyBorder="0" applyAlignment="0" applyProtection="0"/>
    <xf numFmtId="0" fontId="132" fillId="135" borderId="0" applyNumberFormat="0" applyBorder="0" applyAlignment="0" applyProtection="0"/>
    <xf numFmtId="0" fontId="132" fillId="135" borderId="0" applyNumberFormat="0" applyBorder="0" applyAlignment="0" applyProtection="0"/>
    <xf numFmtId="0" fontId="132" fillId="135" borderId="0" applyNumberFormat="0" applyBorder="0" applyAlignment="0" applyProtection="0"/>
    <xf numFmtId="0" fontId="132" fillId="135" borderId="0" applyNumberFormat="0" applyBorder="0" applyAlignment="0" applyProtection="0"/>
    <xf numFmtId="0" fontId="132" fillId="135" borderId="0" applyNumberFormat="0" applyBorder="0" applyAlignment="0" applyProtection="0"/>
    <xf numFmtId="0" fontId="132" fillId="135" borderId="0" applyNumberFormat="0" applyBorder="0" applyAlignment="0" applyProtection="0"/>
    <xf numFmtId="0" fontId="132" fillId="135" borderId="0" applyNumberFormat="0" applyBorder="0" applyAlignment="0" applyProtection="0"/>
    <xf numFmtId="0" fontId="132" fillId="135" borderId="0" applyNumberFormat="0" applyBorder="0" applyAlignment="0" applyProtection="0"/>
    <xf numFmtId="0" fontId="132" fillId="135" borderId="0" applyNumberFormat="0" applyBorder="0" applyAlignment="0" applyProtection="0"/>
    <xf numFmtId="0" fontId="132" fillId="135" borderId="0" applyNumberFormat="0" applyBorder="0" applyAlignment="0" applyProtection="0"/>
    <xf numFmtId="0" fontId="132" fillId="135" borderId="0" applyNumberFormat="0" applyBorder="0" applyAlignment="0" applyProtection="0"/>
    <xf numFmtId="0" fontId="132" fillId="135" borderId="0" applyNumberFormat="0" applyBorder="0" applyAlignment="0" applyProtection="0"/>
    <xf numFmtId="0" fontId="132" fillId="135" borderId="0" applyNumberFormat="0" applyBorder="0" applyAlignment="0" applyProtection="0"/>
    <xf numFmtId="0" fontId="132" fillId="135" borderId="0" applyNumberFormat="0" applyBorder="0" applyAlignment="0" applyProtection="0"/>
    <xf numFmtId="0" fontId="132" fillId="135" borderId="0" applyNumberFormat="0" applyBorder="0" applyAlignment="0" applyProtection="0"/>
    <xf numFmtId="0" fontId="132" fillId="135" borderId="0" applyNumberFormat="0" applyBorder="0" applyAlignment="0" applyProtection="0"/>
    <xf numFmtId="0" fontId="132" fillId="135" borderId="0" applyNumberFormat="0" applyBorder="0" applyAlignment="0" applyProtection="0"/>
    <xf numFmtId="0" fontId="132" fillId="135" borderId="0" applyNumberFormat="0" applyBorder="0" applyAlignment="0" applyProtection="0"/>
    <xf numFmtId="0" fontId="132" fillId="133" borderId="0" applyNumberFormat="0" applyBorder="0" applyProtection="0"/>
    <xf numFmtId="0" fontId="132" fillId="133" borderId="0" applyNumberFormat="0" applyBorder="0" applyProtection="0"/>
    <xf numFmtId="0" fontId="132" fillId="133" borderId="0" applyNumberFormat="0" applyBorder="0" applyProtection="0"/>
    <xf numFmtId="0" fontId="132" fillId="133" borderId="0" applyNumberFormat="0" applyBorder="0" applyProtection="0"/>
    <xf numFmtId="0" fontId="132" fillId="133" borderId="0" applyNumberFormat="0" applyBorder="0" applyProtection="0"/>
    <xf numFmtId="0" fontId="132" fillId="133" borderId="0" applyNumberFormat="0" applyBorder="0" applyProtection="0"/>
    <xf numFmtId="0" fontId="132" fillId="133" borderId="0" applyNumberFormat="0" applyBorder="0" applyProtection="0"/>
    <xf numFmtId="0" fontId="132" fillId="133" borderId="0" applyNumberFormat="0" applyBorder="0" applyProtection="0"/>
    <xf numFmtId="0" fontId="132" fillId="135" borderId="0" applyNumberFormat="0" applyBorder="0" applyAlignment="0" applyProtection="0"/>
    <xf numFmtId="0" fontId="132" fillId="135" borderId="0" applyNumberFormat="0" applyBorder="0" applyAlignment="0" applyProtection="0"/>
    <xf numFmtId="0" fontId="132" fillId="135" borderId="0" applyNumberFormat="0" applyBorder="0" applyAlignment="0" applyProtection="0"/>
    <xf numFmtId="0" fontId="132" fillId="135" borderId="0" applyNumberFormat="0" applyBorder="0" applyAlignment="0" applyProtection="0"/>
    <xf numFmtId="0" fontId="132" fillId="135" borderId="0" applyNumberFormat="0" applyBorder="0" applyAlignment="0" applyProtection="0"/>
    <xf numFmtId="0" fontId="132" fillId="135" borderId="0" applyNumberFormat="0" applyBorder="0" applyAlignment="0" applyProtection="0"/>
    <xf numFmtId="0" fontId="132" fillId="135" borderId="0" applyNumberFormat="0" applyBorder="0" applyAlignment="0" applyProtection="0"/>
    <xf numFmtId="0" fontId="132" fillId="135" borderId="0" applyNumberFormat="0" applyBorder="0" applyAlignment="0" applyProtection="0"/>
    <xf numFmtId="0" fontId="132" fillId="135" borderId="0" applyNumberFormat="0" applyBorder="0" applyAlignment="0" applyProtection="0"/>
    <xf numFmtId="0" fontId="132" fillId="135" borderId="0" applyNumberFormat="0" applyBorder="0" applyAlignment="0" applyProtection="0"/>
    <xf numFmtId="0" fontId="132" fillId="135" borderId="0" applyNumberFormat="0" applyBorder="0" applyAlignment="0" applyProtection="0"/>
    <xf numFmtId="0" fontId="132" fillId="135" borderId="0" applyNumberFormat="0" applyBorder="0" applyAlignment="0" applyProtection="0"/>
    <xf numFmtId="0" fontId="132" fillId="135" borderId="0" applyNumberFormat="0" applyBorder="0" applyAlignment="0" applyProtection="0"/>
    <xf numFmtId="0" fontId="132" fillId="135" borderId="0" applyNumberFormat="0" applyBorder="0" applyAlignment="0" applyProtection="0"/>
    <xf numFmtId="0" fontId="132" fillId="135" borderId="0" applyNumberFormat="0" applyBorder="0" applyAlignment="0" applyProtection="0"/>
    <xf numFmtId="0" fontId="132" fillId="135" borderId="0" applyNumberFormat="0" applyBorder="0" applyAlignment="0" applyProtection="0"/>
    <xf numFmtId="0" fontId="132" fillId="135" borderId="0" applyNumberFormat="0" applyBorder="0" applyAlignment="0" applyProtection="0"/>
    <xf numFmtId="0" fontId="132" fillId="135" borderId="0" applyNumberFormat="0" applyBorder="0" applyAlignment="0" applyProtection="0"/>
    <xf numFmtId="0" fontId="132" fillId="135" borderId="0" applyNumberFormat="0" applyBorder="0" applyAlignment="0" applyProtection="0"/>
    <xf numFmtId="0" fontId="132" fillId="135" borderId="0" applyNumberFormat="0" applyBorder="0" applyAlignment="0" applyProtection="0"/>
    <xf numFmtId="0" fontId="132" fillId="133" borderId="0" applyNumberFormat="0" applyBorder="0" applyProtection="0"/>
    <xf numFmtId="0" fontId="132" fillId="133" borderId="0" applyNumberFormat="0" applyBorder="0" applyProtection="0"/>
    <xf numFmtId="0" fontId="132" fillId="133" borderId="0" applyNumberFormat="0" applyBorder="0" applyProtection="0"/>
    <xf numFmtId="0" fontId="132" fillId="133" borderId="0" applyNumberFormat="0" applyBorder="0" applyProtection="0"/>
    <xf numFmtId="0" fontId="132" fillId="133" borderId="0" applyNumberFormat="0" applyBorder="0" applyProtection="0"/>
    <xf numFmtId="0" fontId="132" fillId="133" borderId="0" applyNumberFormat="0" applyBorder="0" applyProtection="0"/>
    <xf numFmtId="0" fontId="132" fillId="133" borderId="0" applyNumberFormat="0" applyBorder="0" applyProtection="0"/>
    <xf numFmtId="0" fontId="132" fillId="133" borderId="0" applyNumberFormat="0" applyBorder="0" applyProtection="0"/>
    <xf numFmtId="0" fontId="132" fillId="135" borderId="0" applyNumberFormat="0" applyBorder="0" applyAlignment="0" applyProtection="0"/>
    <xf numFmtId="0" fontId="132" fillId="135" borderId="0" applyNumberFormat="0" applyBorder="0" applyAlignment="0" applyProtection="0"/>
    <xf numFmtId="0" fontId="132" fillId="135" borderId="0" applyNumberFormat="0" applyBorder="0" applyAlignment="0" applyProtection="0"/>
    <xf numFmtId="0" fontId="132" fillId="135" borderId="0" applyNumberFormat="0" applyBorder="0" applyAlignment="0" applyProtection="0"/>
    <xf numFmtId="0" fontId="132" fillId="135" borderId="0" applyNumberFormat="0" applyBorder="0" applyAlignment="0" applyProtection="0"/>
    <xf numFmtId="0" fontId="132" fillId="135" borderId="0" applyNumberFormat="0" applyBorder="0" applyAlignment="0" applyProtection="0"/>
    <xf numFmtId="0" fontId="132" fillId="135" borderId="0" applyNumberFormat="0" applyBorder="0" applyAlignment="0" applyProtection="0"/>
    <xf numFmtId="0" fontId="132" fillId="135" borderId="0" applyNumberFormat="0" applyBorder="0" applyAlignment="0" applyProtection="0"/>
    <xf numFmtId="0" fontId="132" fillId="135" borderId="0" applyNumberFormat="0" applyBorder="0" applyAlignment="0" applyProtection="0"/>
    <xf numFmtId="0" fontId="132" fillId="135" borderId="0" applyNumberFormat="0" applyBorder="0" applyAlignment="0" applyProtection="0"/>
    <xf numFmtId="0" fontId="132" fillId="135" borderId="0" applyNumberFormat="0" applyBorder="0" applyAlignment="0" applyProtection="0"/>
    <xf numFmtId="0" fontId="132" fillId="135" borderId="0" applyNumberFormat="0" applyBorder="0" applyAlignment="0" applyProtection="0"/>
    <xf numFmtId="0" fontId="132" fillId="135" borderId="0" applyNumberFormat="0" applyBorder="0" applyAlignment="0" applyProtection="0"/>
    <xf numFmtId="0" fontId="132" fillId="135" borderId="0" applyNumberFormat="0" applyBorder="0" applyAlignment="0" applyProtection="0"/>
    <xf numFmtId="0" fontId="132" fillId="135" borderId="0" applyNumberFormat="0" applyBorder="0" applyAlignment="0" applyProtection="0"/>
    <xf numFmtId="0" fontId="132" fillId="135" borderId="0" applyNumberFormat="0" applyBorder="0" applyAlignment="0" applyProtection="0"/>
    <xf numFmtId="0" fontId="132" fillId="135" borderId="0" applyNumberFormat="0" applyBorder="0" applyAlignment="0" applyProtection="0"/>
    <xf numFmtId="0" fontId="132" fillId="135" borderId="0" applyNumberFormat="0" applyBorder="0" applyAlignment="0" applyProtection="0"/>
    <xf numFmtId="0" fontId="132" fillId="135" borderId="0" applyNumberFormat="0" applyBorder="0" applyAlignment="0" applyProtection="0"/>
    <xf numFmtId="0" fontId="132" fillId="135" borderId="0" applyNumberFormat="0" applyBorder="0" applyAlignment="0" applyProtection="0"/>
    <xf numFmtId="0" fontId="132" fillId="133" borderId="0" applyNumberFormat="0" applyBorder="0" applyProtection="0"/>
    <xf numFmtId="0" fontId="132" fillId="133" borderId="0" applyNumberFormat="0" applyBorder="0" applyProtection="0"/>
    <xf numFmtId="0" fontId="132" fillId="133" borderId="0" applyNumberFormat="0" applyBorder="0" applyProtection="0"/>
    <xf numFmtId="0" fontId="132" fillId="133" borderId="0" applyNumberFormat="0" applyBorder="0" applyProtection="0"/>
    <xf numFmtId="0" fontId="132" fillId="133" borderId="0" applyNumberFormat="0" applyBorder="0" applyProtection="0"/>
    <xf numFmtId="0" fontId="132" fillId="133" borderId="0" applyNumberFormat="0" applyBorder="0" applyProtection="0"/>
    <xf numFmtId="0" fontId="132" fillId="133" borderId="0" applyNumberFormat="0" applyBorder="0" applyProtection="0"/>
    <xf numFmtId="0" fontId="132" fillId="133" borderId="0" applyNumberFormat="0" applyBorder="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4" fillId="0" borderId="0"/>
    <xf numFmtId="0" fontId="24" fillId="0" borderId="0"/>
    <xf numFmtId="0" fontId="24" fillId="0" borderId="0"/>
    <xf numFmtId="0" fontId="2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9" fillId="0" borderId="0">
      <protection locked="0"/>
    </xf>
    <xf numFmtId="0" fontId="59" fillId="0" borderId="0">
      <protection locked="0"/>
    </xf>
    <xf numFmtId="0" fontId="59" fillId="0" borderId="0">
      <protection locked="0"/>
    </xf>
    <xf numFmtId="0" fontId="59" fillId="0" borderId="0">
      <protection locked="0"/>
    </xf>
    <xf numFmtId="0" fontId="59" fillId="0" borderId="0">
      <protection locked="0"/>
    </xf>
    <xf numFmtId="0" fontId="59" fillId="0" borderId="0">
      <protection locked="0"/>
    </xf>
    <xf numFmtId="0" fontId="59" fillId="0" borderId="0">
      <protection locked="0"/>
    </xf>
    <xf numFmtId="0" fontId="59" fillId="0" borderId="0">
      <protection locked="0"/>
    </xf>
    <xf numFmtId="0" fontId="59" fillId="0" borderId="0">
      <protection locked="0"/>
    </xf>
    <xf numFmtId="0" fontId="59" fillId="0" borderId="0">
      <protection locked="0"/>
    </xf>
    <xf numFmtId="0" fontId="59" fillId="0" borderId="0">
      <protection locked="0"/>
    </xf>
    <xf numFmtId="0" fontId="59" fillId="0" borderId="0">
      <protection locked="0"/>
    </xf>
    <xf numFmtId="0" fontId="59" fillId="0" borderId="0">
      <protection locked="0"/>
    </xf>
    <xf numFmtId="0" fontId="59" fillId="0" borderId="0">
      <protection locked="0"/>
    </xf>
    <xf numFmtId="0" fontId="59" fillId="0" borderId="0">
      <protection locked="0"/>
    </xf>
    <xf numFmtId="0" fontId="59" fillId="0" borderId="0">
      <protection locked="0"/>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9" fillId="0" borderId="0"/>
    <xf numFmtId="0" fontId="59" fillId="0" borderId="0"/>
    <xf numFmtId="0" fontId="59" fillId="0" borderId="0"/>
    <xf numFmtId="0" fontId="59" fillId="0" borderId="0"/>
    <xf numFmtId="0" fontId="59" fillId="0" borderId="0"/>
    <xf numFmtId="0" fontId="59" fillId="0" borderId="0"/>
    <xf numFmtId="0" fontId="24" fillId="0" borderId="0"/>
    <xf numFmtId="0" fontId="59" fillId="0" borderId="0"/>
    <xf numFmtId="0" fontId="24" fillId="0" borderId="0"/>
    <xf numFmtId="0" fontId="59" fillId="0" borderId="0"/>
    <xf numFmtId="0" fontId="59" fillId="0" borderId="0"/>
    <xf numFmtId="0" fontId="24" fillId="0" borderId="0"/>
    <xf numFmtId="0" fontId="59" fillId="0" borderId="0"/>
    <xf numFmtId="0" fontId="59" fillId="0" borderId="0"/>
    <xf numFmtId="0" fontId="24" fillId="0" borderId="0"/>
    <xf numFmtId="0" fontId="59" fillId="0" borderId="0"/>
    <xf numFmtId="0" fontId="59" fillId="0" borderId="0"/>
    <xf numFmtId="0" fontId="24" fillId="0" borderId="0"/>
    <xf numFmtId="0" fontId="24" fillId="0" borderId="0"/>
    <xf numFmtId="0" fontId="5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7" fillId="0" borderId="0"/>
    <xf numFmtId="0" fontId="24" fillId="0" borderId="0"/>
    <xf numFmtId="0" fontId="57" fillId="0" borderId="0"/>
    <xf numFmtId="0" fontId="24" fillId="0" borderId="0"/>
    <xf numFmtId="0" fontId="24" fillId="0" borderId="0"/>
    <xf numFmtId="0" fontId="5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7" fillId="0" borderId="0"/>
    <xf numFmtId="0" fontId="57" fillId="0" borderId="0"/>
    <xf numFmtId="0" fontId="57" fillId="0" borderId="0"/>
    <xf numFmtId="0" fontId="57" fillId="0" borderId="0"/>
    <xf numFmtId="0" fontId="57" fillId="0" borderId="0"/>
    <xf numFmtId="0" fontId="57" fillId="0" borderId="0"/>
    <xf numFmtId="0" fontId="59" fillId="0" borderId="0"/>
    <xf numFmtId="0" fontId="57" fillId="0" borderId="0"/>
    <xf numFmtId="0" fontId="59" fillId="0" borderId="0"/>
    <xf numFmtId="0" fontId="57" fillId="0" borderId="0"/>
    <xf numFmtId="0" fontId="57" fillId="0" borderId="0"/>
    <xf numFmtId="0" fontId="59" fillId="0" borderId="0"/>
    <xf numFmtId="0" fontId="57" fillId="0" borderId="0"/>
    <xf numFmtId="0" fontId="57" fillId="0" borderId="0"/>
    <xf numFmtId="0" fontId="59" fillId="0" borderId="0"/>
    <xf numFmtId="0" fontId="57" fillId="0" borderId="0"/>
    <xf numFmtId="0" fontId="57" fillId="0" borderId="0"/>
    <xf numFmtId="0" fontId="59" fillId="0" borderId="0"/>
    <xf numFmtId="0" fontId="59" fillId="0" borderId="0"/>
    <xf numFmtId="0" fontId="59" fillId="0" borderId="0"/>
    <xf numFmtId="0" fontId="14"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4" fillId="0" borderId="0">
      <alignment vertical="top" wrapText="1"/>
    </xf>
    <xf numFmtId="0" fontId="144" fillId="0" borderId="0">
      <alignment vertical="top" wrapText="1"/>
    </xf>
    <xf numFmtId="0" fontId="144" fillId="0" borderId="0">
      <alignment vertical="top" wrapText="1"/>
    </xf>
    <xf numFmtId="0" fontId="144" fillId="0" borderId="0">
      <alignment vertical="top" wrapText="1"/>
    </xf>
    <xf numFmtId="0" fontId="144" fillId="0" borderId="0">
      <alignment vertical="top" wrapText="1"/>
    </xf>
    <xf numFmtId="0" fontId="144" fillId="0" borderId="0">
      <alignment vertical="top" wrapText="1"/>
    </xf>
    <xf numFmtId="0" fontId="144" fillId="0" borderId="0">
      <alignment vertical="top" wrapText="1"/>
    </xf>
    <xf numFmtId="0" fontId="144" fillId="0" borderId="0">
      <alignment vertical="top" wrapText="1"/>
    </xf>
    <xf numFmtId="0" fontId="144" fillId="0" borderId="0">
      <alignment vertical="top" wrapText="1"/>
    </xf>
    <xf numFmtId="0" fontId="144" fillId="0" borderId="0">
      <alignment vertical="top" wrapText="1"/>
    </xf>
    <xf numFmtId="0" fontId="57" fillId="0" borderId="0"/>
    <xf numFmtId="0" fontId="144" fillId="0" borderId="0">
      <alignment vertical="top" wrapText="1"/>
    </xf>
    <xf numFmtId="0" fontId="57" fillId="0" borderId="0"/>
    <xf numFmtId="0" fontId="144" fillId="0" borderId="0">
      <alignment vertical="top" wrapText="1"/>
    </xf>
    <xf numFmtId="0" fontId="144" fillId="0" borderId="0">
      <alignment vertical="top" wrapText="1"/>
    </xf>
    <xf numFmtId="0" fontId="57" fillId="0" borderId="0"/>
    <xf numFmtId="0" fontId="144" fillId="0" borderId="0">
      <alignment vertical="top" wrapText="1"/>
    </xf>
    <xf numFmtId="0" fontId="144" fillId="0" borderId="0">
      <alignment vertical="top" wrapText="1"/>
    </xf>
    <xf numFmtId="0" fontId="57" fillId="0" borderId="0"/>
    <xf numFmtId="0" fontId="144" fillId="0" borderId="0">
      <alignment vertical="top" wrapText="1"/>
    </xf>
    <xf numFmtId="0" fontId="144" fillId="0" borderId="0">
      <alignment vertical="top" wrapText="1"/>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9" fillId="0" borderId="0">
      <protection locked="0"/>
    </xf>
    <xf numFmtId="0" fontId="59" fillId="0" borderId="0">
      <protection locked="0"/>
    </xf>
    <xf numFmtId="0" fontId="59" fillId="0" borderId="0">
      <protection locked="0"/>
    </xf>
    <xf numFmtId="0" fontId="59" fillId="0" borderId="0">
      <protection locked="0"/>
    </xf>
    <xf numFmtId="0" fontId="59" fillId="0" borderId="0">
      <protection locked="0"/>
    </xf>
    <xf numFmtId="0" fontId="59" fillId="0" borderId="0">
      <protection locked="0"/>
    </xf>
    <xf numFmtId="0" fontId="59" fillId="0" borderId="0">
      <protection locked="0"/>
    </xf>
    <xf numFmtId="0" fontId="59" fillId="0" borderId="0">
      <protection locked="0"/>
    </xf>
    <xf numFmtId="0" fontId="59" fillId="0" borderId="0">
      <protection locked="0"/>
    </xf>
    <xf numFmtId="0" fontId="59" fillId="0" borderId="0">
      <protection locked="0"/>
    </xf>
    <xf numFmtId="0" fontId="59" fillId="0" borderId="0">
      <protection locked="0"/>
    </xf>
    <xf numFmtId="0" fontId="59" fillId="0" borderId="0">
      <protection locked="0"/>
    </xf>
    <xf numFmtId="0" fontId="59" fillId="0" borderId="0">
      <protection locked="0"/>
    </xf>
    <xf numFmtId="0" fontId="59" fillId="0" borderId="0">
      <protection locked="0"/>
    </xf>
    <xf numFmtId="0" fontId="59" fillId="0" borderId="0">
      <protection locked="0"/>
    </xf>
    <xf numFmtId="0" fontId="59" fillId="0" borderId="0">
      <protection locked="0"/>
    </xf>
    <xf numFmtId="0" fontId="144" fillId="0" borderId="0">
      <alignment vertical="top" wrapText="1"/>
    </xf>
    <xf numFmtId="0" fontId="144" fillId="0" borderId="0">
      <alignment vertical="top" wrapText="1"/>
    </xf>
    <xf numFmtId="0" fontId="144" fillId="0" borderId="0">
      <alignment vertical="top" wrapText="1"/>
    </xf>
    <xf numFmtId="0" fontId="144" fillId="0" borderId="0">
      <alignment vertical="top" wrapText="1"/>
    </xf>
    <xf numFmtId="0" fontId="144" fillId="0" borderId="0">
      <alignment vertical="top" wrapText="1"/>
    </xf>
    <xf numFmtId="0" fontId="144" fillId="0" borderId="0">
      <alignment vertical="top" wrapText="1"/>
    </xf>
    <xf numFmtId="0" fontId="144" fillId="0" borderId="0">
      <alignment vertical="top" wrapText="1"/>
    </xf>
    <xf numFmtId="0" fontId="144" fillId="0" borderId="0">
      <alignment vertical="top" wrapText="1"/>
    </xf>
    <xf numFmtId="0" fontId="144" fillId="0" borderId="0">
      <alignment vertical="top" wrapText="1"/>
    </xf>
    <xf numFmtId="0" fontId="144" fillId="0" borderId="0">
      <alignment vertical="top" wrapText="1"/>
    </xf>
    <xf numFmtId="0" fontId="144" fillId="0" borderId="0">
      <alignment vertical="top" wrapText="1"/>
    </xf>
    <xf numFmtId="0" fontId="144" fillId="0" borderId="0">
      <alignment vertical="top" wrapText="1"/>
    </xf>
    <xf numFmtId="0" fontId="144" fillId="0" borderId="0">
      <alignment vertical="top" wrapText="1"/>
    </xf>
    <xf numFmtId="0" fontId="144" fillId="0" borderId="0">
      <alignment vertical="top" wrapText="1"/>
    </xf>
    <xf numFmtId="0" fontId="144" fillId="0" borderId="0">
      <alignment vertical="top" wrapText="1"/>
    </xf>
    <xf numFmtId="0" fontId="144" fillId="0" borderId="0">
      <alignment vertical="top" wrapText="1"/>
    </xf>
    <xf numFmtId="0" fontId="144" fillId="0" borderId="0">
      <alignment vertical="top" wrapText="1"/>
    </xf>
    <xf numFmtId="0" fontId="144" fillId="0" borderId="0">
      <alignment vertical="top" wrapText="1"/>
    </xf>
    <xf numFmtId="0" fontId="144" fillId="0" borderId="0">
      <alignment vertical="top" wrapText="1"/>
    </xf>
    <xf numFmtId="0" fontId="144" fillId="0" borderId="0">
      <alignment vertical="top" wrapText="1"/>
    </xf>
    <xf numFmtId="0" fontId="144" fillId="0" borderId="0">
      <alignment vertical="top" wrapText="1"/>
    </xf>
    <xf numFmtId="0" fontId="144" fillId="0" borderId="0">
      <alignment vertical="top" wrapText="1"/>
    </xf>
    <xf numFmtId="0" fontId="144" fillId="0" borderId="0">
      <alignment vertical="top" wrapText="1"/>
    </xf>
    <xf numFmtId="0" fontId="144" fillId="0" borderId="0">
      <alignment vertical="top" wrapText="1"/>
    </xf>
    <xf numFmtId="0" fontId="144" fillId="0" borderId="0">
      <alignment vertical="top" wrapText="1"/>
    </xf>
    <xf numFmtId="0" fontId="144" fillId="0" borderId="0">
      <alignment vertical="top" wrapText="1"/>
    </xf>
    <xf numFmtId="0" fontId="144" fillId="0" borderId="0">
      <alignment vertical="top" wrapText="1"/>
    </xf>
    <xf numFmtId="0" fontId="144" fillId="0" borderId="0">
      <alignment vertical="top" wrapText="1"/>
    </xf>
    <xf numFmtId="0" fontId="144" fillId="0" borderId="0">
      <alignment vertical="top" wrapText="1"/>
    </xf>
    <xf numFmtId="0" fontId="144" fillId="0" borderId="0">
      <alignment vertical="top" wrapText="1"/>
    </xf>
    <xf numFmtId="0" fontId="144" fillId="0" borderId="0">
      <alignment vertical="top" wrapText="1"/>
    </xf>
    <xf numFmtId="0" fontId="144" fillId="0" borderId="0">
      <alignment vertical="top" wrapText="1"/>
    </xf>
    <xf numFmtId="0" fontId="144" fillId="0" borderId="0">
      <alignment vertical="top" wrapText="1"/>
    </xf>
    <xf numFmtId="0" fontId="144" fillId="0" borderId="0">
      <alignment vertical="top" wrapText="1"/>
    </xf>
    <xf numFmtId="0" fontId="144" fillId="0" borderId="0">
      <alignment vertical="top" wrapText="1"/>
    </xf>
    <xf numFmtId="0" fontId="144" fillId="0" borderId="0">
      <alignment vertical="top" wrapText="1"/>
    </xf>
    <xf numFmtId="0" fontId="144" fillId="0" borderId="0">
      <alignment vertical="top" wrapText="1"/>
    </xf>
    <xf numFmtId="0" fontId="144" fillId="0" borderId="0">
      <alignment vertical="top" wrapText="1"/>
    </xf>
    <xf numFmtId="0" fontId="144" fillId="0" borderId="0">
      <alignment vertical="top" wrapText="1"/>
    </xf>
    <xf numFmtId="0" fontId="144" fillId="0" borderId="0">
      <alignment vertical="top" wrapText="1"/>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protection locked="0"/>
    </xf>
    <xf numFmtId="0" fontId="59" fillId="0" borderId="0">
      <protection locked="0"/>
    </xf>
    <xf numFmtId="0" fontId="59" fillId="0" borderId="0">
      <protection locked="0"/>
    </xf>
    <xf numFmtId="0" fontId="59" fillId="0" borderId="0">
      <protection locked="0"/>
    </xf>
    <xf numFmtId="0" fontId="59" fillId="0" borderId="0">
      <protection locked="0"/>
    </xf>
    <xf numFmtId="0" fontId="59" fillId="0" borderId="0">
      <protection locked="0"/>
    </xf>
    <xf numFmtId="0" fontId="59" fillId="0" borderId="0">
      <protection locked="0"/>
    </xf>
    <xf numFmtId="0" fontId="59" fillId="0" borderId="0">
      <protection locked="0"/>
    </xf>
    <xf numFmtId="0" fontId="59" fillId="0" borderId="0">
      <protection locked="0"/>
    </xf>
    <xf numFmtId="0" fontId="59" fillId="0" borderId="0">
      <protection locked="0"/>
    </xf>
    <xf numFmtId="0" fontId="59" fillId="0" borderId="0">
      <protection locked="0"/>
    </xf>
    <xf numFmtId="0" fontId="59" fillId="0" borderId="0">
      <protection locked="0"/>
    </xf>
    <xf numFmtId="0" fontId="59" fillId="0" borderId="0">
      <protection locked="0"/>
    </xf>
    <xf numFmtId="0" fontId="59" fillId="0" borderId="0">
      <protection locked="0"/>
    </xf>
    <xf numFmtId="0" fontId="59" fillId="0" borderId="0">
      <protection locked="0"/>
    </xf>
    <xf numFmtId="0" fontId="59" fillId="0" borderId="0">
      <protection locked="0"/>
    </xf>
    <xf numFmtId="0" fontId="59" fillId="0" borderId="0">
      <protection locked="0"/>
    </xf>
    <xf numFmtId="0" fontId="59" fillId="0" borderId="0">
      <protection locked="0"/>
    </xf>
    <xf numFmtId="0" fontId="59" fillId="0" borderId="0">
      <protection locked="0"/>
    </xf>
    <xf numFmtId="0" fontId="59" fillId="0" borderId="0">
      <protection locked="0"/>
    </xf>
    <xf numFmtId="0" fontId="59" fillId="0" borderId="0">
      <protection locked="0"/>
    </xf>
    <xf numFmtId="0" fontId="59" fillId="0" borderId="0">
      <protection locked="0"/>
    </xf>
    <xf numFmtId="0" fontId="59" fillId="0" borderId="0">
      <protection locked="0"/>
    </xf>
    <xf numFmtId="0" fontId="59" fillId="0" borderId="0">
      <protection locked="0"/>
    </xf>
    <xf numFmtId="0" fontId="59" fillId="0" borderId="0">
      <protection locked="0"/>
    </xf>
    <xf numFmtId="0" fontId="59" fillId="0" borderId="0">
      <protection locked="0"/>
    </xf>
    <xf numFmtId="0" fontId="59" fillId="0" borderId="0">
      <protection locked="0"/>
    </xf>
    <xf numFmtId="0" fontId="59" fillId="0" borderId="0">
      <protection locked="0"/>
    </xf>
    <xf numFmtId="0" fontId="59" fillId="0" borderId="0">
      <protection locked="0"/>
    </xf>
    <xf numFmtId="0" fontId="59" fillId="0" borderId="0">
      <protection locked="0"/>
    </xf>
    <xf numFmtId="0" fontId="59" fillId="0" borderId="0">
      <protection locked="0"/>
    </xf>
    <xf numFmtId="0" fontId="59" fillId="0" borderId="0">
      <protection locked="0"/>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4" fillId="0" borderId="0">
      <alignment vertical="top" wrapText="1"/>
    </xf>
    <xf numFmtId="0" fontId="144" fillId="0" borderId="0">
      <alignment vertical="top" wrapText="1"/>
    </xf>
    <xf numFmtId="0" fontId="144" fillId="0" borderId="0">
      <alignment vertical="top" wrapText="1"/>
    </xf>
    <xf numFmtId="0" fontId="144" fillId="0" borderId="0">
      <alignment vertical="top" wrapText="1"/>
    </xf>
    <xf numFmtId="0" fontId="144" fillId="0" borderId="0">
      <alignment vertical="top" wrapText="1"/>
    </xf>
    <xf numFmtId="0" fontId="144" fillId="0" borderId="0">
      <alignment vertical="top" wrapText="1"/>
    </xf>
    <xf numFmtId="0" fontId="144" fillId="0" borderId="0">
      <alignment vertical="top" wrapText="1"/>
    </xf>
    <xf numFmtId="0" fontId="144" fillId="0" borderId="0">
      <alignment vertical="top" wrapText="1"/>
    </xf>
    <xf numFmtId="0" fontId="24" fillId="0" borderId="0"/>
    <xf numFmtId="0" fontId="24" fillId="0" borderId="0"/>
    <xf numFmtId="0" fontId="24" fillId="0" borderId="0"/>
    <xf numFmtId="0" fontId="24" fillId="0" borderId="0"/>
    <xf numFmtId="0" fontId="24" fillId="0" borderId="0"/>
    <xf numFmtId="0" fontId="59" fillId="0" borderId="0"/>
    <xf numFmtId="0" fontId="59" fillId="0" borderId="0"/>
    <xf numFmtId="0" fontId="59" fillId="0" borderId="0"/>
    <xf numFmtId="0" fontId="59"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9" fillId="0" borderId="0"/>
    <xf numFmtId="0" fontId="59" fillId="0" borderId="0"/>
    <xf numFmtId="0" fontId="59" fillId="0" borderId="0"/>
    <xf numFmtId="0" fontId="59" fillId="0" borderId="0"/>
    <xf numFmtId="0" fontId="24" fillId="0" borderId="0"/>
    <xf numFmtId="0" fontId="144" fillId="0" borderId="0">
      <alignment vertical="top" wrapText="1"/>
    </xf>
    <xf numFmtId="0" fontId="24" fillId="0" borderId="0"/>
    <xf numFmtId="0" fontId="144" fillId="0" borderId="0">
      <alignment vertical="top" wrapText="1"/>
    </xf>
    <xf numFmtId="0" fontId="24" fillId="0" borderId="0"/>
    <xf numFmtId="0" fontId="24" fillId="0" borderId="0"/>
    <xf numFmtId="0" fontId="144" fillId="0" borderId="0">
      <alignment vertical="top" wrapText="1"/>
    </xf>
    <xf numFmtId="0" fontId="24" fillId="0" borderId="0"/>
    <xf numFmtId="0" fontId="24" fillId="0" borderId="0"/>
    <xf numFmtId="0" fontId="144" fillId="0" borderId="0">
      <alignment vertical="top" wrapText="1"/>
    </xf>
    <xf numFmtId="0" fontId="24" fillId="0" borderId="0"/>
    <xf numFmtId="0" fontId="144" fillId="0" borderId="0">
      <alignment vertical="top" wrapText="1"/>
    </xf>
    <xf numFmtId="0" fontId="144" fillId="0" borderId="0">
      <alignment vertical="top" wrapText="1"/>
    </xf>
    <xf numFmtId="0" fontId="144" fillId="0" borderId="0">
      <alignment vertical="top" wrapTex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4" fillId="0" borderId="0"/>
    <xf numFmtId="0" fontId="24"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6" fillId="0" borderId="0">
      <protection locked="0"/>
    </xf>
    <xf numFmtId="0" fontId="146" fillId="0" borderId="0">
      <protection locked="0"/>
    </xf>
    <xf numFmtId="0" fontId="146" fillId="0" borderId="0">
      <protection locked="0"/>
    </xf>
    <xf numFmtId="0" fontId="146" fillId="0" borderId="0">
      <protection locked="0"/>
    </xf>
    <xf numFmtId="0" fontId="146" fillId="0" borderId="0">
      <protection locked="0"/>
    </xf>
    <xf numFmtId="0" fontId="146" fillId="0" borderId="0">
      <protection locked="0"/>
    </xf>
    <xf numFmtId="0" fontId="146" fillId="0" borderId="0">
      <protection locked="0"/>
    </xf>
    <xf numFmtId="0" fontId="146" fillId="0" borderId="0">
      <protection locked="0"/>
    </xf>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6" fillId="0" borderId="0">
      <protection locked="0"/>
    </xf>
    <xf numFmtId="0" fontId="146" fillId="0" borderId="0">
      <protection locked="0"/>
    </xf>
    <xf numFmtId="0" fontId="146" fillId="0" borderId="0">
      <protection locked="0"/>
    </xf>
    <xf numFmtId="0" fontId="146" fillId="0" borderId="0">
      <protection locked="0"/>
    </xf>
    <xf numFmtId="0" fontId="146" fillId="0" borderId="0">
      <protection locked="0"/>
    </xf>
    <xf numFmtId="0" fontId="146" fillId="0" borderId="0">
      <protection locked="0"/>
    </xf>
    <xf numFmtId="0" fontId="146" fillId="0" borderId="0">
      <protection locked="0"/>
    </xf>
    <xf numFmtId="0" fontId="146" fillId="0" borderId="0">
      <protection locked="0"/>
    </xf>
    <xf numFmtId="0" fontId="146" fillId="0" borderId="0">
      <protection locked="0"/>
    </xf>
    <xf numFmtId="0" fontId="146" fillId="0" borderId="0">
      <protection locked="0"/>
    </xf>
    <xf numFmtId="0" fontId="146" fillId="0" borderId="0">
      <protection locked="0"/>
    </xf>
    <xf numFmtId="0" fontId="146" fillId="0" borderId="0">
      <protection locked="0"/>
    </xf>
    <xf numFmtId="0" fontId="146" fillId="0" borderId="0">
      <protection locked="0"/>
    </xf>
    <xf numFmtId="0" fontId="146" fillId="0" borderId="0">
      <protection locked="0"/>
    </xf>
    <xf numFmtId="0" fontId="146" fillId="0" borderId="0">
      <protection locked="0"/>
    </xf>
    <xf numFmtId="0" fontId="146" fillId="0" borderId="0">
      <protection locked="0"/>
    </xf>
    <xf numFmtId="0" fontId="146" fillId="0" borderId="0">
      <protection locked="0"/>
    </xf>
    <xf numFmtId="0" fontId="146" fillId="0" borderId="0">
      <protection locked="0"/>
    </xf>
    <xf numFmtId="0" fontId="146" fillId="0" borderId="0">
      <protection locked="0"/>
    </xf>
    <xf numFmtId="0" fontId="146" fillId="0" borderId="0">
      <protection locked="0"/>
    </xf>
    <xf numFmtId="0" fontId="146" fillId="0" borderId="0">
      <protection locked="0"/>
    </xf>
    <xf numFmtId="0" fontId="146" fillId="0" borderId="0">
      <protection locked="0"/>
    </xf>
    <xf numFmtId="0" fontId="146" fillId="0" borderId="0">
      <protection locked="0"/>
    </xf>
    <xf numFmtId="0" fontId="146" fillId="0" borderId="0">
      <protection locked="0"/>
    </xf>
    <xf numFmtId="0" fontId="145" fillId="0" borderId="0"/>
    <xf numFmtId="0" fontId="145" fillId="0" borderId="0"/>
    <xf numFmtId="0" fontId="145" fillId="0" borderId="0"/>
    <xf numFmtId="0" fontId="145"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45" fillId="0" borderId="0"/>
    <xf numFmtId="0" fontId="145" fillId="0" borderId="0"/>
    <xf numFmtId="0" fontId="145" fillId="0" borderId="0"/>
    <xf numFmtId="0" fontId="145"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9" fillId="0" borderId="0">
      <protection locked="0"/>
    </xf>
    <xf numFmtId="0" fontId="59" fillId="0" borderId="0">
      <protection locked="0"/>
    </xf>
    <xf numFmtId="0" fontId="59" fillId="0" borderId="0">
      <protection locked="0"/>
    </xf>
    <xf numFmtId="0" fontId="59" fillId="0" borderId="0">
      <protection locked="0"/>
    </xf>
    <xf numFmtId="0" fontId="59" fillId="0" borderId="0">
      <protection locked="0"/>
    </xf>
    <xf numFmtId="0" fontId="59" fillId="0" borderId="0">
      <protection locked="0"/>
    </xf>
    <xf numFmtId="0" fontId="59" fillId="0" borderId="0">
      <protection locked="0"/>
    </xf>
    <xf numFmtId="0" fontId="59" fillId="0" borderId="0">
      <protection locked="0"/>
    </xf>
    <xf numFmtId="0" fontId="59" fillId="0" borderId="0">
      <protection locked="0"/>
    </xf>
    <xf numFmtId="0" fontId="59" fillId="0" borderId="0">
      <protection locked="0"/>
    </xf>
    <xf numFmtId="0" fontId="59" fillId="0" borderId="0">
      <protection locked="0"/>
    </xf>
    <xf numFmtId="0" fontId="59" fillId="0" borderId="0">
      <protection locked="0"/>
    </xf>
    <xf numFmtId="0" fontId="59" fillId="0" borderId="0">
      <protection locked="0"/>
    </xf>
    <xf numFmtId="0" fontId="59" fillId="0" borderId="0">
      <protection locked="0"/>
    </xf>
    <xf numFmtId="0" fontId="59" fillId="0" borderId="0">
      <protection locked="0"/>
    </xf>
    <xf numFmtId="0" fontId="59" fillId="0" borderId="0">
      <protection locked="0"/>
    </xf>
    <xf numFmtId="0" fontId="59" fillId="0" borderId="0">
      <protection locked="0"/>
    </xf>
    <xf numFmtId="0" fontId="59" fillId="0" borderId="0">
      <protection locked="0"/>
    </xf>
    <xf numFmtId="0" fontId="59" fillId="0" borderId="0">
      <protection locked="0"/>
    </xf>
    <xf numFmtId="0" fontId="59" fillId="0" borderId="0">
      <protection locked="0"/>
    </xf>
    <xf numFmtId="0" fontId="59" fillId="0" borderId="0">
      <protection locked="0"/>
    </xf>
    <xf numFmtId="0" fontId="59" fillId="0" borderId="0">
      <protection locked="0"/>
    </xf>
    <xf numFmtId="0" fontId="59" fillId="0" borderId="0">
      <protection locked="0"/>
    </xf>
    <xf numFmtId="0" fontId="59" fillId="0" borderId="0">
      <protection locked="0"/>
    </xf>
    <xf numFmtId="0" fontId="59" fillId="0" borderId="0">
      <protection locked="0"/>
    </xf>
    <xf numFmtId="0" fontId="59" fillId="0" borderId="0">
      <protection locked="0"/>
    </xf>
    <xf numFmtId="0" fontId="59" fillId="0" borderId="0">
      <protection locked="0"/>
    </xf>
    <xf numFmtId="0" fontId="59" fillId="0" borderId="0">
      <protection locked="0"/>
    </xf>
    <xf numFmtId="0" fontId="59" fillId="0" borderId="0">
      <protection locked="0"/>
    </xf>
    <xf numFmtId="0" fontId="59" fillId="0" borderId="0">
      <protection locked="0"/>
    </xf>
    <xf numFmtId="0" fontId="59" fillId="0" borderId="0">
      <protection locked="0"/>
    </xf>
    <xf numFmtId="0" fontId="59" fillId="0" borderId="0">
      <protection locked="0"/>
    </xf>
    <xf numFmtId="0" fontId="24" fillId="0" borderId="0"/>
    <xf numFmtId="0" fontId="24" fillId="0" borderId="0"/>
    <xf numFmtId="0" fontId="24" fillId="0" borderId="0"/>
    <xf numFmtId="0" fontId="24" fillId="0" borderId="0"/>
    <xf numFmtId="0" fontId="24"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9" fillId="0" borderId="0">
      <protection locked="0"/>
    </xf>
    <xf numFmtId="0" fontId="59" fillId="0" borderId="0">
      <protection locked="0"/>
    </xf>
    <xf numFmtId="0" fontId="59" fillId="0" borderId="0">
      <protection locked="0"/>
    </xf>
    <xf numFmtId="0" fontId="59" fillId="0" borderId="0">
      <protection locked="0"/>
    </xf>
    <xf numFmtId="0" fontId="59" fillId="0" borderId="0">
      <protection locked="0"/>
    </xf>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59" fillId="0" borderId="0">
      <protection locked="0"/>
    </xf>
    <xf numFmtId="0" fontId="59" fillId="0" borderId="0">
      <protection locked="0"/>
    </xf>
    <xf numFmtId="0" fontId="59" fillId="0" borderId="0">
      <protection locked="0"/>
    </xf>
    <xf numFmtId="0" fontId="59" fillId="0" borderId="0">
      <protection locked="0"/>
    </xf>
    <xf numFmtId="0" fontId="59" fillId="0" borderId="0">
      <protection locked="0"/>
    </xf>
    <xf numFmtId="0" fontId="59" fillId="0" borderId="0">
      <protection locked="0"/>
    </xf>
    <xf numFmtId="0" fontId="59" fillId="0" borderId="0">
      <protection locked="0"/>
    </xf>
    <xf numFmtId="0" fontId="59" fillId="0" borderId="0">
      <protection locked="0"/>
    </xf>
    <xf numFmtId="0" fontId="59" fillId="0" borderId="0">
      <protection locked="0"/>
    </xf>
    <xf numFmtId="0" fontId="59" fillId="0" borderId="0">
      <protection locked="0"/>
    </xf>
    <xf numFmtId="0" fontId="59" fillId="0" borderId="0">
      <protection locked="0"/>
    </xf>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59" fillId="0" borderId="0">
      <protection locked="0"/>
    </xf>
    <xf numFmtId="0" fontId="59" fillId="0" borderId="0">
      <protection locked="0"/>
    </xf>
    <xf numFmtId="0" fontId="59" fillId="0" borderId="0">
      <protection locked="0"/>
    </xf>
    <xf numFmtId="0" fontId="59" fillId="0" borderId="0">
      <protection locked="0"/>
    </xf>
    <xf numFmtId="0" fontId="59" fillId="0" borderId="0">
      <protection locked="0"/>
    </xf>
    <xf numFmtId="0" fontId="59" fillId="0" borderId="0">
      <protection locked="0"/>
    </xf>
    <xf numFmtId="0" fontId="59" fillId="0" borderId="0">
      <protection locked="0"/>
    </xf>
    <xf numFmtId="0" fontId="59" fillId="0" borderId="0">
      <protection locked="0"/>
    </xf>
    <xf numFmtId="0" fontId="59" fillId="0" borderId="0">
      <protection locked="0"/>
    </xf>
    <xf numFmtId="0" fontId="59" fillId="0" borderId="0">
      <protection locked="0"/>
    </xf>
    <xf numFmtId="0" fontId="59" fillId="0" borderId="0">
      <protection locked="0"/>
    </xf>
    <xf numFmtId="0" fontId="59" fillId="0" borderId="0">
      <protection locked="0"/>
    </xf>
    <xf numFmtId="0" fontId="59" fillId="0" borderId="0">
      <protection locked="0"/>
    </xf>
    <xf numFmtId="0" fontId="59" fillId="0" borderId="0">
      <protection locked="0"/>
    </xf>
    <xf numFmtId="0" fontId="59" fillId="0" borderId="0">
      <protection locked="0"/>
    </xf>
    <xf numFmtId="0" fontId="59" fillId="0" borderId="0">
      <protection locked="0"/>
    </xf>
    <xf numFmtId="0" fontId="59" fillId="0" borderId="0">
      <protection locked="0"/>
    </xf>
    <xf numFmtId="0" fontId="59" fillId="0" borderId="0">
      <protection locked="0"/>
    </xf>
    <xf numFmtId="0" fontId="59" fillId="0" borderId="0">
      <protection locked="0"/>
    </xf>
    <xf numFmtId="0" fontId="59" fillId="0" borderId="0">
      <protection locked="0"/>
    </xf>
    <xf numFmtId="0" fontId="59" fillId="0" borderId="0">
      <protection locked="0"/>
    </xf>
    <xf numFmtId="0" fontId="59" fillId="0" borderId="0">
      <protection locked="0"/>
    </xf>
    <xf numFmtId="0" fontId="59" fillId="0" borderId="0">
      <protection locked="0"/>
    </xf>
    <xf numFmtId="0" fontId="59" fillId="0" borderId="0">
      <protection locked="0"/>
    </xf>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59" fillId="0" borderId="0">
      <protection locked="0"/>
    </xf>
    <xf numFmtId="0" fontId="59" fillId="0" borderId="0">
      <protection locked="0"/>
    </xf>
    <xf numFmtId="0" fontId="59" fillId="0" borderId="0">
      <protection locked="0"/>
    </xf>
    <xf numFmtId="0" fontId="59" fillId="0" borderId="0">
      <protection locked="0"/>
    </xf>
    <xf numFmtId="0" fontId="59" fillId="0" borderId="0">
      <protection locked="0"/>
    </xf>
    <xf numFmtId="0" fontId="59" fillId="0" borderId="0">
      <protection locked="0"/>
    </xf>
    <xf numFmtId="0" fontId="59" fillId="0" borderId="0">
      <protection locked="0"/>
    </xf>
    <xf numFmtId="0" fontId="59" fillId="0" borderId="0">
      <protection locked="0"/>
    </xf>
    <xf numFmtId="0" fontId="59" fillId="0" borderId="0">
      <protection locked="0"/>
    </xf>
    <xf numFmtId="0" fontId="59" fillId="0" borderId="0">
      <protection locked="0"/>
    </xf>
    <xf numFmtId="0" fontId="59" fillId="0" borderId="0">
      <protection locked="0"/>
    </xf>
    <xf numFmtId="0" fontId="59" fillId="0" borderId="0">
      <protection locked="0"/>
    </xf>
    <xf numFmtId="0" fontId="59" fillId="0" borderId="0">
      <protection locked="0"/>
    </xf>
    <xf numFmtId="0" fontId="59" fillId="0" borderId="0">
      <protection locked="0"/>
    </xf>
    <xf numFmtId="0" fontId="59" fillId="0" borderId="0">
      <protection locked="0"/>
    </xf>
    <xf numFmtId="0" fontId="59" fillId="0" borderId="0">
      <protection locked="0"/>
    </xf>
    <xf numFmtId="0" fontId="59" fillId="0" borderId="0">
      <protection locked="0"/>
    </xf>
    <xf numFmtId="0" fontId="59" fillId="0" borderId="0">
      <protection locked="0"/>
    </xf>
    <xf numFmtId="0" fontId="59" fillId="0" borderId="0">
      <protection locked="0"/>
    </xf>
    <xf numFmtId="0" fontId="59" fillId="0" borderId="0">
      <protection locked="0"/>
    </xf>
    <xf numFmtId="0" fontId="59" fillId="0" borderId="0">
      <protection locked="0"/>
    </xf>
    <xf numFmtId="0" fontId="59" fillId="0" borderId="0">
      <protection locked="0"/>
    </xf>
    <xf numFmtId="0" fontId="59" fillId="0" borderId="0">
      <protection locked="0"/>
    </xf>
    <xf numFmtId="0" fontId="59" fillId="0" borderId="0">
      <protection locked="0"/>
    </xf>
    <xf numFmtId="0" fontId="59" fillId="0" borderId="0">
      <protection locked="0"/>
    </xf>
    <xf numFmtId="0" fontId="59" fillId="0" borderId="0">
      <protection locked="0"/>
    </xf>
    <xf numFmtId="0" fontId="59" fillId="0" borderId="0">
      <protection locked="0"/>
    </xf>
    <xf numFmtId="0" fontId="59" fillId="0" borderId="0">
      <protection locked="0"/>
    </xf>
    <xf numFmtId="0" fontId="59" fillId="0" borderId="0">
      <protection locked="0"/>
    </xf>
    <xf numFmtId="0" fontId="59" fillId="0" borderId="0">
      <protection locked="0"/>
    </xf>
    <xf numFmtId="0" fontId="59" fillId="0" borderId="0">
      <protection locked="0"/>
    </xf>
    <xf numFmtId="0" fontId="59" fillId="0" borderId="0">
      <protection locked="0"/>
    </xf>
    <xf numFmtId="0" fontId="59" fillId="0" borderId="0">
      <protection locked="0"/>
    </xf>
    <xf numFmtId="0" fontId="59" fillId="0" borderId="0">
      <protection locked="0"/>
    </xf>
    <xf numFmtId="0" fontId="59" fillId="0" borderId="0">
      <protection locked="0"/>
    </xf>
    <xf numFmtId="0" fontId="59" fillId="0" borderId="0">
      <protection locked="0"/>
    </xf>
    <xf numFmtId="0" fontId="59" fillId="0" borderId="0">
      <protection locked="0"/>
    </xf>
    <xf numFmtId="0" fontId="59" fillId="0" borderId="0">
      <protection locked="0"/>
    </xf>
    <xf numFmtId="0" fontId="59" fillId="0" borderId="0">
      <protection locked="0"/>
    </xf>
    <xf numFmtId="0" fontId="59" fillId="0" borderId="0">
      <protection locked="0"/>
    </xf>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59" fillId="0" borderId="0">
      <protection locked="0"/>
    </xf>
    <xf numFmtId="0" fontId="59" fillId="0" borderId="0">
      <protection locked="0"/>
    </xf>
    <xf numFmtId="0" fontId="59" fillId="0" borderId="0">
      <protection locked="0"/>
    </xf>
    <xf numFmtId="0" fontId="59" fillId="0" borderId="0">
      <protection locked="0"/>
    </xf>
    <xf numFmtId="0" fontId="59" fillId="0" borderId="0">
      <protection locked="0"/>
    </xf>
    <xf numFmtId="0" fontId="59" fillId="0" borderId="0">
      <protection locked="0"/>
    </xf>
    <xf numFmtId="0" fontId="59" fillId="0" borderId="0">
      <protection locked="0"/>
    </xf>
    <xf numFmtId="0" fontId="59" fillId="0" borderId="0">
      <protection locked="0"/>
    </xf>
    <xf numFmtId="0" fontId="59" fillId="0" borderId="0">
      <protection locked="0"/>
    </xf>
    <xf numFmtId="0" fontId="59" fillId="0" borderId="0">
      <protection locked="0"/>
    </xf>
    <xf numFmtId="0" fontId="59" fillId="0" borderId="0">
      <protection locked="0"/>
    </xf>
    <xf numFmtId="0" fontId="59" fillId="0" borderId="0">
      <protection locked="0"/>
    </xf>
    <xf numFmtId="0" fontId="59" fillId="0" borderId="0">
      <protection locked="0"/>
    </xf>
    <xf numFmtId="0" fontId="59" fillId="0" borderId="0">
      <protection locked="0"/>
    </xf>
    <xf numFmtId="0" fontId="59" fillId="0" borderId="0">
      <protection locked="0"/>
    </xf>
    <xf numFmtId="0" fontId="59" fillId="0" borderId="0">
      <protection locked="0"/>
    </xf>
    <xf numFmtId="0" fontId="59" fillId="0" borderId="0">
      <protection locked="0"/>
    </xf>
    <xf numFmtId="0" fontId="59" fillId="0" borderId="0">
      <protection locked="0"/>
    </xf>
    <xf numFmtId="0" fontId="59" fillId="0" borderId="0">
      <protection locked="0"/>
    </xf>
    <xf numFmtId="0" fontId="59" fillId="0" borderId="0">
      <protection locked="0"/>
    </xf>
    <xf numFmtId="0" fontId="59" fillId="0" borderId="0">
      <protection locked="0"/>
    </xf>
    <xf numFmtId="0" fontId="59" fillId="0" borderId="0">
      <protection locked="0"/>
    </xf>
    <xf numFmtId="0" fontId="59" fillId="0" borderId="0">
      <protection locked="0"/>
    </xf>
    <xf numFmtId="0" fontId="59" fillId="0" borderId="0">
      <protection locked="0"/>
    </xf>
    <xf numFmtId="0" fontId="59" fillId="0" borderId="0">
      <protection locked="0"/>
    </xf>
    <xf numFmtId="0" fontId="59" fillId="0" borderId="0">
      <protection locked="0"/>
    </xf>
    <xf numFmtId="0" fontId="59" fillId="0" borderId="0">
      <protection locked="0"/>
    </xf>
    <xf numFmtId="0" fontId="59" fillId="0" borderId="0">
      <protection locked="0"/>
    </xf>
    <xf numFmtId="0" fontId="59" fillId="0" borderId="0">
      <protection locked="0"/>
    </xf>
    <xf numFmtId="0" fontId="59" fillId="0" borderId="0">
      <protection locked="0"/>
    </xf>
    <xf numFmtId="0" fontId="59" fillId="0" borderId="0">
      <protection locked="0"/>
    </xf>
    <xf numFmtId="0" fontId="59" fillId="0" borderId="0">
      <protection locked="0"/>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5" fillId="0" borderId="0"/>
    <xf numFmtId="0" fontId="145" fillId="0" borderId="0"/>
    <xf numFmtId="0" fontId="145" fillId="0" borderId="0"/>
    <xf numFmtId="0" fontId="14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59" fillId="0" borderId="0">
      <protection locked="0"/>
    </xf>
    <xf numFmtId="0" fontId="59" fillId="0" borderId="0">
      <protection locked="0"/>
    </xf>
    <xf numFmtId="0" fontId="59" fillId="0" borderId="0">
      <protection locked="0"/>
    </xf>
    <xf numFmtId="0" fontId="59" fillId="0" borderId="0">
      <protection locked="0"/>
    </xf>
    <xf numFmtId="0" fontId="59" fillId="0" borderId="0">
      <protection locked="0"/>
    </xf>
    <xf numFmtId="0" fontId="59" fillId="0" borderId="0">
      <protection locked="0"/>
    </xf>
    <xf numFmtId="0" fontId="59" fillId="0" borderId="0">
      <protection locked="0"/>
    </xf>
    <xf numFmtId="0" fontId="59" fillId="0" borderId="0">
      <protection locked="0"/>
    </xf>
    <xf numFmtId="0" fontId="59" fillId="0" borderId="0">
      <protection locked="0"/>
    </xf>
    <xf numFmtId="0" fontId="59" fillId="0" borderId="0">
      <protection locked="0"/>
    </xf>
    <xf numFmtId="0" fontId="59" fillId="0" borderId="0">
      <protection locked="0"/>
    </xf>
    <xf numFmtId="0" fontId="59" fillId="0" borderId="0">
      <protection locked="0"/>
    </xf>
    <xf numFmtId="0" fontId="59" fillId="0" borderId="0">
      <protection locked="0"/>
    </xf>
    <xf numFmtId="0" fontId="59" fillId="0" borderId="0">
      <protection locked="0"/>
    </xf>
    <xf numFmtId="0" fontId="59" fillId="0" borderId="0">
      <protection locked="0"/>
    </xf>
    <xf numFmtId="0" fontId="59" fillId="0" borderId="0">
      <protection locked="0"/>
    </xf>
    <xf numFmtId="0" fontId="59" fillId="0" borderId="0">
      <protection locked="0"/>
    </xf>
    <xf numFmtId="0" fontId="59" fillId="0" borderId="0">
      <protection locked="0"/>
    </xf>
    <xf numFmtId="0" fontId="59" fillId="0" borderId="0">
      <protection locked="0"/>
    </xf>
    <xf numFmtId="0" fontId="59" fillId="0" borderId="0">
      <protection locked="0"/>
    </xf>
    <xf numFmtId="0" fontId="59" fillId="0" borderId="0">
      <protection locked="0"/>
    </xf>
    <xf numFmtId="0" fontId="59" fillId="0" borderId="0">
      <protection locked="0"/>
    </xf>
    <xf numFmtId="0" fontId="59" fillId="0" borderId="0">
      <protection locked="0"/>
    </xf>
    <xf numFmtId="0" fontId="59" fillId="0" borderId="0">
      <protection locked="0"/>
    </xf>
    <xf numFmtId="0" fontId="59" fillId="0" borderId="0">
      <protection locked="0"/>
    </xf>
    <xf numFmtId="0" fontId="59" fillId="0" borderId="0">
      <protection locked="0"/>
    </xf>
    <xf numFmtId="0" fontId="59" fillId="0" borderId="0">
      <protection locked="0"/>
    </xf>
    <xf numFmtId="0" fontId="59" fillId="0" borderId="0">
      <protection locked="0"/>
    </xf>
    <xf numFmtId="0" fontId="59" fillId="0" borderId="0">
      <protection locked="0"/>
    </xf>
    <xf numFmtId="0" fontId="59" fillId="0" borderId="0">
      <protection locked="0"/>
    </xf>
    <xf numFmtId="0" fontId="59" fillId="0" borderId="0">
      <protection locked="0"/>
    </xf>
    <xf numFmtId="0" fontId="59" fillId="0" borderId="0">
      <protection locked="0"/>
    </xf>
    <xf numFmtId="0" fontId="145" fillId="0" borderId="0"/>
    <xf numFmtId="0" fontId="145" fillId="0" borderId="0"/>
    <xf numFmtId="0" fontId="145" fillId="0" borderId="0"/>
    <xf numFmtId="0" fontId="145" fillId="0" borderId="0"/>
    <xf numFmtId="0" fontId="14" fillId="0" borderId="0"/>
    <xf numFmtId="0" fontId="14"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59" fillId="0" borderId="0">
      <protection locked="0"/>
    </xf>
    <xf numFmtId="0" fontId="59" fillId="0" borderId="0">
      <protection locked="0"/>
    </xf>
    <xf numFmtId="0" fontId="59" fillId="0" borderId="0">
      <protection locked="0"/>
    </xf>
    <xf numFmtId="0" fontId="59" fillId="0" borderId="0">
      <protection locked="0"/>
    </xf>
    <xf numFmtId="0" fontId="59" fillId="0" borderId="0">
      <protection locked="0"/>
    </xf>
    <xf numFmtId="0" fontId="59" fillId="0" borderId="0">
      <protection locked="0"/>
    </xf>
    <xf numFmtId="0" fontId="59" fillId="0" borderId="0">
      <protection locked="0"/>
    </xf>
    <xf numFmtId="0" fontId="59" fillId="0" borderId="0">
      <protection locked="0"/>
    </xf>
    <xf numFmtId="0" fontId="59" fillId="0" borderId="0">
      <protection locked="0"/>
    </xf>
    <xf numFmtId="0" fontId="59" fillId="0" borderId="0">
      <protection locked="0"/>
    </xf>
    <xf numFmtId="0" fontId="59" fillId="0" borderId="0">
      <protection locked="0"/>
    </xf>
    <xf numFmtId="0" fontId="59" fillId="0" borderId="0">
      <protection locked="0"/>
    </xf>
    <xf numFmtId="0" fontId="59" fillId="0" borderId="0">
      <protection locked="0"/>
    </xf>
    <xf numFmtId="0" fontId="59" fillId="0" borderId="0">
      <protection locked="0"/>
    </xf>
    <xf numFmtId="0" fontId="59" fillId="0" borderId="0">
      <protection locked="0"/>
    </xf>
    <xf numFmtId="0" fontId="59" fillId="0" borderId="0">
      <protection locked="0"/>
    </xf>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59" fillId="0" borderId="0">
      <protection locked="0"/>
    </xf>
    <xf numFmtId="0" fontId="59" fillId="0" borderId="0">
      <protection locked="0"/>
    </xf>
    <xf numFmtId="0" fontId="59" fillId="0" borderId="0">
      <protection locked="0"/>
    </xf>
    <xf numFmtId="0" fontId="59" fillId="0" borderId="0">
      <protection locked="0"/>
    </xf>
    <xf numFmtId="0" fontId="59" fillId="0" borderId="0">
      <protection locked="0"/>
    </xf>
    <xf numFmtId="0" fontId="59" fillId="0" borderId="0">
      <protection locked="0"/>
    </xf>
    <xf numFmtId="0" fontId="59" fillId="0" borderId="0">
      <protection locked="0"/>
    </xf>
    <xf numFmtId="0" fontId="59" fillId="0" borderId="0">
      <protection locked="0"/>
    </xf>
    <xf numFmtId="0" fontId="59" fillId="0" borderId="0">
      <protection locked="0"/>
    </xf>
    <xf numFmtId="0" fontId="59" fillId="0" borderId="0">
      <protection locked="0"/>
    </xf>
    <xf numFmtId="0" fontId="59" fillId="0" borderId="0">
      <protection locked="0"/>
    </xf>
    <xf numFmtId="0" fontId="59" fillId="0" borderId="0">
      <protection locked="0"/>
    </xf>
    <xf numFmtId="0" fontId="59" fillId="0" borderId="0">
      <protection locked="0"/>
    </xf>
    <xf numFmtId="0" fontId="59" fillId="0" borderId="0">
      <protection locked="0"/>
    </xf>
    <xf numFmtId="0" fontId="59" fillId="0" borderId="0">
      <protection locked="0"/>
    </xf>
    <xf numFmtId="0" fontId="59" fillId="0" borderId="0">
      <protection locked="0"/>
    </xf>
    <xf numFmtId="0" fontId="59" fillId="0" borderId="0">
      <protection locked="0"/>
    </xf>
    <xf numFmtId="0" fontId="59" fillId="0" borderId="0">
      <protection locked="0"/>
    </xf>
    <xf numFmtId="0" fontId="59" fillId="0" borderId="0">
      <protection locked="0"/>
    </xf>
    <xf numFmtId="0" fontId="59" fillId="0" borderId="0">
      <protection locked="0"/>
    </xf>
    <xf numFmtId="0" fontId="59" fillId="0" borderId="0">
      <protection locked="0"/>
    </xf>
    <xf numFmtId="0" fontId="59" fillId="0" borderId="0">
      <protection locked="0"/>
    </xf>
    <xf numFmtId="0" fontId="59" fillId="0" borderId="0">
      <protection locked="0"/>
    </xf>
    <xf numFmtId="0" fontId="59" fillId="0" borderId="0">
      <protection locked="0"/>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4" fillId="0" borderId="0"/>
    <xf numFmtId="0" fontId="24" fillId="0" borderId="0"/>
    <xf numFmtId="0" fontId="24" fillId="0" borderId="0"/>
    <xf numFmtId="0" fontId="24"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protection locked="0"/>
    </xf>
    <xf numFmtId="0" fontId="59" fillId="0" borderId="0">
      <protection locked="0"/>
    </xf>
    <xf numFmtId="0" fontId="59" fillId="0" borderId="0">
      <protection locked="0"/>
    </xf>
    <xf numFmtId="0" fontId="59" fillId="0" borderId="0">
      <protection locked="0"/>
    </xf>
    <xf numFmtId="0" fontId="59" fillId="0" borderId="0">
      <protection locked="0"/>
    </xf>
    <xf numFmtId="0" fontId="59" fillId="0" borderId="0">
      <protection locked="0"/>
    </xf>
    <xf numFmtId="0" fontId="59" fillId="0" borderId="0">
      <protection locked="0"/>
    </xf>
    <xf numFmtId="0" fontId="59" fillId="0" borderId="0">
      <protection locked="0"/>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59" fillId="0" borderId="0">
      <protection locked="0"/>
    </xf>
    <xf numFmtId="0" fontId="59" fillId="0" borderId="0">
      <protection locked="0"/>
    </xf>
    <xf numFmtId="0" fontId="59" fillId="0" borderId="0">
      <protection locked="0"/>
    </xf>
    <xf numFmtId="0" fontId="59" fillId="0" borderId="0">
      <protection locked="0"/>
    </xf>
    <xf numFmtId="0" fontId="59" fillId="0" borderId="0">
      <protection locked="0"/>
    </xf>
    <xf numFmtId="0" fontId="59" fillId="0" borderId="0">
      <protection locked="0"/>
    </xf>
    <xf numFmtId="0" fontId="59" fillId="0" borderId="0">
      <protection locked="0"/>
    </xf>
    <xf numFmtId="0" fontId="59" fillId="0" borderId="0">
      <protection locked="0"/>
    </xf>
    <xf numFmtId="0" fontId="59" fillId="0" borderId="0">
      <protection locked="0"/>
    </xf>
    <xf numFmtId="0" fontId="59" fillId="0" borderId="0">
      <protection locked="0"/>
    </xf>
    <xf numFmtId="0" fontId="59" fillId="0" borderId="0">
      <protection locked="0"/>
    </xf>
    <xf numFmtId="0" fontId="59" fillId="0" borderId="0">
      <protection locked="0"/>
    </xf>
    <xf numFmtId="0" fontId="59" fillId="0" borderId="0">
      <protection locked="0"/>
    </xf>
    <xf numFmtId="0" fontId="59" fillId="0" borderId="0">
      <protection locked="0"/>
    </xf>
    <xf numFmtId="0" fontId="59" fillId="0" borderId="0">
      <protection locked="0"/>
    </xf>
    <xf numFmtId="0" fontId="59" fillId="0" borderId="0">
      <protection locked="0"/>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applyNumberFormat="0" applyFont="0" applyFill="0" applyBorder="0" applyAlignment="0" applyProtection="0">
      <alignment vertical="top"/>
    </xf>
    <xf numFmtId="0" fontId="14" fillId="0" borderId="0" applyNumberFormat="0" applyFont="0" applyFill="0" applyBorder="0" applyAlignment="0" applyProtection="0">
      <alignment vertical="top"/>
    </xf>
    <xf numFmtId="0" fontId="14" fillId="0" borderId="0" applyNumberFormat="0" applyFont="0" applyFill="0" applyBorder="0" applyAlignment="0" applyProtection="0">
      <alignment vertical="top"/>
    </xf>
    <xf numFmtId="0" fontId="14" fillId="0" borderId="0" applyNumberFormat="0" applyFont="0" applyFill="0" applyBorder="0" applyAlignment="0" applyProtection="0">
      <alignment vertical="top"/>
    </xf>
    <xf numFmtId="0" fontId="14" fillId="0" borderId="0" applyNumberFormat="0" applyFont="0" applyFill="0" applyBorder="0" applyAlignment="0" applyProtection="0">
      <alignment vertical="top"/>
    </xf>
    <xf numFmtId="0" fontId="14" fillId="0" borderId="0" applyNumberFormat="0" applyFont="0" applyFill="0" applyBorder="0" applyAlignment="0" applyProtection="0">
      <alignment vertical="top"/>
    </xf>
    <xf numFmtId="0" fontId="14" fillId="0" borderId="0" applyNumberFormat="0" applyFont="0" applyFill="0" applyBorder="0" applyAlignment="0" applyProtection="0">
      <alignment vertical="top"/>
    </xf>
    <xf numFmtId="0" fontId="14" fillId="0" borderId="0" applyNumberFormat="0" applyFont="0" applyFill="0" applyBorder="0" applyAlignment="0" applyProtection="0">
      <alignment vertical="top"/>
    </xf>
    <xf numFmtId="0" fontId="14" fillId="0" borderId="0" applyNumberFormat="0" applyFont="0" applyFill="0" applyBorder="0" applyAlignment="0" applyProtection="0">
      <alignment vertical="top"/>
    </xf>
    <xf numFmtId="0" fontId="14" fillId="0" borderId="0" applyNumberFormat="0" applyFont="0" applyFill="0" applyBorder="0" applyAlignment="0" applyProtection="0">
      <alignment vertical="top"/>
    </xf>
    <xf numFmtId="0" fontId="14" fillId="0" borderId="0" applyNumberFormat="0" applyFont="0" applyFill="0" applyBorder="0" applyAlignment="0" applyProtection="0">
      <alignment vertical="top"/>
    </xf>
    <xf numFmtId="0" fontId="14" fillId="0" borderId="0" applyNumberFormat="0" applyFont="0" applyFill="0" applyBorder="0" applyAlignment="0" applyProtection="0">
      <alignment vertical="top"/>
    </xf>
    <xf numFmtId="0" fontId="14" fillId="0" borderId="0" applyNumberFormat="0" applyFont="0" applyFill="0" applyBorder="0" applyAlignment="0" applyProtection="0">
      <alignment vertical="top"/>
    </xf>
    <xf numFmtId="0" fontId="14" fillId="0" borderId="0" applyNumberFormat="0" applyFont="0" applyFill="0" applyBorder="0" applyAlignment="0" applyProtection="0">
      <alignment vertical="top"/>
    </xf>
    <xf numFmtId="0" fontId="14" fillId="0" borderId="0" applyNumberFormat="0" applyFont="0" applyFill="0" applyBorder="0" applyAlignment="0" applyProtection="0">
      <alignment vertical="top"/>
    </xf>
    <xf numFmtId="0" fontId="14" fillId="0" borderId="0" applyNumberFormat="0" applyFont="0" applyFill="0" applyBorder="0" applyAlignment="0" applyProtection="0">
      <alignment vertical="top"/>
    </xf>
    <xf numFmtId="0" fontId="14" fillId="0" borderId="0" applyNumberFormat="0" applyFont="0" applyFill="0" applyBorder="0" applyAlignment="0" applyProtection="0">
      <alignment vertical="top"/>
    </xf>
    <xf numFmtId="0" fontId="14" fillId="0" borderId="0" applyNumberFormat="0" applyFont="0" applyFill="0" applyBorder="0" applyAlignment="0" applyProtection="0">
      <alignment vertical="top"/>
    </xf>
    <xf numFmtId="0" fontId="14" fillId="0" borderId="0" applyNumberFormat="0" applyFont="0" applyFill="0" applyBorder="0" applyAlignment="0" applyProtection="0">
      <alignment vertical="top"/>
    </xf>
    <xf numFmtId="0" fontId="14" fillId="0" borderId="0" applyNumberFormat="0" applyFont="0" applyFill="0" applyBorder="0" applyAlignment="0" applyProtection="0">
      <alignment vertical="top"/>
    </xf>
    <xf numFmtId="0" fontId="14" fillId="0" borderId="0" applyNumberFormat="0" applyFont="0" applyFill="0" applyBorder="0" applyProtection="0">
      <alignment vertical="top"/>
    </xf>
    <xf numFmtId="0" fontId="14" fillId="0" borderId="0" applyNumberFormat="0" applyFont="0" applyFill="0" applyBorder="0" applyProtection="0">
      <alignment vertical="top"/>
    </xf>
    <xf numFmtId="0" fontId="14" fillId="0" borderId="0" applyNumberFormat="0" applyFont="0" applyFill="0" applyBorder="0" applyProtection="0">
      <alignment vertical="top"/>
    </xf>
    <xf numFmtId="0" fontId="14" fillId="0" borderId="0" applyNumberFormat="0" applyFont="0" applyFill="0" applyBorder="0" applyProtection="0">
      <alignment vertical="top"/>
    </xf>
    <xf numFmtId="0" fontId="14" fillId="0" borderId="0" applyNumberFormat="0" applyFont="0" applyFill="0" applyBorder="0" applyProtection="0">
      <alignment vertical="top"/>
    </xf>
    <xf numFmtId="0" fontId="14" fillId="0" borderId="0" applyNumberFormat="0" applyFont="0" applyFill="0" applyBorder="0" applyProtection="0">
      <alignment vertical="top"/>
    </xf>
    <xf numFmtId="0" fontId="14" fillId="0" borderId="0" applyNumberFormat="0" applyFont="0" applyFill="0" applyBorder="0" applyProtection="0">
      <alignment vertical="top"/>
    </xf>
    <xf numFmtId="0" fontId="14" fillId="0" borderId="0" applyNumberFormat="0" applyFont="0" applyFill="0" applyBorder="0" applyProtection="0">
      <alignment vertical="top"/>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53" fillId="20" borderId="0" applyNumberFormat="0" applyBorder="0" applyProtection="0"/>
    <xf numFmtId="0" fontId="153" fillId="20" borderId="0" applyNumberFormat="0" applyBorder="0" applyProtection="0"/>
    <xf numFmtId="0" fontId="153" fillId="20" borderId="0" applyNumberFormat="0" applyBorder="0" applyProtection="0"/>
    <xf numFmtId="0" fontId="153" fillId="20" borderId="0" applyNumberFormat="0" applyBorder="0" applyProtection="0"/>
    <xf numFmtId="0" fontId="46" fillId="16" borderId="0" applyNumberFormat="0" applyBorder="0" applyAlignment="0" applyProtection="0"/>
    <xf numFmtId="0" fontId="46" fillId="16" borderId="0" applyNumberFormat="0" applyBorder="0" applyAlignment="0" applyProtection="0"/>
    <xf numFmtId="0" fontId="46" fillId="16" borderId="0" applyNumberFormat="0" applyBorder="0" applyAlignment="0" applyProtection="0"/>
    <xf numFmtId="0" fontId="46" fillId="16" borderId="0" applyNumberFormat="0" applyBorder="0" applyAlignment="0" applyProtection="0"/>
    <xf numFmtId="0" fontId="46" fillId="16" borderId="0" applyNumberFormat="0" applyBorder="0" applyAlignment="0" applyProtection="0"/>
    <xf numFmtId="0" fontId="46" fillId="16" borderId="0" applyNumberFormat="0" applyBorder="0" applyAlignment="0" applyProtection="0"/>
    <xf numFmtId="0" fontId="46" fillId="16" borderId="0" applyNumberFormat="0" applyBorder="0" applyAlignment="0" applyProtection="0"/>
    <xf numFmtId="0" fontId="46" fillId="16" borderId="0" applyNumberFormat="0" applyBorder="0" applyAlignment="0" applyProtection="0"/>
    <xf numFmtId="0" fontId="46" fillId="16" borderId="0" applyNumberFormat="0" applyBorder="0" applyAlignment="0" applyProtection="0"/>
    <xf numFmtId="0" fontId="46" fillId="16" borderId="0" applyNumberFormat="0" applyBorder="0" applyAlignment="0" applyProtection="0"/>
    <xf numFmtId="0" fontId="46" fillId="16" borderId="0" applyNumberFormat="0" applyBorder="0" applyAlignment="0" applyProtection="0"/>
    <xf numFmtId="0" fontId="46" fillId="16" borderId="0" applyNumberFormat="0" applyBorder="0" applyAlignment="0" applyProtection="0"/>
    <xf numFmtId="0" fontId="46" fillId="16" borderId="0" applyNumberFormat="0" applyBorder="0" applyAlignment="0" applyProtection="0"/>
    <xf numFmtId="0" fontId="46" fillId="16" borderId="0" applyNumberFormat="0" applyBorder="0" applyAlignment="0" applyProtection="0"/>
    <xf numFmtId="0" fontId="46" fillId="16" borderId="0" applyNumberFormat="0" applyBorder="0" applyAlignment="0" applyProtection="0"/>
    <xf numFmtId="0" fontId="46" fillId="16" borderId="0" applyNumberFormat="0" applyBorder="0" applyAlignment="0" applyProtection="0"/>
    <xf numFmtId="0" fontId="46" fillId="16" borderId="0" applyNumberFormat="0" applyBorder="0" applyAlignment="0" applyProtection="0"/>
    <xf numFmtId="0" fontId="46" fillId="16" borderId="0" applyNumberFormat="0" applyBorder="0" applyAlignment="0" applyProtection="0"/>
    <xf numFmtId="0" fontId="46" fillId="16" borderId="0" applyNumberFormat="0" applyBorder="0" applyAlignment="0" applyProtection="0"/>
    <xf numFmtId="0" fontId="46" fillId="16" borderId="0" applyNumberFormat="0" applyBorder="0" applyAlignment="0" applyProtection="0"/>
    <xf numFmtId="0" fontId="46" fillId="93" borderId="0" applyNumberFormat="0" applyBorder="0" applyProtection="0"/>
    <xf numFmtId="0" fontId="46" fillId="93" borderId="0" applyNumberFormat="0" applyBorder="0" applyProtection="0"/>
    <xf numFmtId="0" fontId="46" fillId="93" borderId="0" applyNumberFormat="0" applyBorder="0" applyProtection="0"/>
    <xf numFmtId="0" fontId="46" fillId="93" borderId="0" applyNumberFormat="0" applyBorder="0" applyProtection="0"/>
    <xf numFmtId="0" fontId="46" fillId="93" borderId="0" applyNumberFormat="0" applyBorder="0" applyProtection="0"/>
    <xf numFmtId="0" fontId="46" fillId="93" borderId="0" applyNumberFormat="0" applyBorder="0" applyProtection="0"/>
    <xf numFmtId="0" fontId="46" fillId="93" borderId="0" applyNumberFormat="0" applyBorder="0" applyProtection="0"/>
    <xf numFmtId="0" fontId="46" fillId="93" borderId="0" applyNumberFormat="0" applyBorder="0" applyProtection="0"/>
    <xf numFmtId="0" fontId="46" fillId="16" borderId="0" applyNumberFormat="0" applyBorder="0" applyAlignment="0" applyProtection="0"/>
    <xf numFmtId="0" fontId="46" fillId="16" borderId="0" applyNumberFormat="0" applyBorder="0" applyAlignment="0" applyProtection="0"/>
    <xf numFmtId="0" fontId="46" fillId="16" borderId="0" applyNumberFormat="0" applyBorder="0" applyAlignment="0" applyProtection="0"/>
    <xf numFmtId="0" fontId="46" fillId="16" borderId="0" applyNumberFormat="0" applyBorder="0" applyAlignment="0" applyProtection="0"/>
    <xf numFmtId="0" fontId="46" fillId="16" borderId="0" applyNumberFormat="0" applyBorder="0" applyAlignment="0" applyProtection="0"/>
    <xf numFmtId="0" fontId="46" fillId="16" borderId="0" applyNumberFormat="0" applyBorder="0" applyAlignment="0" applyProtection="0"/>
    <xf numFmtId="0" fontId="46" fillId="16" borderId="0" applyNumberFormat="0" applyBorder="0" applyAlignment="0" applyProtection="0"/>
    <xf numFmtId="0" fontId="46" fillId="16" borderId="0" applyNumberFormat="0" applyBorder="0" applyAlignment="0" applyProtection="0"/>
    <xf numFmtId="0" fontId="46" fillId="16" borderId="0" applyNumberFormat="0" applyBorder="0" applyAlignment="0" applyProtection="0"/>
    <xf numFmtId="0" fontId="46" fillId="16" borderId="0" applyNumberFormat="0" applyBorder="0" applyAlignment="0" applyProtection="0"/>
    <xf numFmtId="0" fontId="46" fillId="16" borderId="0" applyNumberFormat="0" applyBorder="0" applyAlignment="0" applyProtection="0"/>
    <xf numFmtId="0" fontId="46" fillId="16" borderId="0" applyNumberFormat="0" applyBorder="0" applyAlignment="0" applyProtection="0"/>
    <xf numFmtId="0" fontId="46" fillId="16" borderId="0" applyNumberFormat="0" applyBorder="0" applyAlignment="0" applyProtection="0"/>
    <xf numFmtId="0" fontId="46" fillId="16" borderId="0" applyNumberFormat="0" applyBorder="0" applyAlignment="0" applyProtection="0"/>
    <xf numFmtId="0" fontId="46" fillId="16" borderId="0" applyNumberFormat="0" applyBorder="0" applyAlignment="0" applyProtection="0"/>
    <xf numFmtId="0" fontId="46" fillId="16" borderId="0" applyNumberFormat="0" applyBorder="0" applyAlignment="0" applyProtection="0"/>
    <xf numFmtId="0" fontId="46" fillId="16" borderId="0" applyNumberFormat="0" applyBorder="0" applyAlignment="0" applyProtection="0"/>
    <xf numFmtId="0" fontId="46" fillId="16" borderId="0" applyNumberFormat="0" applyBorder="0" applyAlignment="0" applyProtection="0"/>
    <xf numFmtId="0" fontId="46" fillId="16" borderId="0" applyNumberFormat="0" applyBorder="0" applyAlignment="0" applyProtection="0"/>
    <xf numFmtId="0" fontId="46" fillId="16" borderId="0" applyNumberFormat="0" applyBorder="0" applyAlignment="0" applyProtection="0"/>
    <xf numFmtId="0" fontId="46" fillId="93" borderId="0" applyNumberFormat="0" applyBorder="0" applyProtection="0"/>
    <xf numFmtId="0" fontId="46" fillId="93" borderId="0" applyNumberFormat="0" applyBorder="0" applyProtection="0"/>
    <xf numFmtId="0" fontId="46" fillId="93" borderId="0" applyNumberFormat="0" applyBorder="0" applyProtection="0"/>
    <xf numFmtId="0" fontId="46" fillId="93" borderId="0" applyNumberFormat="0" applyBorder="0" applyProtection="0"/>
    <xf numFmtId="0" fontId="46" fillId="93" borderId="0" applyNumberFormat="0" applyBorder="0" applyProtection="0"/>
    <xf numFmtId="0" fontId="46" fillId="93" borderId="0" applyNumberFormat="0" applyBorder="0" applyProtection="0"/>
    <xf numFmtId="0" fontId="46" fillId="93" borderId="0" applyNumberFormat="0" applyBorder="0" applyProtection="0"/>
    <xf numFmtId="0" fontId="46" fillId="93" borderId="0" applyNumberFormat="0" applyBorder="0" applyProtection="0"/>
    <xf numFmtId="0" fontId="46" fillId="16" borderId="0" applyNumberFormat="0" applyBorder="0" applyAlignment="0" applyProtection="0"/>
    <xf numFmtId="0" fontId="46" fillId="16" borderId="0" applyNumberFormat="0" applyBorder="0" applyAlignment="0" applyProtection="0"/>
    <xf numFmtId="0" fontId="46" fillId="16" borderId="0" applyNumberFormat="0" applyBorder="0" applyAlignment="0" applyProtection="0"/>
    <xf numFmtId="0" fontId="46" fillId="16" borderId="0" applyNumberFormat="0" applyBorder="0" applyAlignment="0" applyProtection="0"/>
    <xf numFmtId="0" fontId="46" fillId="16" borderId="0" applyNumberFormat="0" applyBorder="0" applyAlignment="0" applyProtection="0"/>
    <xf numFmtId="0" fontId="46" fillId="16" borderId="0" applyNumberFormat="0" applyBorder="0" applyAlignment="0" applyProtection="0"/>
    <xf numFmtId="0" fontId="46" fillId="16" borderId="0" applyNumberFormat="0" applyBorder="0" applyAlignment="0" applyProtection="0"/>
    <xf numFmtId="0" fontId="46" fillId="16" borderId="0" applyNumberFormat="0" applyBorder="0" applyAlignment="0" applyProtection="0"/>
    <xf numFmtId="0" fontId="46" fillId="16" borderId="0" applyNumberFormat="0" applyBorder="0" applyAlignment="0" applyProtection="0"/>
    <xf numFmtId="0" fontId="46" fillId="16" borderId="0" applyNumberFormat="0" applyBorder="0" applyAlignment="0" applyProtection="0"/>
    <xf numFmtId="0" fontId="46" fillId="16" borderId="0" applyNumberFormat="0" applyBorder="0" applyAlignment="0" applyProtection="0"/>
    <xf numFmtId="0" fontId="46" fillId="16" borderId="0" applyNumberFormat="0" applyBorder="0" applyAlignment="0" applyProtection="0"/>
    <xf numFmtId="0" fontId="46" fillId="16" borderId="0" applyNumberFormat="0" applyBorder="0" applyAlignment="0" applyProtection="0"/>
    <xf numFmtId="0" fontId="46" fillId="16" borderId="0" applyNumberFormat="0" applyBorder="0" applyAlignment="0" applyProtection="0"/>
    <xf numFmtId="0" fontId="46" fillId="16" borderId="0" applyNumberFormat="0" applyBorder="0" applyAlignment="0" applyProtection="0"/>
    <xf numFmtId="0" fontId="46" fillId="16" borderId="0" applyNumberFormat="0" applyBorder="0" applyAlignment="0" applyProtection="0"/>
    <xf numFmtId="0" fontId="46" fillId="16" borderId="0" applyNumberFormat="0" applyBorder="0" applyAlignment="0" applyProtection="0"/>
    <xf numFmtId="0" fontId="46" fillId="16" borderId="0" applyNumberFormat="0" applyBorder="0" applyAlignment="0" applyProtection="0"/>
    <xf numFmtId="0" fontId="46" fillId="16" borderId="0" applyNumberFormat="0" applyBorder="0" applyAlignment="0" applyProtection="0"/>
    <xf numFmtId="0" fontId="46" fillId="16" borderId="0" applyNumberFormat="0" applyBorder="0" applyAlignment="0" applyProtection="0"/>
    <xf numFmtId="0" fontId="46" fillId="93" borderId="0" applyNumberFormat="0" applyBorder="0" applyProtection="0"/>
    <xf numFmtId="0" fontId="46" fillId="93" borderId="0" applyNumberFormat="0" applyBorder="0" applyProtection="0"/>
    <xf numFmtId="0" fontId="46" fillId="93" borderId="0" applyNumberFormat="0" applyBorder="0" applyProtection="0"/>
    <xf numFmtId="0" fontId="46" fillId="93" borderId="0" applyNumberFormat="0" applyBorder="0" applyProtection="0"/>
    <xf numFmtId="0" fontId="46" fillId="93" borderId="0" applyNumberFormat="0" applyBorder="0" applyProtection="0"/>
    <xf numFmtId="0" fontId="46" fillId="93" borderId="0" applyNumberFormat="0" applyBorder="0" applyProtection="0"/>
    <xf numFmtId="0" fontId="46" fillId="93" borderId="0" applyNumberFormat="0" applyBorder="0" applyProtection="0"/>
    <xf numFmtId="0" fontId="46" fillId="93" borderId="0" applyNumberFormat="0" applyBorder="0" applyProtection="0"/>
    <xf numFmtId="0" fontId="46" fillId="16" borderId="0" applyNumberFormat="0" applyBorder="0" applyAlignment="0" applyProtection="0"/>
    <xf numFmtId="0" fontId="46" fillId="16" borderId="0" applyNumberFormat="0" applyBorder="0" applyAlignment="0" applyProtection="0"/>
    <xf numFmtId="0" fontId="46" fillId="16" borderId="0" applyNumberFormat="0" applyBorder="0" applyAlignment="0" applyProtection="0"/>
    <xf numFmtId="0" fontId="46" fillId="16" borderId="0" applyNumberFormat="0" applyBorder="0" applyAlignment="0" applyProtection="0"/>
    <xf numFmtId="0" fontId="46" fillId="16" borderId="0" applyNumberFormat="0" applyBorder="0" applyAlignment="0" applyProtection="0"/>
    <xf numFmtId="0" fontId="46" fillId="16" borderId="0" applyNumberFormat="0" applyBorder="0" applyAlignment="0" applyProtection="0"/>
    <xf numFmtId="0" fontId="46" fillId="16" borderId="0" applyNumberFormat="0" applyBorder="0" applyAlignment="0" applyProtection="0"/>
    <xf numFmtId="0" fontId="46" fillId="16" borderId="0" applyNumberFormat="0" applyBorder="0" applyAlignment="0" applyProtection="0"/>
    <xf numFmtId="0" fontId="46" fillId="16" borderId="0" applyNumberFormat="0" applyBorder="0" applyAlignment="0" applyProtection="0"/>
    <xf numFmtId="0" fontId="46" fillId="16" borderId="0" applyNumberFormat="0" applyBorder="0" applyAlignment="0" applyProtection="0"/>
    <xf numFmtId="0" fontId="46" fillId="16" borderId="0" applyNumberFormat="0" applyBorder="0" applyAlignment="0" applyProtection="0"/>
    <xf numFmtId="0" fontId="46" fillId="16" borderId="0" applyNumberFormat="0" applyBorder="0" applyAlignment="0" applyProtection="0"/>
    <xf numFmtId="0" fontId="46" fillId="16" borderId="0" applyNumberFormat="0" applyBorder="0" applyAlignment="0" applyProtection="0"/>
    <xf numFmtId="0" fontId="46" fillId="16" borderId="0" applyNumberFormat="0" applyBorder="0" applyAlignment="0" applyProtection="0"/>
    <xf numFmtId="0" fontId="46" fillId="16" borderId="0" applyNumberFormat="0" applyBorder="0" applyAlignment="0" applyProtection="0"/>
    <xf numFmtId="0" fontId="46" fillId="16" borderId="0" applyNumberFormat="0" applyBorder="0" applyAlignment="0" applyProtection="0"/>
    <xf numFmtId="0" fontId="46" fillId="16" borderId="0" applyNumberFormat="0" applyBorder="0" applyAlignment="0" applyProtection="0"/>
    <xf numFmtId="0" fontId="46" fillId="16" borderId="0" applyNumberFormat="0" applyBorder="0" applyAlignment="0" applyProtection="0"/>
    <xf numFmtId="0" fontId="46" fillId="16" borderId="0" applyNumberFormat="0" applyBorder="0" applyAlignment="0" applyProtection="0"/>
    <xf numFmtId="0" fontId="46" fillId="16" borderId="0" applyNumberFormat="0" applyBorder="0" applyAlignment="0" applyProtection="0"/>
    <xf numFmtId="0" fontId="46" fillId="93" borderId="0" applyNumberFormat="0" applyBorder="0" applyProtection="0"/>
    <xf numFmtId="0" fontId="46" fillId="93" borderId="0" applyNumberFormat="0" applyBorder="0" applyProtection="0"/>
    <xf numFmtId="0" fontId="46" fillId="93" borderId="0" applyNumberFormat="0" applyBorder="0" applyProtection="0"/>
    <xf numFmtId="0" fontId="46" fillId="93" borderId="0" applyNumberFormat="0" applyBorder="0" applyProtection="0"/>
    <xf numFmtId="0" fontId="46" fillId="93" borderId="0" applyNumberFormat="0" applyBorder="0" applyProtection="0"/>
    <xf numFmtId="0" fontId="46" fillId="93" borderId="0" applyNumberFormat="0" applyBorder="0" applyProtection="0"/>
    <xf numFmtId="0" fontId="46" fillId="93" borderId="0" applyNumberFormat="0" applyBorder="0" applyProtection="0"/>
    <xf numFmtId="0" fontId="46" fillId="93" borderId="0" applyNumberFormat="0" applyBorder="0" applyProtection="0"/>
    <xf numFmtId="0" fontId="154" fillId="136" borderId="0" applyNumberFormat="0" applyBorder="0" applyProtection="0"/>
    <xf numFmtId="0" fontId="154" fillId="136" borderId="0" applyNumberFormat="0" applyBorder="0" applyProtection="0"/>
    <xf numFmtId="0" fontId="154" fillId="136" borderId="0" applyNumberFormat="0" applyBorder="0" applyProtection="0"/>
    <xf numFmtId="0" fontId="154" fillId="136" borderId="0" applyNumberFormat="0" applyBorder="0" applyProtection="0"/>
    <xf numFmtId="0" fontId="154" fillId="136" borderId="0" applyNumberFormat="0" applyBorder="0" applyProtection="0"/>
    <xf numFmtId="0" fontId="154" fillId="136" borderId="0" applyNumberFormat="0" applyBorder="0" applyProtection="0"/>
    <xf numFmtId="0" fontId="154" fillId="136" borderId="0" applyNumberFormat="0" applyBorder="0" applyProtection="0"/>
    <xf numFmtId="0" fontId="154" fillId="136" borderId="0" applyNumberFormat="0" applyBorder="0" applyProtection="0"/>
    <xf numFmtId="0" fontId="153" fillId="34" borderId="0" applyNumberFormat="0" applyBorder="0" applyAlignment="0" applyProtection="0"/>
    <xf numFmtId="0" fontId="153" fillId="34" borderId="0" applyNumberFormat="0" applyBorder="0" applyAlignment="0" applyProtection="0"/>
    <xf numFmtId="0" fontId="153" fillId="34" borderId="0" applyNumberFormat="0" applyBorder="0" applyAlignment="0" applyProtection="0"/>
    <xf numFmtId="0" fontId="153" fillId="34" borderId="0" applyNumberFormat="0" applyBorder="0" applyAlignment="0" applyProtection="0"/>
    <xf numFmtId="0" fontId="153" fillId="34" borderId="0" applyNumberFormat="0" applyBorder="0" applyAlignment="0" applyProtection="0"/>
    <xf numFmtId="0" fontId="153" fillId="34" borderId="0" applyNumberFormat="0" applyBorder="0" applyAlignment="0" applyProtection="0"/>
    <xf numFmtId="0" fontId="153" fillId="34" borderId="0" applyNumberFormat="0" applyBorder="0" applyAlignment="0" applyProtection="0"/>
    <xf numFmtId="0" fontId="153" fillId="34" borderId="0" applyNumberFormat="0" applyBorder="0" applyAlignment="0" applyProtection="0"/>
    <xf numFmtId="0" fontId="153" fillId="34" borderId="0" applyNumberFormat="0" applyBorder="0" applyAlignment="0" applyProtection="0"/>
    <xf numFmtId="0" fontId="153" fillId="34" borderId="0" applyNumberFormat="0" applyBorder="0" applyAlignment="0" applyProtection="0"/>
    <xf numFmtId="0" fontId="153" fillId="34" borderId="0" applyNumberFormat="0" applyBorder="0" applyAlignment="0" applyProtection="0"/>
    <xf numFmtId="0" fontId="153" fillId="34" borderId="0" applyNumberFormat="0" applyBorder="0" applyAlignment="0" applyProtection="0"/>
    <xf numFmtId="0" fontId="153" fillId="34" borderId="0" applyNumberFormat="0" applyBorder="0" applyAlignment="0" applyProtection="0"/>
    <xf numFmtId="0" fontId="153" fillId="34" borderId="0" applyNumberFormat="0" applyBorder="0" applyAlignment="0" applyProtection="0"/>
    <xf numFmtId="0" fontId="153" fillId="34" borderId="0" applyNumberFormat="0" applyBorder="0" applyAlignment="0" applyProtection="0"/>
    <xf numFmtId="0" fontId="153" fillId="34" borderId="0" applyNumberFormat="0" applyBorder="0" applyAlignment="0" applyProtection="0"/>
    <xf numFmtId="0" fontId="153" fillId="34" borderId="0" applyNumberFormat="0" applyBorder="0" applyAlignment="0" applyProtection="0"/>
    <xf numFmtId="0" fontId="153" fillId="34" borderId="0" applyNumberFormat="0" applyBorder="0" applyAlignment="0" applyProtection="0"/>
    <xf numFmtId="0" fontId="153" fillId="34" borderId="0" applyNumberFormat="0" applyBorder="0" applyAlignment="0" applyProtection="0"/>
    <xf numFmtId="0" fontId="153" fillId="34" borderId="0" applyNumberFormat="0" applyBorder="0" applyAlignment="0" applyProtection="0"/>
    <xf numFmtId="0" fontId="153" fillId="20" borderId="0" applyNumberFormat="0" applyBorder="0" applyProtection="0"/>
    <xf numFmtId="0" fontId="153" fillId="20" borderId="0" applyNumberFormat="0" applyBorder="0" applyProtection="0"/>
    <xf numFmtId="0" fontId="153" fillId="20" borderId="0" applyNumberFormat="0" applyBorder="0" applyProtection="0"/>
    <xf numFmtId="0" fontId="153" fillId="20" borderId="0" applyNumberFormat="0" applyBorder="0" applyProtection="0"/>
    <xf numFmtId="0" fontId="153" fillId="34" borderId="0" applyNumberFormat="0" applyBorder="0" applyAlignment="0" applyProtection="0"/>
    <xf numFmtId="0" fontId="153" fillId="34" borderId="0" applyNumberFormat="0" applyBorder="0" applyAlignment="0" applyProtection="0"/>
    <xf numFmtId="0" fontId="153" fillId="34" borderId="0" applyNumberFormat="0" applyBorder="0" applyAlignment="0" applyProtection="0"/>
    <xf numFmtId="0" fontId="153" fillId="34" borderId="0" applyNumberFormat="0" applyBorder="0" applyAlignment="0" applyProtection="0"/>
    <xf numFmtId="0" fontId="153" fillId="34" borderId="0" applyNumberFormat="0" applyBorder="0" applyAlignment="0" applyProtection="0"/>
    <xf numFmtId="0" fontId="153" fillId="34" borderId="0" applyNumberFormat="0" applyBorder="0" applyAlignment="0" applyProtection="0"/>
    <xf numFmtId="0" fontId="153" fillId="34" borderId="0" applyNumberFormat="0" applyBorder="0" applyAlignment="0" applyProtection="0"/>
    <xf numFmtId="0" fontId="153" fillId="34" borderId="0" applyNumberFormat="0" applyBorder="0" applyAlignment="0" applyProtection="0"/>
    <xf numFmtId="0" fontId="153" fillId="34" borderId="0" applyNumberFormat="0" applyBorder="0" applyAlignment="0" applyProtection="0"/>
    <xf numFmtId="0" fontId="153" fillId="34" borderId="0" applyNumberFormat="0" applyBorder="0" applyAlignment="0" applyProtection="0"/>
    <xf numFmtId="0" fontId="153" fillId="34" borderId="0" applyNumberFormat="0" applyBorder="0" applyAlignment="0" applyProtection="0"/>
    <xf numFmtId="0" fontId="153" fillId="34" borderId="0" applyNumberFormat="0" applyBorder="0" applyAlignment="0" applyProtection="0"/>
    <xf numFmtId="0" fontId="153" fillId="34" borderId="0" applyNumberFormat="0" applyBorder="0" applyAlignment="0" applyProtection="0"/>
    <xf numFmtId="0" fontId="153" fillId="34" borderId="0" applyNumberFormat="0" applyBorder="0" applyAlignment="0" applyProtection="0"/>
    <xf numFmtId="0" fontId="153" fillId="34" borderId="0" applyNumberFormat="0" applyBorder="0" applyAlignment="0" applyProtection="0"/>
    <xf numFmtId="0" fontId="153" fillId="34" borderId="0" applyNumberFormat="0" applyBorder="0" applyAlignment="0" applyProtection="0"/>
    <xf numFmtId="0" fontId="153" fillId="34" borderId="0" applyNumberFormat="0" applyBorder="0" applyAlignment="0" applyProtection="0"/>
    <xf numFmtId="0" fontId="153" fillId="34" borderId="0" applyNumberFormat="0" applyBorder="0" applyAlignment="0" applyProtection="0"/>
    <xf numFmtId="0" fontId="153" fillId="34" borderId="0" applyNumberFormat="0" applyBorder="0" applyAlignment="0" applyProtection="0"/>
    <xf numFmtId="0" fontId="153" fillId="34" borderId="0" applyNumberFormat="0" applyBorder="0" applyAlignment="0" applyProtection="0"/>
    <xf numFmtId="0" fontId="153" fillId="20" borderId="0" applyNumberFormat="0" applyBorder="0" applyProtection="0"/>
    <xf numFmtId="0" fontId="153" fillId="20" borderId="0" applyNumberFormat="0" applyBorder="0" applyProtection="0"/>
    <xf numFmtId="0" fontId="153" fillId="20" borderId="0" applyNumberFormat="0" applyBorder="0" applyProtection="0"/>
    <xf numFmtId="0" fontId="153" fillId="20" borderId="0" applyNumberFormat="0" applyBorder="0" applyProtection="0"/>
    <xf numFmtId="0" fontId="153" fillId="20" borderId="0" applyNumberFormat="0" applyBorder="0" applyProtection="0"/>
    <xf numFmtId="0" fontId="153" fillId="20" borderId="0" applyNumberFormat="0" applyBorder="0" applyProtection="0"/>
    <xf numFmtId="0" fontId="153" fillId="20" borderId="0" applyNumberFormat="0" applyBorder="0" applyProtection="0"/>
    <xf numFmtId="0" fontId="153" fillId="20" borderId="0" applyNumberFormat="0" applyBorder="0" applyProtection="0"/>
    <xf numFmtId="0" fontId="153" fillId="34" borderId="0" applyNumberFormat="0" applyBorder="0" applyAlignment="0" applyProtection="0"/>
    <xf numFmtId="0" fontId="153" fillId="34" borderId="0" applyNumberFormat="0" applyBorder="0" applyAlignment="0" applyProtection="0"/>
    <xf numFmtId="0" fontId="153" fillId="34" borderId="0" applyNumberFormat="0" applyBorder="0" applyAlignment="0" applyProtection="0"/>
    <xf numFmtId="0" fontId="153" fillId="34" borderId="0" applyNumberFormat="0" applyBorder="0" applyAlignment="0" applyProtection="0"/>
    <xf numFmtId="0" fontId="153" fillId="34" borderId="0" applyNumberFormat="0" applyBorder="0" applyAlignment="0" applyProtection="0"/>
    <xf numFmtId="0" fontId="153" fillId="34" borderId="0" applyNumberFormat="0" applyBorder="0" applyAlignment="0" applyProtection="0"/>
    <xf numFmtId="0" fontId="153" fillId="34" borderId="0" applyNumberFormat="0" applyBorder="0" applyAlignment="0" applyProtection="0"/>
    <xf numFmtId="0" fontId="153" fillId="34" borderId="0" applyNumberFormat="0" applyBorder="0" applyAlignment="0" applyProtection="0"/>
    <xf numFmtId="0" fontId="153" fillId="34" borderId="0" applyNumberFormat="0" applyBorder="0" applyAlignment="0" applyProtection="0"/>
    <xf numFmtId="0" fontId="153" fillId="34" borderId="0" applyNumberFormat="0" applyBorder="0" applyAlignment="0" applyProtection="0"/>
    <xf numFmtId="0" fontId="153" fillId="34" borderId="0" applyNumberFormat="0" applyBorder="0" applyAlignment="0" applyProtection="0"/>
    <xf numFmtId="0" fontId="153" fillId="34" borderId="0" applyNumberFormat="0" applyBorder="0" applyAlignment="0" applyProtection="0"/>
    <xf numFmtId="0" fontId="153" fillId="34" borderId="0" applyNumberFormat="0" applyBorder="0" applyAlignment="0" applyProtection="0"/>
    <xf numFmtId="0" fontId="153" fillId="34" borderId="0" applyNumberFormat="0" applyBorder="0" applyAlignment="0" applyProtection="0"/>
    <xf numFmtId="0" fontId="153" fillId="34" borderId="0" applyNumberFormat="0" applyBorder="0" applyAlignment="0" applyProtection="0"/>
    <xf numFmtId="0" fontId="153" fillId="34" borderId="0" applyNumberFormat="0" applyBorder="0" applyAlignment="0" applyProtection="0"/>
    <xf numFmtId="0" fontId="153" fillId="34" borderId="0" applyNumberFormat="0" applyBorder="0" applyAlignment="0" applyProtection="0"/>
    <xf numFmtId="0" fontId="153" fillId="34" borderId="0" applyNumberFormat="0" applyBorder="0" applyAlignment="0" applyProtection="0"/>
    <xf numFmtId="0" fontId="153" fillId="34" borderId="0" applyNumberFormat="0" applyBorder="0" applyAlignment="0" applyProtection="0"/>
    <xf numFmtId="0" fontId="153" fillId="34" borderId="0" applyNumberFormat="0" applyBorder="0" applyAlignment="0" applyProtection="0"/>
    <xf numFmtId="0" fontId="153" fillId="20" borderId="0" applyNumberFormat="0" applyBorder="0" applyProtection="0"/>
    <xf numFmtId="0" fontId="153" fillId="20" borderId="0" applyNumberFormat="0" applyBorder="0" applyProtection="0"/>
    <xf numFmtId="0" fontId="153" fillId="20" borderId="0" applyNumberFormat="0" applyBorder="0" applyProtection="0"/>
    <xf numFmtId="0" fontId="153" fillId="20" borderId="0" applyNumberFormat="0" applyBorder="0" applyProtection="0"/>
    <xf numFmtId="0" fontId="153" fillId="20" borderId="0" applyNumberFormat="0" applyBorder="0" applyProtection="0"/>
    <xf numFmtId="0" fontId="153" fillId="20" borderId="0" applyNumberFormat="0" applyBorder="0" applyProtection="0"/>
    <xf numFmtId="0" fontId="153" fillId="20" borderId="0" applyNumberFormat="0" applyBorder="0" applyProtection="0"/>
    <xf numFmtId="0" fontId="153" fillId="20" borderId="0" applyNumberFormat="0" applyBorder="0" applyProtection="0"/>
    <xf numFmtId="0" fontId="153" fillId="34" borderId="0" applyNumberFormat="0" applyBorder="0" applyAlignment="0" applyProtection="0"/>
    <xf numFmtId="0" fontId="153" fillId="34" borderId="0" applyNumberFormat="0" applyBorder="0" applyAlignment="0" applyProtection="0"/>
    <xf numFmtId="0" fontId="153" fillId="34" borderId="0" applyNumberFormat="0" applyBorder="0" applyAlignment="0" applyProtection="0"/>
    <xf numFmtId="0" fontId="153" fillId="34" borderId="0" applyNumberFormat="0" applyBorder="0" applyAlignment="0" applyProtection="0"/>
    <xf numFmtId="0" fontId="153" fillId="34" borderId="0" applyNumberFormat="0" applyBorder="0" applyAlignment="0" applyProtection="0"/>
    <xf numFmtId="0" fontId="153" fillId="34" borderId="0" applyNumberFormat="0" applyBorder="0" applyAlignment="0" applyProtection="0"/>
    <xf numFmtId="0" fontId="153" fillId="34" borderId="0" applyNumberFormat="0" applyBorder="0" applyAlignment="0" applyProtection="0"/>
    <xf numFmtId="0" fontId="153" fillId="34" borderId="0" applyNumberFormat="0" applyBorder="0" applyAlignment="0" applyProtection="0"/>
    <xf numFmtId="0" fontId="153" fillId="34" borderId="0" applyNumberFormat="0" applyBorder="0" applyAlignment="0" applyProtection="0"/>
    <xf numFmtId="0" fontId="153" fillId="34" borderId="0" applyNumberFormat="0" applyBorder="0" applyAlignment="0" applyProtection="0"/>
    <xf numFmtId="0" fontId="153" fillId="34" borderId="0" applyNumberFormat="0" applyBorder="0" applyAlignment="0" applyProtection="0"/>
    <xf numFmtId="0" fontId="153" fillId="34" borderId="0" applyNumberFormat="0" applyBorder="0" applyAlignment="0" applyProtection="0"/>
    <xf numFmtId="0" fontId="153" fillId="34" borderId="0" applyNumberFormat="0" applyBorder="0" applyAlignment="0" applyProtection="0"/>
    <xf numFmtId="0" fontId="153" fillId="34" borderId="0" applyNumberFormat="0" applyBorder="0" applyAlignment="0" applyProtection="0"/>
    <xf numFmtId="0" fontId="153" fillId="34" borderId="0" applyNumberFormat="0" applyBorder="0" applyAlignment="0" applyProtection="0"/>
    <xf numFmtId="0" fontId="153" fillId="34" borderId="0" applyNumberFormat="0" applyBorder="0" applyAlignment="0" applyProtection="0"/>
    <xf numFmtId="0" fontId="153" fillId="34" borderId="0" applyNumberFormat="0" applyBorder="0" applyAlignment="0" applyProtection="0"/>
    <xf numFmtId="0" fontId="153" fillId="34" borderId="0" applyNumberFormat="0" applyBorder="0" applyAlignment="0" applyProtection="0"/>
    <xf numFmtId="0" fontId="153" fillId="34" borderId="0" applyNumberFormat="0" applyBorder="0" applyAlignment="0" applyProtection="0"/>
    <xf numFmtId="0" fontId="153" fillId="34" borderId="0" applyNumberFormat="0" applyBorder="0" applyAlignment="0" applyProtection="0"/>
    <xf numFmtId="0" fontId="153" fillId="20" borderId="0" applyNumberFormat="0" applyBorder="0" applyProtection="0"/>
    <xf numFmtId="0" fontId="153" fillId="20" borderId="0" applyNumberFormat="0" applyBorder="0" applyProtection="0"/>
    <xf numFmtId="0" fontId="153" fillId="20" borderId="0" applyNumberFormat="0" applyBorder="0" applyProtection="0"/>
    <xf numFmtId="0" fontId="153" fillId="20" borderId="0" applyNumberFormat="0" applyBorder="0" applyProtection="0"/>
    <xf numFmtId="0" fontId="153" fillId="20" borderId="0" applyNumberFormat="0" applyBorder="0" applyProtection="0"/>
    <xf numFmtId="0" fontId="153" fillId="20" borderId="0" applyNumberFormat="0" applyBorder="0" applyProtection="0"/>
    <xf numFmtId="0" fontId="153" fillId="20" borderId="0" applyNumberFormat="0" applyBorder="0" applyProtection="0"/>
    <xf numFmtId="0" fontId="153" fillId="20" borderId="0" applyNumberFormat="0" applyBorder="0" applyProtection="0"/>
    <xf numFmtId="0" fontId="153" fillId="34" borderId="0" applyNumberFormat="0" applyBorder="0" applyAlignment="0" applyProtection="0"/>
    <xf numFmtId="0" fontId="153" fillId="34" borderId="0" applyNumberFormat="0" applyBorder="0" applyAlignment="0" applyProtection="0"/>
    <xf numFmtId="0" fontId="153" fillId="34" borderId="0" applyNumberFormat="0" applyBorder="0" applyAlignment="0" applyProtection="0"/>
    <xf numFmtId="0" fontId="153" fillId="34" borderId="0" applyNumberFormat="0" applyBorder="0" applyAlignment="0" applyProtection="0"/>
    <xf numFmtId="0" fontId="153" fillId="34" borderId="0" applyNumberFormat="0" applyBorder="0" applyAlignment="0" applyProtection="0"/>
    <xf numFmtId="0" fontId="153" fillId="34" borderId="0" applyNumberFormat="0" applyBorder="0" applyAlignment="0" applyProtection="0"/>
    <xf numFmtId="0" fontId="153" fillId="34" borderId="0" applyNumberFormat="0" applyBorder="0" applyAlignment="0" applyProtection="0"/>
    <xf numFmtId="0" fontId="153" fillId="34" borderId="0" applyNumberFormat="0" applyBorder="0" applyAlignment="0" applyProtection="0"/>
    <xf numFmtId="0" fontId="153" fillId="34" borderId="0" applyNumberFormat="0" applyBorder="0" applyAlignment="0" applyProtection="0"/>
    <xf numFmtId="0" fontId="153" fillId="34" borderId="0" applyNumberFormat="0" applyBorder="0" applyAlignment="0" applyProtection="0"/>
    <xf numFmtId="0" fontId="153" fillId="34" borderId="0" applyNumberFormat="0" applyBorder="0" applyAlignment="0" applyProtection="0"/>
    <xf numFmtId="0" fontId="153" fillId="34" borderId="0" applyNumberFormat="0" applyBorder="0" applyAlignment="0" applyProtection="0"/>
    <xf numFmtId="0" fontId="153" fillId="34" borderId="0" applyNumberFormat="0" applyBorder="0" applyAlignment="0" applyProtection="0"/>
    <xf numFmtId="0" fontId="153" fillId="34" borderId="0" applyNumberFormat="0" applyBorder="0" applyAlignment="0" applyProtection="0"/>
    <xf numFmtId="0" fontId="153" fillId="34" borderId="0" applyNumberFormat="0" applyBorder="0" applyAlignment="0" applyProtection="0"/>
    <xf numFmtId="0" fontId="153" fillId="34" borderId="0" applyNumberFormat="0" applyBorder="0" applyAlignment="0" applyProtection="0"/>
    <xf numFmtId="0" fontId="153" fillId="34" borderId="0" applyNumberFormat="0" applyBorder="0" applyAlignment="0" applyProtection="0"/>
    <xf numFmtId="0" fontId="153" fillId="34" borderId="0" applyNumberFormat="0" applyBorder="0" applyAlignment="0" applyProtection="0"/>
    <xf numFmtId="0" fontId="153" fillId="34" borderId="0" applyNumberFormat="0" applyBorder="0" applyAlignment="0" applyProtection="0"/>
    <xf numFmtId="0" fontId="153" fillId="34" borderId="0" applyNumberFormat="0" applyBorder="0" applyAlignment="0" applyProtection="0"/>
    <xf numFmtId="0" fontId="153" fillId="20" borderId="0" applyNumberFormat="0" applyBorder="0" applyProtection="0"/>
    <xf numFmtId="0" fontId="153" fillId="20" borderId="0" applyNumberFormat="0" applyBorder="0" applyProtection="0"/>
    <xf numFmtId="0" fontId="153" fillId="20" borderId="0" applyNumberFormat="0" applyBorder="0" applyProtection="0"/>
    <xf numFmtId="0" fontId="153" fillId="20" borderId="0" applyNumberFormat="0" applyBorder="0" applyProtection="0"/>
    <xf numFmtId="0" fontId="153" fillId="20" borderId="0" applyNumberFormat="0" applyBorder="0" applyProtection="0"/>
    <xf numFmtId="0" fontId="153" fillId="20" borderId="0" applyNumberFormat="0" applyBorder="0" applyProtection="0"/>
    <xf numFmtId="0" fontId="153" fillId="20" borderId="0" applyNumberFormat="0" applyBorder="0" applyProtection="0"/>
    <xf numFmtId="0" fontId="153" fillId="20" borderId="0" applyNumberFormat="0" applyBorder="0" applyProtection="0"/>
    <xf numFmtId="0" fontId="158" fillId="0" borderId="0" applyNumberFormat="0" applyFill="0" applyBorder="0" applyProtection="0"/>
    <xf numFmtId="0" fontId="158" fillId="0" borderId="0" applyNumberFormat="0" applyFill="0" applyBorder="0" applyProtection="0"/>
    <xf numFmtId="0" fontId="158" fillId="0" borderId="0" applyNumberFormat="0" applyFill="0" applyBorder="0" applyProtection="0"/>
    <xf numFmtId="0" fontId="158" fillId="0" borderId="0" applyNumberFormat="0" applyFill="0" applyBorder="0" applyProtection="0"/>
    <xf numFmtId="0" fontId="158" fillId="0" borderId="0" applyNumberFormat="0" applyFill="0" applyBorder="0" applyProtection="0"/>
    <xf numFmtId="0" fontId="158" fillId="0" borderId="0" applyNumberFormat="0" applyFill="0" applyBorder="0" applyProtection="0"/>
    <xf numFmtId="0" fontId="158" fillId="0" borderId="0" applyNumberFormat="0" applyFill="0" applyBorder="0" applyProtection="0"/>
    <xf numFmtId="0" fontId="158" fillId="0" borderId="0" applyNumberFormat="0" applyFill="0" applyBorder="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Protection="0"/>
    <xf numFmtId="0" fontId="157" fillId="0" borderId="0" applyNumberFormat="0" applyFill="0" applyBorder="0" applyProtection="0"/>
    <xf numFmtId="0" fontId="157" fillId="0" borderId="0" applyNumberFormat="0" applyFill="0" applyBorder="0" applyProtection="0"/>
    <xf numFmtId="0" fontId="157" fillId="0" borderId="0" applyNumberFormat="0" applyFill="0" applyBorder="0" applyProtection="0"/>
    <xf numFmtId="0" fontId="157" fillId="0" borderId="0" applyNumberFormat="0" applyFill="0" applyBorder="0" applyProtection="0"/>
    <xf numFmtId="0" fontId="157" fillId="0" borderId="0" applyNumberFormat="0" applyFill="0" applyBorder="0" applyProtection="0"/>
    <xf numFmtId="0" fontId="157" fillId="0" borderId="0" applyNumberFormat="0" applyFill="0" applyBorder="0" applyProtection="0"/>
    <xf numFmtId="0" fontId="157" fillId="0" borderId="0" applyNumberFormat="0" applyFill="0" applyBorder="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Protection="0"/>
    <xf numFmtId="0" fontId="157" fillId="0" borderId="0" applyNumberFormat="0" applyFill="0" applyBorder="0" applyProtection="0"/>
    <xf numFmtId="0" fontId="157" fillId="0" borderId="0" applyNumberFormat="0" applyFill="0" applyBorder="0" applyProtection="0"/>
    <xf numFmtId="0" fontId="157" fillId="0" borderId="0" applyNumberFormat="0" applyFill="0" applyBorder="0" applyProtection="0"/>
    <xf numFmtId="0" fontId="157" fillId="0" borderId="0" applyNumberFormat="0" applyFill="0" applyBorder="0" applyProtection="0"/>
    <xf numFmtId="0" fontId="157" fillId="0" borderId="0" applyNumberFormat="0" applyFill="0" applyBorder="0" applyProtection="0"/>
    <xf numFmtId="0" fontId="157" fillId="0" borderId="0" applyNumberFormat="0" applyFill="0" applyBorder="0" applyProtection="0"/>
    <xf numFmtId="0" fontId="157" fillId="0" borderId="0" applyNumberFormat="0" applyFill="0" applyBorder="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Protection="0"/>
    <xf numFmtId="0" fontId="157" fillId="0" borderId="0" applyNumberFormat="0" applyFill="0" applyBorder="0" applyProtection="0"/>
    <xf numFmtId="0" fontId="157" fillId="0" borderId="0" applyNumberFormat="0" applyFill="0" applyBorder="0" applyProtection="0"/>
    <xf numFmtId="0" fontId="157" fillId="0" borderId="0" applyNumberFormat="0" applyFill="0" applyBorder="0" applyProtection="0"/>
    <xf numFmtId="0" fontId="157" fillId="0" borderId="0" applyNumberFormat="0" applyFill="0" applyBorder="0" applyProtection="0"/>
    <xf numFmtId="0" fontId="157" fillId="0" borderId="0" applyNumberFormat="0" applyFill="0" applyBorder="0" applyProtection="0"/>
    <xf numFmtId="0" fontId="157" fillId="0" borderId="0" applyNumberFormat="0" applyFill="0" applyBorder="0" applyProtection="0"/>
    <xf numFmtId="0" fontId="157" fillId="0" borderId="0" applyNumberFormat="0" applyFill="0" applyBorder="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Protection="0"/>
    <xf numFmtId="0" fontId="157" fillId="0" borderId="0" applyNumberFormat="0" applyFill="0" applyBorder="0" applyProtection="0"/>
    <xf numFmtId="0" fontId="157" fillId="0" borderId="0" applyNumberFormat="0" applyFill="0" applyBorder="0" applyProtection="0"/>
    <xf numFmtId="0" fontId="157" fillId="0" borderId="0" applyNumberFormat="0" applyFill="0" applyBorder="0" applyProtection="0"/>
    <xf numFmtId="0" fontId="157" fillId="0" borderId="0" applyNumberFormat="0" applyFill="0" applyBorder="0" applyProtection="0"/>
    <xf numFmtId="0" fontId="157" fillId="0" borderId="0" applyNumberFormat="0" applyFill="0" applyBorder="0" applyProtection="0"/>
    <xf numFmtId="0" fontId="157" fillId="0" borderId="0" applyNumberFormat="0" applyFill="0" applyBorder="0" applyProtection="0"/>
    <xf numFmtId="0" fontId="157" fillId="0" borderId="0" applyNumberFormat="0" applyFill="0" applyBorder="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Protection="0"/>
    <xf numFmtId="0" fontId="157" fillId="0" borderId="0" applyNumberFormat="0" applyFill="0" applyBorder="0" applyProtection="0"/>
    <xf numFmtId="0" fontId="157" fillId="0" borderId="0" applyNumberFormat="0" applyFill="0" applyBorder="0" applyProtection="0"/>
    <xf numFmtId="0" fontId="157" fillId="0" borderId="0" applyNumberFormat="0" applyFill="0" applyBorder="0" applyProtection="0"/>
    <xf numFmtId="0" fontId="157" fillId="0" borderId="0" applyNumberFormat="0" applyFill="0" applyBorder="0" applyProtection="0"/>
    <xf numFmtId="0" fontId="157" fillId="0" borderId="0" applyNumberFormat="0" applyFill="0" applyBorder="0" applyProtection="0"/>
    <xf numFmtId="0" fontId="157" fillId="0" borderId="0" applyNumberFormat="0" applyFill="0" applyBorder="0" applyProtection="0"/>
    <xf numFmtId="0" fontId="157" fillId="0" borderId="0" applyNumberFormat="0" applyFill="0" applyBorder="0" applyProtection="0"/>
    <xf numFmtId="0" fontId="59" fillId="108" borderId="44" applyNumberFormat="0" applyFont="0" applyProtection="0"/>
    <xf numFmtId="0" fontId="59" fillId="108" borderId="44" applyNumberFormat="0" applyFont="0" applyProtection="0"/>
    <xf numFmtId="0" fontId="59" fillId="108" borderId="44" applyNumberFormat="0" applyFont="0" applyProtection="0"/>
    <xf numFmtId="0" fontId="59" fillId="108" borderId="44" applyNumberFormat="0" applyFont="0" applyProtection="0"/>
    <xf numFmtId="0" fontId="59" fillId="108" borderId="44" applyNumberFormat="0" applyFont="0" applyProtection="0"/>
    <xf numFmtId="0" fontId="59" fillId="108" borderId="44" applyNumberFormat="0" applyFont="0" applyProtection="0"/>
    <xf numFmtId="0" fontId="59" fillId="108" borderId="44" applyNumberFormat="0" applyFont="0" applyProtection="0"/>
    <xf numFmtId="0" fontId="59" fillId="108" borderId="44" applyNumberFormat="0" applyFont="0" applyProtection="0"/>
    <xf numFmtId="0" fontId="59" fillId="108" borderId="44" applyNumberFormat="0" applyFont="0" applyProtection="0"/>
    <xf numFmtId="0" fontId="59" fillId="108" borderId="44" applyNumberFormat="0" applyFont="0" applyProtection="0"/>
    <xf numFmtId="0" fontId="59" fillId="108" borderId="44" applyNumberFormat="0" applyFont="0" applyProtection="0"/>
    <xf numFmtId="0" fontId="59" fillId="108" borderId="44" applyNumberFormat="0" applyFont="0" applyProtection="0"/>
    <xf numFmtId="0" fontId="8" fillId="137" borderId="44" applyNumberFormat="0" applyFont="0" applyAlignment="0" applyProtection="0"/>
    <xf numFmtId="0" fontId="8" fillId="137" borderId="44" applyNumberFormat="0" applyFont="0" applyAlignment="0" applyProtection="0"/>
    <xf numFmtId="0" fontId="8" fillId="137" borderId="44" applyNumberFormat="0" applyFont="0" applyAlignment="0" applyProtection="0"/>
    <xf numFmtId="0" fontId="8" fillId="137" borderId="44" applyNumberFormat="0" applyFont="0" applyAlignment="0" applyProtection="0"/>
    <xf numFmtId="0" fontId="8" fillId="137" borderId="44" applyNumberFormat="0" applyFont="0" applyAlignment="0" applyProtection="0"/>
    <xf numFmtId="0" fontId="8" fillId="137" borderId="44" applyNumberFormat="0" applyFont="0" applyAlignment="0" applyProtection="0"/>
    <xf numFmtId="0" fontId="8" fillId="137" borderId="44" applyNumberFormat="0" applyFont="0" applyAlignment="0" applyProtection="0"/>
    <xf numFmtId="0" fontId="8" fillId="137" borderId="44" applyNumberFormat="0" applyFont="0" applyAlignment="0" applyProtection="0"/>
    <xf numFmtId="0" fontId="8" fillId="137" borderId="44" applyNumberFormat="0" applyFont="0" applyAlignment="0" applyProtection="0"/>
    <xf numFmtId="0" fontId="8" fillId="137" borderId="44" applyNumberFormat="0" applyFont="0" applyAlignment="0" applyProtection="0"/>
    <xf numFmtId="0" fontId="8" fillId="137" borderId="44" applyNumberFormat="0" applyFont="0" applyAlignment="0" applyProtection="0"/>
    <xf numFmtId="0" fontId="8" fillId="137" borderId="44" applyNumberFormat="0" applyFont="0" applyAlignment="0" applyProtection="0"/>
    <xf numFmtId="0" fontId="8" fillId="137" borderId="44" applyNumberFormat="0" applyFont="0" applyAlignment="0" applyProtection="0"/>
    <xf numFmtId="0" fontId="8" fillId="137" borderId="44" applyNumberFormat="0" applyFont="0" applyAlignment="0" applyProtection="0"/>
    <xf numFmtId="0" fontId="8" fillId="137" borderId="44" applyNumberFormat="0" applyFont="0" applyAlignment="0" applyProtection="0"/>
    <xf numFmtId="0" fontId="8" fillId="137" borderId="44" applyNumberFormat="0" applyFont="0" applyAlignment="0" applyProtection="0"/>
    <xf numFmtId="0" fontId="8" fillId="137" borderId="44" applyNumberFormat="0" applyFont="0" applyAlignment="0" applyProtection="0"/>
    <xf numFmtId="0" fontId="8" fillId="137" borderId="44" applyNumberFormat="0" applyFont="0" applyAlignment="0" applyProtection="0"/>
    <xf numFmtId="0" fontId="8" fillId="137" borderId="44" applyNumberFormat="0" applyFont="0" applyAlignment="0" applyProtection="0"/>
    <xf numFmtId="0" fontId="8" fillId="137" borderId="44" applyNumberFormat="0" applyFont="0" applyAlignment="0" applyProtection="0"/>
    <xf numFmtId="0" fontId="8" fillId="137" borderId="44" applyNumberFormat="0" applyFont="0" applyAlignment="0" applyProtection="0"/>
    <xf numFmtId="0" fontId="8" fillId="137" borderId="44" applyNumberFormat="0" applyFont="0" applyAlignment="0" applyProtection="0"/>
    <xf numFmtId="0" fontId="8" fillId="137" borderId="44" applyNumberFormat="0" applyFont="0" applyAlignment="0" applyProtection="0"/>
    <xf numFmtId="0" fontId="8" fillId="137" borderId="44" applyNumberFormat="0" applyFont="0" applyAlignment="0" applyProtection="0"/>
    <xf numFmtId="0" fontId="8" fillId="137" borderId="44" applyNumberFormat="0" applyFont="0" applyAlignment="0" applyProtection="0"/>
    <xf numFmtId="0" fontId="8" fillId="137" borderId="44" applyNumberFormat="0" applyFont="0" applyAlignment="0" applyProtection="0"/>
    <xf numFmtId="0" fontId="8" fillId="137" borderId="44" applyNumberFormat="0" applyFont="0" applyAlignment="0" applyProtection="0"/>
    <xf numFmtId="0" fontId="8" fillId="137" borderId="44" applyNumberFormat="0" applyFont="0" applyAlignment="0" applyProtection="0"/>
    <xf numFmtId="0" fontId="8" fillId="137" borderId="44" applyNumberFormat="0" applyFont="0" applyAlignment="0" applyProtection="0"/>
    <xf numFmtId="0" fontId="8" fillId="137" borderId="44" applyNumberFormat="0" applyFont="0" applyAlignment="0" applyProtection="0"/>
    <xf numFmtId="0" fontId="8" fillId="137" borderId="44" applyNumberFormat="0" applyFont="0" applyAlignment="0" applyProtection="0"/>
    <xf numFmtId="0" fontId="8" fillId="137" borderId="44" applyNumberFormat="0" applyFont="0" applyAlignment="0" applyProtection="0"/>
    <xf numFmtId="0" fontId="8" fillId="137" borderId="44" applyNumberFormat="0" applyFont="0" applyAlignment="0" applyProtection="0"/>
    <xf numFmtId="0" fontId="8" fillId="137" borderId="44" applyNumberFormat="0" applyFont="0" applyAlignment="0" applyProtection="0"/>
    <xf numFmtId="0" fontId="8" fillId="137" borderId="44" applyNumberFormat="0" applyFont="0" applyAlignment="0" applyProtection="0"/>
    <xf numFmtId="0" fontId="8" fillId="137" borderId="44" applyNumberFormat="0" applyFont="0" applyAlignment="0" applyProtection="0"/>
    <xf numFmtId="0" fontId="8" fillId="137" borderId="44" applyNumberFormat="0" applyFont="0" applyAlignment="0" applyProtection="0"/>
    <xf numFmtId="0" fontId="8" fillId="137" borderId="44" applyNumberFormat="0" applyFont="0" applyAlignment="0" applyProtection="0"/>
    <xf numFmtId="0" fontId="8" fillId="137" borderId="44" applyNumberFormat="0" applyFont="0" applyAlignment="0" applyProtection="0"/>
    <xf numFmtId="0" fontId="8" fillId="137" borderId="44" applyNumberFormat="0" applyFont="0" applyAlignment="0" applyProtection="0"/>
    <xf numFmtId="0" fontId="8" fillId="137" borderId="44" applyNumberFormat="0" applyFont="0" applyAlignment="0" applyProtection="0"/>
    <xf numFmtId="0" fontId="8" fillId="137" borderId="44" applyNumberFormat="0" applyFont="0" applyAlignment="0" applyProtection="0"/>
    <xf numFmtId="0" fontId="59" fillId="108" borderId="44" applyNumberFormat="0" applyFont="0" applyProtection="0"/>
    <xf numFmtId="0" fontId="59" fillId="108" borderId="44" applyNumberFormat="0" applyFont="0" applyProtection="0"/>
    <xf numFmtId="0" fontId="59" fillId="108" borderId="44" applyNumberFormat="0" applyFont="0" applyProtection="0"/>
    <xf numFmtId="0" fontId="59" fillId="108" borderId="44" applyNumberFormat="0" applyFont="0" applyProtection="0"/>
    <xf numFmtId="0" fontId="59" fillId="108" borderId="44" applyNumberFormat="0" applyFont="0" applyProtection="0"/>
    <xf numFmtId="0" fontId="59" fillId="108" borderId="44" applyNumberFormat="0" applyFont="0" applyProtection="0"/>
    <xf numFmtId="0" fontId="59" fillId="108" borderId="44" applyNumberFormat="0" applyFont="0" applyProtection="0"/>
    <xf numFmtId="0" fontId="59" fillId="108" borderId="44" applyNumberFormat="0" applyFont="0" applyProtection="0"/>
    <xf numFmtId="0" fontId="59" fillId="108" borderId="44" applyNumberFormat="0" applyFont="0" applyProtection="0"/>
    <xf numFmtId="0" fontId="59" fillId="108" borderId="44" applyNumberFormat="0" applyFont="0" applyProtection="0"/>
    <xf numFmtId="0" fontId="59" fillId="108" borderId="44" applyNumberFormat="0" applyFont="0" applyProtection="0"/>
    <xf numFmtId="0" fontId="59" fillId="108" borderId="44" applyNumberFormat="0" applyFont="0" applyProtection="0"/>
    <xf numFmtId="0" fontId="59" fillId="108" borderId="44" applyNumberFormat="0" applyFont="0" applyProtection="0"/>
    <xf numFmtId="0" fontId="59" fillId="108" borderId="44" applyNumberFormat="0" applyFont="0" applyProtection="0"/>
    <xf numFmtId="0" fontId="59" fillId="108" borderId="44" applyNumberFormat="0" applyFont="0" applyProtection="0"/>
    <xf numFmtId="0" fontId="59" fillId="108" borderId="44" applyNumberFormat="0" applyFont="0" applyProtection="0"/>
    <xf numFmtId="0" fontId="59" fillId="108" borderId="44" applyNumberFormat="0" applyFont="0" applyProtection="0"/>
    <xf numFmtId="0" fontId="59" fillId="108" borderId="44" applyNumberFormat="0" applyFont="0" applyProtection="0"/>
    <xf numFmtId="0" fontId="59" fillId="108" borderId="44" applyNumberFormat="0" applyFont="0" applyProtection="0"/>
    <xf numFmtId="0" fontId="59" fillId="108" borderId="44" applyNumberFormat="0" applyFont="0" applyProtection="0"/>
    <xf numFmtId="0" fontId="59" fillId="108" borderId="44" applyNumberFormat="0" applyFont="0" applyProtection="0"/>
    <xf numFmtId="0" fontId="59" fillId="108" borderId="44" applyNumberFormat="0" applyFont="0" applyProtection="0"/>
    <xf numFmtId="0" fontId="59" fillId="108" borderId="44" applyNumberFormat="0" applyFont="0" applyProtection="0"/>
    <xf numFmtId="0" fontId="59" fillId="108" borderId="44" applyNumberFormat="0" applyFont="0" applyProtection="0"/>
    <xf numFmtId="0" fontId="59" fillId="108" borderId="44" applyNumberFormat="0" applyFont="0" applyProtection="0"/>
    <xf numFmtId="0" fontId="59" fillId="108" borderId="44" applyNumberFormat="0" applyFont="0" applyProtection="0"/>
    <xf numFmtId="0" fontId="59" fillId="108" borderId="44" applyNumberFormat="0" applyFont="0" applyProtection="0"/>
    <xf numFmtId="0" fontId="148" fillId="137" borderId="44" applyNumberFormat="0" applyProtection="0"/>
    <xf numFmtId="0" fontId="148" fillId="137" borderId="44" applyNumberFormat="0" applyProtection="0"/>
    <xf numFmtId="0" fontId="148" fillId="137" borderId="44" applyNumberFormat="0" applyProtection="0"/>
    <xf numFmtId="0" fontId="148" fillId="137" borderId="44" applyNumberFormat="0" applyProtection="0"/>
    <xf numFmtId="0" fontId="148" fillId="137" borderId="44" applyNumberFormat="0" applyProtection="0"/>
    <xf numFmtId="0" fontId="13" fillId="138" borderId="44" applyNumberFormat="0" applyAlignment="0" applyProtection="0"/>
    <xf numFmtId="0" fontId="13" fillId="138" borderId="44" applyNumberFormat="0" applyAlignment="0" applyProtection="0"/>
    <xf numFmtId="0" fontId="13" fillId="138" borderId="44" applyNumberFormat="0" applyAlignment="0" applyProtection="0"/>
    <xf numFmtId="0" fontId="13" fillId="138" borderId="44" applyNumberFormat="0" applyAlignment="0" applyProtection="0"/>
    <xf numFmtId="0" fontId="13" fillId="138" borderId="44" applyNumberFormat="0" applyAlignment="0" applyProtection="0"/>
    <xf numFmtId="0" fontId="13" fillId="138" borderId="44" applyNumberFormat="0" applyAlignment="0" applyProtection="0"/>
    <xf numFmtId="0" fontId="13" fillId="138" borderId="44" applyNumberFormat="0" applyAlignment="0" applyProtection="0"/>
    <xf numFmtId="0" fontId="13" fillId="138" borderId="44" applyNumberFormat="0" applyAlignment="0" applyProtection="0"/>
    <xf numFmtId="0" fontId="13" fillId="138" borderId="44" applyNumberFormat="0" applyAlignment="0" applyProtection="0"/>
    <xf numFmtId="0" fontId="13" fillId="138" borderId="44" applyNumberFormat="0" applyAlignment="0" applyProtection="0"/>
    <xf numFmtId="0" fontId="13" fillId="138" borderId="44" applyNumberFormat="0" applyAlignment="0" applyProtection="0"/>
    <xf numFmtId="0" fontId="13" fillId="138" borderId="44" applyNumberFormat="0" applyAlignment="0" applyProtection="0"/>
    <xf numFmtId="0" fontId="13" fillId="138" borderId="44" applyNumberFormat="0" applyAlignment="0" applyProtection="0"/>
    <xf numFmtId="0" fontId="13" fillId="138" borderId="44" applyNumberFormat="0" applyAlignment="0" applyProtection="0"/>
    <xf numFmtId="0" fontId="13" fillId="138" borderId="44" applyNumberFormat="0" applyAlignment="0" applyProtection="0"/>
    <xf numFmtId="0" fontId="13" fillId="138" borderId="44" applyNumberFormat="0" applyAlignment="0" applyProtection="0"/>
    <xf numFmtId="0" fontId="13" fillId="138" borderId="44" applyNumberFormat="0" applyAlignment="0" applyProtection="0"/>
    <xf numFmtId="0" fontId="13" fillId="138" borderId="44" applyNumberFormat="0" applyAlignment="0" applyProtection="0"/>
    <xf numFmtId="0" fontId="13" fillId="138" borderId="44" applyNumberFormat="0" applyAlignment="0" applyProtection="0"/>
    <xf numFmtId="0" fontId="13" fillId="138" borderId="44" applyNumberFormat="0" applyAlignment="0" applyProtection="0"/>
    <xf numFmtId="0" fontId="13" fillId="138" borderId="44" applyNumberFormat="0" applyAlignment="0" applyProtection="0"/>
    <xf numFmtId="0" fontId="13" fillId="138" borderId="44" applyNumberFormat="0" applyAlignment="0" applyProtection="0"/>
    <xf numFmtId="0" fontId="13" fillId="138" borderId="44" applyNumberFormat="0" applyAlignment="0" applyProtection="0"/>
    <xf numFmtId="0" fontId="13" fillId="138" borderId="44" applyNumberFormat="0" applyAlignment="0" applyProtection="0"/>
    <xf numFmtId="0" fontId="13" fillId="138" borderId="44" applyNumberFormat="0" applyAlignment="0" applyProtection="0"/>
    <xf numFmtId="0" fontId="13" fillId="138" borderId="44" applyNumberFormat="0" applyAlignment="0" applyProtection="0"/>
    <xf numFmtId="0" fontId="13" fillId="138" borderId="44" applyNumberFormat="0" applyAlignment="0" applyProtection="0"/>
    <xf numFmtId="0" fontId="13" fillId="138" borderId="44" applyNumberFormat="0" applyAlignment="0" applyProtection="0"/>
    <xf numFmtId="0" fontId="13" fillId="138" borderId="44" applyNumberFormat="0" applyAlignment="0" applyProtection="0"/>
    <xf numFmtId="0" fontId="13" fillId="138" borderId="44" applyNumberFormat="0" applyAlignment="0" applyProtection="0"/>
    <xf numFmtId="0" fontId="13" fillId="138" borderId="44" applyNumberFormat="0" applyAlignment="0" applyProtection="0"/>
    <xf numFmtId="0" fontId="13" fillId="138" borderId="44" applyNumberFormat="0" applyAlignment="0" applyProtection="0"/>
    <xf numFmtId="0" fontId="13" fillId="138" borderId="44" applyNumberFormat="0" applyAlignment="0" applyProtection="0"/>
    <xf numFmtId="0" fontId="13" fillId="138" borderId="44" applyNumberFormat="0" applyAlignment="0" applyProtection="0"/>
    <xf numFmtId="0" fontId="13" fillId="138" borderId="44" applyNumberFormat="0" applyAlignment="0" applyProtection="0"/>
    <xf numFmtId="0" fontId="13" fillId="138" borderId="44" applyNumberFormat="0" applyAlignment="0" applyProtection="0"/>
    <xf numFmtId="0" fontId="13" fillId="138" borderId="44" applyNumberFormat="0" applyAlignment="0" applyProtection="0"/>
    <xf numFmtId="0" fontId="13" fillId="138" borderId="44" applyNumberFormat="0" applyAlignment="0" applyProtection="0"/>
    <xf numFmtId="0" fontId="13" fillId="138" borderId="44" applyNumberFormat="0" applyAlignment="0" applyProtection="0"/>
    <xf numFmtId="0" fontId="13" fillId="138" borderId="44" applyNumberFormat="0" applyAlignment="0" applyProtection="0"/>
    <xf numFmtId="0" fontId="13" fillId="138" borderId="44" applyNumberFormat="0" applyAlignment="0" applyProtection="0"/>
    <xf numFmtId="0" fontId="13" fillId="138" borderId="44" applyNumberFormat="0" applyAlignment="0" applyProtection="0"/>
    <xf numFmtId="0" fontId="148" fillId="137" borderId="44" applyNumberFormat="0" applyProtection="0"/>
    <xf numFmtId="0" fontId="148" fillId="137" borderId="44" applyNumberFormat="0" applyProtection="0"/>
    <xf numFmtId="0" fontId="148" fillId="137" borderId="44" applyNumberFormat="0" applyProtection="0"/>
    <xf numFmtId="0" fontId="148" fillId="137" borderId="44" applyNumberFormat="0" applyProtection="0"/>
    <xf numFmtId="0" fontId="148" fillId="137" borderId="44" applyNumberFormat="0" applyProtection="0"/>
    <xf numFmtId="0" fontId="148" fillId="137" borderId="44" applyNumberFormat="0" applyProtection="0"/>
    <xf numFmtId="0" fontId="148" fillId="137" borderId="44" applyNumberFormat="0" applyProtection="0"/>
    <xf numFmtId="0" fontId="148" fillId="137" borderId="44" applyNumberFormat="0" applyProtection="0"/>
    <xf numFmtId="0" fontId="148" fillId="137" borderId="44" applyNumberFormat="0" applyProtection="0"/>
    <xf numFmtId="0" fontId="148" fillId="137" borderId="44" applyNumberFormat="0" applyProtection="0"/>
    <xf numFmtId="0" fontId="148" fillId="137" borderId="44" applyNumberFormat="0" applyProtection="0"/>
    <xf numFmtId="0" fontId="148" fillId="137" borderId="44" applyNumberFormat="0" applyProtection="0"/>
    <xf numFmtId="0" fontId="148" fillId="137" borderId="44" applyNumberFormat="0" applyProtection="0"/>
    <xf numFmtId="0" fontId="148" fillId="137" borderId="44" applyNumberFormat="0" applyProtection="0"/>
    <xf numFmtId="0" fontId="148" fillId="137" borderId="44" applyNumberFormat="0" applyProtection="0"/>
    <xf numFmtId="0" fontId="148" fillId="137" borderId="44" applyNumberFormat="0" applyProtection="0"/>
    <xf numFmtId="0" fontId="148" fillId="137" borderId="44" applyNumberFormat="0" applyProtection="0"/>
    <xf numFmtId="0" fontId="148" fillId="137" borderId="44" applyNumberFormat="0" applyProtection="0"/>
    <xf numFmtId="0" fontId="148" fillId="137" borderId="44" applyNumberFormat="0" applyProtection="0"/>
    <xf numFmtId="0" fontId="148" fillId="137" borderId="44" applyNumberFormat="0" applyProtection="0"/>
    <xf numFmtId="0" fontId="148" fillId="137" borderId="44" applyNumberFormat="0" applyProtection="0"/>
    <xf numFmtId="0" fontId="148" fillId="137" borderId="44" applyNumberFormat="0" applyProtection="0"/>
    <xf numFmtId="0" fontId="148" fillId="137" borderId="44" applyNumberFormat="0" applyProtection="0"/>
    <xf numFmtId="0" fontId="148" fillId="137" borderId="44" applyNumberFormat="0" applyProtection="0"/>
    <xf numFmtId="0" fontId="148" fillId="137" borderId="44" applyNumberFormat="0" applyProtection="0"/>
    <xf numFmtId="0" fontId="148" fillId="137" borderId="44" applyNumberFormat="0" applyProtection="0"/>
    <xf numFmtId="0" fontId="148" fillId="137" borderId="44" applyNumberFormat="0" applyProtection="0"/>
    <xf numFmtId="0" fontId="8" fillId="137" borderId="44" applyNumberFormat="0" applyFont="0" applyAlignment="0" applyProtection="0"/>
    <xf numFmtId="0" fontId="8" fillId="137" borderId="44" applyNumberFormat="0" applyFont="0" applyAlignment="0" applyProtection="0"/>
    <xf numFmtId="0" fontId="8" fillId="137" borderId="44" applyNumberFormat="0" applyFont="0" applyAlignment="0" applyProtection="0"/>
    <xf numFmtId="0" fontId="8" fillId="137" borderId="44" applyNumberFormat="0" applyFont="0" applyAlignment="0" applyProtection="0"/>
    <xf numFmtId="0" fontId="8" fillId="137" borderId="44" applyNumberFormat="0" applyFont="0" applyAlignment="0" applyProtection="0"/>
    <xf numFmtId="0" fontId="8" fillId="137" borderId="44" applyNumberFormat="0" applyFont="0" applyAlignment="0" applyProtection="0"/>
    <xf numFmtId="0" fontId="8" fillId="137" borderId="44" applyNumberFormat="0" applyFont="0" applyAlignment="0" applyProtection="0"/>
    <xf numFmtId="0" fontId="8" fillId="137" borderId="44" applyNumberFormat="0" applyFont="0" applyAlignment="0" applyProtection="0"/>
    <xf numFmtId="0" fontId="8" fillId="137" borderId="44" applyNumberFormat="0" applyFont="0" applyAlignment="0" applyProtection="0"/>
    <xf numFmtId="0" fontId="8" fillId="137" borderId="44" applyNumberFormat="0" applyFont="0" applyAlignment="0" applyProtection="0"/>
    <xf numFmtId="0" fontId="8" fillId="137" borderId="44" applyNumberFormat="0" applyFont="0" applyAlignment="0" applyProtection="0"/>
    <xf numFmtId="0" fontId="8" fillId="137" borderId="44" applyNumberFormat="0" applyFont="0" applyAlignment="0" applyProtection="0"/>
    <xf numFmtId="0" fontId="8" fillId="137" borderId="44" applyNumberFormat="0" applyFont="0" applyAlignment="0" applyProtection="0"/>
    <xf numFmtId="0" fontId="8" fillId="137" borderId="44" applyNumberFormat="0" applyFont="0" applyAlignment="0" applyProtection="0"/>
    <xf numFmtId="0" fontId="8" fillId="137" borderId="44" applyNumberFormat="0" applyFont="0" applyAlignment="0" applyProtection="0"/>
    <xf numFmtId="0" fontId="8" fillId="137" borderId="44" applyNumberFormat="0" applyFont="0" applyAlignment="0" applyProtection="0"/>
    <xf numFmtId="0" fontId="8" fillId="137" borderId="44" applyNumberFormat="0" applyFont="0" applyAlignment="0" applyProtection="0"/>
    <xf numFmtId="0" fontId="8" fillId="137" borderId="44" applyNumberFormat="0" applyFont="0" applyAlignment="0" applyProtection="0"/>
    <xf numFmtId="0" fontId="8" fillId="137" borderId="44" applyNumberFormat="0" applyFont="0" applyAlignment="0" applyProtection="0"/>
    <xf numFmtId="0" fontId="8" fillId="137" borderId="44" applyNumberFormat="0" applyFont="0" applyAlignment="0" applyProtection="0"/>
    <xf numFmtId="0" fontId="8" fillId="137" borderId="44" applyNumberFormat="0" applyFont="0" applyAlignment="0" applyProtection="0"/>
    <xf numFmtId="0" fontId="8" fillId="137" borderId="44" applyNumberFormat="0" applyFont="0" applyAlignment="0" applyProtection="0"/>
    <xf numFmtId="0" fontId="8" fillId="137" borderId="44" applyNumberFormat="0" applyFont="0" applyAlignment="0" applyProtection="0"/>
    <xf numFmtId="0" fontId="8" fillId="137" borderId="44" applyNumberFormat="0" applyFont="0" applyAlignment="0" applyProtection="0"/>
    <xf numFmtId="0" fontId="8" fillId="137" borderId="44" applyNumberFormat="0" applyFont="0" applyAlignment="0" applyProtection="0"/>
    <xf numFmtId="0" fontId="8" fillId="137" borderId="44" applyNumberFormat="0" applyFont="0" applyAlignment="0" applyProtection="0"/>
    <xf numFmtId="0" fontId="8" fillId="137" borderId="44" applyNumberFormat="0" applyFont="0" applyAlignment="0" applyProtection="0"/>
    <xf numFmtId="0" fontId="8" fillId="137" borderId="44" applyNumberFormat="0" applyFont="0" applyAlignment="0" applyProtection="0"/>
    <xf numFmtId="0" fontId="8" fillId="137" borderId="44" applyNumberFormat="0" applyFont="0" applyAlignment="0" applyProtection="0"/>
    <xf numFmtId="0" fontId="8" fillId="137" borderId="44" applyNumberFormat="0" applyFont="0" applyAlignment="0" applyProtection="0"/>
    <xf numFmtId="0" fontId="8" fillId="137" borderId="44" applyNumberFormat="0" applyFont="0" applyAlignment="0" applyProtection="0"/>
    <xf numFmtId="0" fontId="8" fillId="137" borderId="44" applyNumberFormat="0" applyFont="0" applyAlignment="0" applyProtection="0"/>
    <xf numFmtId="0" fontId="8" fillId="137" borderId="44" applyNumberFormat="0" applyFont="0" applyAlignment="0" applyProtection="0"/>
    <xf numFmtId="0" fontId="8" fillId="137" borderId="44" applyNumberFormat="0" applyFont="0" applyAlignment="0" applyProtection="0"/>
    <xf numFmtId="0" fontId="8" fillId="137" borderId="44" applyNumberFormat="0" applyFont="0" applyAlignment="0" applyProtection="0"/>
    <xf numFmtId="0" fontId="8" fillId="137" borderId="44" applyNumberFormat="0" applyFont="0" applyAlignment="0" applyProtection="0"/>
    <xf numFmtId="0" fontId="8" fillId="137" borderId="44" applyNumberFormat="0" applyFont="0" applyAlignment="0" applyProtection="0"/>
    <xf numFmtId="0" fontId="8" fillId="137" borderId="44" applyNumberFormat="0" applyFont="0" applyAlignment="0" applyProtection="0"/>
    <xf numFmtId="0" fontId="8" fillId="137" borderId="44" applyNumberFormat="0" applyFont="0" applyAlignment="0" applyProtection="0"/>
    <xf numFmtId="0" fontId="8" fillId="137" borderId="44" applyNumberFormat="0" applyFont="0" applyAlignment="0" applyProtection="0"/>
    <xf numFmtId="0" fontId="8" fillId="137" borderId="44" applyNumberFormat="0" applyFont="0" applyAlignment="0" applyProtection="0"/>
    <xf numFmtId="0" fontId="8" fillId="137" borderId="44" applyNumberFormat="0" applyFont="0" applyAlignment="0" applyProtection="0"/>
    <xf numFmtId="0" fontId="59" fillId="108" borderId="44" applyNumberFormat="0" applyFont="0" applyProtection="0"/>
    <xf numFmtId="0" fontId="59" fillId="108" borderId="44" applyNumberFormat="0" applyFont="0" applyProtection="0"/>
    <xf numFmtId="0" fontId="59" fillId="108" borderId="44" applyNumberFormat="0" applyFont="0" applyProtection="0"/>
    <xf numFmtId="0" fontId="59" fillId="108" borderId="44" applyNumberFormat="0" applyFont="0" applyProtection="0"/>
    <xf numFmtId="0" fontId="59" fillId="108" borderId="44" applyNumberFormat="0" applyFont="0" applyProtection="0"/>
    <xf numFmtId="0" fontId="59" fillId="108" borderId="44" applyNumberFormat="0" applyFont="0" applyProtection="0"/>
    <xf numFmtId="0" fontId="59" fillId="108" borderId="44" applyNumberFormat="0" applyFont="0" applyProtection="0"/>
    <xf numFmtId="0" fontId="59" fillId="108" borderId="44" applyNumberFormat="0" applyFont="0" applyProtection="0"/>
    <xf numFmtId="0" fontId="59" fillId="108" borderId="44" applyNumberFormat="0" applyFont="0" applyProtection="0"/>
    <xf numFmtId="0" fontId="59" fillId="108" borderId="44" applyNumberFormat="0" applyFont="0" applyProtection="0"/>
    <xf numFmtId="0" fontId="59" fillId="108" borderId="44" applyNumberFormat="0" applyFont="0" applyProtection="0"/>
    <xf numFmtId="0" fontId="59" fillId="108" borderId="44" applyNumberFormat="0" applyFont="0" applyProtection="0"/>
    <xf numFmtId="0" fontId="59" fillId="108" borderId="44" applyNumberFormat="0" applyFont="0" applyProtection="0"/>
    <xf numFmtId="0" fontId="59" fillId="108" borderId="44" applyNumberFormat="0" applyFont="0" applyProtection="0"/>
    <xf numFmtId="0" fontId="59" fillId="108" borderId="44" applyNumberFormat="0" applyFont="0" applyProtection="0"/>
    <xf numFmtId="0" fontId="59" fillId="108" borderId="44" applyNumberFormat="0" applyFont="0" applyProtection="0"/>
    <xf numFmtId="0" fontId="59" fillId="108" borderId="44" applyNumberFormat="0" applyFont="0" applyProtection="0"/>
    <xf numFmtId="0" fontId="59" fillId="108" borderId="44" applyNumberFormat="0" applyFont="0" applyProtection="0"/>
    <xf numFmtId="0" fontId="59" fillId="108" borderId="44" applyNumberFormat="0" applyFont="0" applyProtection="0"/>
    <xf numFmtId="0" fontId="59" fillId="108" borderId="44" applyNumberFormat="0" applyFont="0" applyProtection="0"/>
    <xf numFmtId="0" fontId="59" fillId="108" borderId="44" applyNumberFormat="0" applyFont="0" applyProtection="0"/>
    <xf numFmtId="0" fontId="59" fillId="108" borderId="44" applyNumberFormat="0" applyFont="0" applyProtection="0"/>
    <xf numFmtId="0" fontId="59" fillId="108" borderId="44" applyNumberFormat="0" applyFont="0" applyProtection="0"/>
    <xf numFmtId="0" fontId="59" fillId="108" borderId="44" applyNumberFormat="0" applyFont="0" applyProtection="0"/>
    <xf numFmtId="0" fontId="59" fillId="108" borderId="44" applyNumberFormat="0" applyFont="0" applyProtection="0"/>
    <xf numFmtId="0" fontId="59" fillId="108" borderId="44" applyNumberFormat="0" applyFont="0" applyProtection="0"/>
    <xf numFmtId="0" fontId="59" fillId="108" borderId="44" applyNumberFormat="0" applyFont="0" applyProtection="0"/>
    <xf numFmtId="0" fontId="59" fillId="108" borderId="44" applyNumberFormat="0" applyFont="0" applyProtection="0"/>
    <xf numFmtId="0" fontId="59" fillId="108" borderId="44" applyNumberFormat="0" applyFont="0" applyProtection="0"/>
    <xf numFmtId="0" fontId="59" fillId="108" borderId="44" applyNumberFormat="0" applyFont="0" applyProtection="0"/>
    <xf numFmtId="0" fontId="8" fillId="137" borderId="44" applyNumberFormat="0" applyFont="0" applyAlignment="0" applyProtection="0"/>
    <xf numFmtId="0" fontId="8" fillId="137" borderId="44" applyNumberFormat="0" applyFont="0" applyAlignment="0" applyProtection="0"/>
    <xf numFmtId="0" fontId="8" fillId="137" borderId="44" applyNumberFormat="0" applyFont="0" applyAlignment="0" applyProtection="0"/>
    <xf numFmtId="0" fontId="8" fillId="137" borderId="44" applyNumberFormat="0" applyFont="0" applyAlignment="0" applyProtection="0"/>
    <xf numFmtId="0" fontId="8" fillId="137" borderId="44" applyNumberFormat="0" applyFont="0" applyAlignment="0" applyProtection="0"/>
    <xf numFmtId="0" fontId="8" fillId="137" borderId="44" applyNumberFormat="0" applyFont="0" applyAlignment="0" applyProtection="0"/>
    <xf numFmtId="0" fontId="8" fillId="137" borderId="44" applyNumberFormat="0" applyFont="0" applyAlignment="0" applyProtection="0"/>
    <xf numFmtId="0" fontId="8" fillId="137" borderId="44" applyNumberFormat="0" applyFont="0" applyAlignment="0" applyProtection="0"/>
    <xf numFmtId="0" fontId="8" fillId="137" borderId="44" applyNumberFormat="0" applyFont="0" applyAlignment="0" applyProtection="0"/>
    <xf numFmtId="0" fontId="8" fillId="137" borderId="44" applyNumberFormat="0" applyFont="0" applyAlignment="0" applyProtection="0"/>
    <xf numFmtId="0" fontId="8" fillId="137" borderId="44" applyNumberFormat="0" applyFont="0" applyAlignment="0" applyProtection="0"/>
    <xf numFmtId="0" fontId="8" fillId="137" borderId="44" applyNumberFormat="0" applyFont="0" applyAlignment="0" applyProtection="0"/>
    <xf numFmtId="0" fontId="8" fillId="137" borderId="44" applyNumberFormat="0" applyFont="0" applyAlignment="0" applyProtection="0"/>
    <xf numFmtId="0" fontId="8" fillId="137" borderId="44" applyNumberFormat="0" applyFont="0" applyAlignment="0" applyProtection="0"/>
    <xf numFmtId="0" fontId="8" fillId="137" borderId="44" applyNumberFormat="0" applyFont="0" applyAlignment="0" applyProtection="0"/>
    <xf numFmtId="0" fontId="8" fillId="137" borderId="44" applyNumberFormat="0" applyFont="0" applyAlignment="0" applyProtection="0"/>
    <xf numFmtId="0" fontId="8" fillId="137" borderId="44" applyNumberFormat="0" applyFont="0" applyAlignment="0" applyProtection="0"/>
    <xf numFmtId="0" fontId="8" fillId="137" borderId="44" applyNumberFormat="0" applyFont="0" applyAlignment="0" applyProtection="0"/>
    <xf numFmtId="0" fontId="8" fillId="137" borderId="44" applyNumberFormat="0" applyFont="0" applyAlignment="0" applyProtection="0"/>
    <xf numFmtId="0" fontId="8" fillId="137" borderId="44" applyNumberFormat="0" applyFont="0" applyAlignment="0" applyProtection="0"/>
    <xf numFmtId="0" fontId="8" fillId="137" borderId="44" applyNumberFormat="0" applyFont="0" applyAlignment="0" applyProtection="0"/>
    <xf numFmtId="0" fontId="8" fillId="137" borderId="44" applyNumberFormat="0" applyFont="0" applyAlignment="0" applyProtection="0"/>
    <xf numFmtId="0" fontId="8" fillId="137" borderId="44" applyNumberFormat="0" applyFont="0" applyAlignment="0" applyProtection="0"/>
    <xf numFmtId="0" fontId="8" fillId="137" borderId="44" applyNumberFormat="0" applyFont="0" applyAlignment="0" applyProtection="0"/>
    <xf numFmtId="0" fontId="8" fillId="137" borderId="44" applyNumberFormat="0" applyFont="0" applyAlignment="0" applyProtection="0"/>
    <xf numFmtId="0" fontId="8" fillId="137" borderId="44" applyNumberFormat="0" applyFont="0" applyAlignment="0" applyProtection="0"/>
    <xf numFmtId="0" fontId="8" fillId="137" borderId="44" applyNumberFormat="0" applyFont="0" applyAlignment="0" applyProtection="0"/>
    <xf numFmtId="0" fontId="8" fillId="137" borderId="44" applyNumberFormat="0" applyFont="0" applyAlignment="0" applyProtection="0"/>
    <xf numFmtId="0" fontId="8" fillId="137" borderId="44" applyNumberFormat="0" applyFont="0" applyAlignment="0" applyProtection="0"/>
    <xf numFmtId="0" fontId="8" fillId="137" borderId="44" applyNumberFormat="0" applyFont="0" applyAlignment="0" applyProtection="0"/>
    <xf numFmtId="0" fontId="8" fillId="137" borderId="44" applyNumberFormat="0" applyFont="0" applyAlignment="0" applyProtection="0"/>
    <xf numFmtId="0" fontId="8" fillId="137" borderId="44" applyNumberFormat="0" applyFont="0" applyAlignment="0" applyProtection="0"/>
    <xf numFmtId="0" fontId="8" fillId="137" borderId="44" applyNumberFormat="0" applyFont="0" applyAlignment="0" applyProtection="0"/>
    <xf numFmtId="0" fontId="8" fillId="137" borderId="44" applyNumberFormat="0" applyFont="0" applyAlignment="0" applyProtection="0"/>
    <xf numFmtId="0" fontId="8" fillId="137" borderId="44" applyNumberFormat="0" applyFont="0" applyAlignment="0" applyProtection="0"/>
    <xf numFmtId="0" fontId="8" fillId="137" borderId="44" applyNumberFormat="0" applyFont="0" applyAlignment="0" applyProtection="0"/>
    <xf numFmtId="0" fontId="8" fillId="137" borderId="44" applyNumberFormat="0" applyFont="0" applyAlignment="0" applyProtection="0"/>
    <xf numFmtId="0" fontId="8" fillId="137" borderId="44" applyNumberFormat="0" applyFont="0" applyAlignment="0" applyProtection="0"/>
    <xf numFmtId="0" fontId="8" fillId="137" borderId="44" applyNumberFormat="0" applyFont="0" applyAlignment="0" applyProtection="0"/>
    <xf numFmtId="0" fontId="8" fillId="137" borderId="44" applyNumberFormat="0" applyFont="0" applyAlignment="0" applyProtection="0"/>
    <xf numFmtId="0" fontId="8" fillId="137" borderId="44" applyNumberFormat="0" applyFont="0" applyAlignment="0" applyProtection="0"/>
    <xf numFmtId="0" fontId="8" fillId="137" borderId="44" applyNumberFormat="0" applyFont="0" applyAlignment="0" applyProtection="0"/>
    <xf numFmtId="0" fontId="59" fillId="108" borderId="44" applyNumberFormat="0" applyFont="0" applyProtection="0"/>
    <xf numFmtId="0" fontId="59" fillId="108" borderId="44" applyNumberFormat="0" applyFont="0" applyProtection="0"/>
    <xf numFmtId="0" fontId="59" fillId="108" borderId="44" applyNumberFormat="0" applyFont="0" applyProtection="0"/>
    <xf numFmtId="0" fontId="59" fillId="108" borderId="44" applyNumberFormat="0" applyFont="0" applyProtection="0"/>
    <xf numFmtId="0" fontId="59" fillId="108" borderId="44" applyNumberFormat="0" applyFont="0" applyProtection="0"/>
    <xf numFmtId="0" fontId="59" fillId="108" borderId="44" applyNumberFormat="0" applyFont="0" applyProtection="0"/>
    <xf numFmtId="0" fontId="59" fillId="108" borderId="44" applyNumberFormat="0" applyFont="0" applyProtection="0"/>
    <xf numFmtId="0" fontId="59" fillId="108" borderId="44" applyNumberFormat="0" applyFont="0" applyProtection="0"/>
    <xf numFmtId="0" fontId="59" fillId="108" borderId="44" applyNumberFormat="0" applyFont="0" applyProtection="0"/>
    <xf numFmtId="0" fontId="59" fillId="108" borderId="44" applyNumberFormat="0" applyFont="0" applyProtection="0"/>
    <xf numFmtId="0" fontId="59" fillId="108" borderId="44" applyNumberFormat="0" applyFont="0" applyProtection="0"/>
    <xf numFmtId="0" fontId="59" fillId="108" borderId="44" applyNumberFormat="0" applyFont="0" applyProtection="0"/>
    <xf numFmtId="0" fontId="59" fillId="108" borderId="44" applyNumberFormat="0" applyFont="0" applyProtection="0"/>
    <xf numFmtId="0" fontId="59" fillId="108" borderId="44" applyNumberFormat="0" applyFont="0" applyProtection="0"/>
    <xf numFmtId="0" fontId="59" fillId="108" borderId="44" applyNumberFormat="0" applyFont="0" applyProtection="0"/>
    <xf numFmtId="0" fontId="59" fillId="108" borderId="44" applyNumberFormat="0" applyFont="0" applyProtection="0"/>
    <xf numFmtId="0" fontId="59" fillId="108" borderId="44" applyNumberFormat="0" applyFont="0" applyProtection="0"/>
    <xf numFmtId="0" fontId="59" fillId="108" borderId="44" applyNumberFormat="0" applyFont="0" applyProtection="0"/>
    <xf numFmtId="0" fontId="59" fillId="108" borderId="44" applyNumberFormat="0" applyFont="0" applyProtection="0"/>
    <xf numFmtId="0" fontId="59" fillId="108" borderId="44" applyNumberFormat="0" applyFont="0" applyProtection="0"/>
    <xf numFmtId="0" fontId="59" fillId="108" borderId="44" applyNumberFormat="0" applyFont="0" applyProtection="0"/>
    <xf numFmtId="0" fontId="59" fillId="108" borderId="44" applyNumberFormat="0" applyFont="0" applyProtection="0"/>
    <xf numFmtId="0" fontId="59" fillId="108" borderId="44" applyNumberFormat="0" applyFont="0" applyProtection="0"/>
    <xf numFmtId="0" fontId="59" fillId="108" borderId="44" applyNumberFormat="0" applyFont="0" applyProtection="0"/>
    <xf numFmtId="0" fontId="59" fillId="108" borderId="44" applyNumberFormat="0" applyFont="0" applyProtection="0"/>
    <xf numFmtId="0" fontId="59" fillId="108" borderId="44" applyNumberFormat="0" applyFont="0" applyProtection="0"/>
    <xf numFmtId="0" fontId="59" fillId="108" borderId="44" applyNumberFormat="0" applyFont="0" applyProtection="0"/>
    <xf numFmtId="0" fontId="59" fillId="108" borderId="44" applyNumberFormat="0" applyFont="0" applyProtection="0"/>
    <xf numFmtId="0" fontId="59" fillId="108" borderId="44" applyNumberFormat="0" applyFont="0" applyProtection="0"/>
    <xf numFmtId="0" fontId="59" fillId="108" borderId="44" applyNumberFormat="0" applyFont="0" applyProtection="0"/>
    <xf numFmtId="0" fontId="59" fillId="108" borderId="44" applyNumberFormat="0" applyFont="0" applyProtection="0"/>
    <xf numFmtId="0" fontId="59" fillId="108" borderId="44" applyNumberFormat="0" applyFont="0" applyProtection="0"/>
    <xf numFmtId="0" fontId="8" fillId="137" borderId="44" applyNumberFormat="0" applyFont="0" applyAlignment="0" applyProtection="0"/>
    <xf numFmtId="0" fontId="8" fillId="137" borderId="44" applyNumberFormat="0" applyFont="0" applyAlignment="0" applyProtection="0"/>
    <xf numFmtId="0" fontId="8" fillId="137" borderId="44" applyNumberFormat="0" applyFont="0" applyAlignment="0" applyProtection="0"/>
    <xf numFmtId="0" fontId="8" fillId="137" borderId="44" applyNumberFormat="0" applyFont="0" applyAlignment="0" applyProtection="0"/>
    <xf numFmtId="0" fontId="8" fillId="137" borderId="44" applyNumberFormat="0" applyFont="0" applyAlignment="0" applyProtection="0"/>
    <xf numFmtId="0" fontId="8" fillId="137" borderId="44" applyNumberFormat="0" applyFont="0" applyAlignment="0" applyProtection="0"/>
    <xf numFmtId="0" fontId="8" fillId="137" borderId="44" applyNumberFormat="0" applyFont="0" applyAlignment="0" applyProtection="0"/>
    <xf numFmtId="0" fontId="8" fillId="137" borderId="44" applyNumberFormat="0" applyFont="0" applyAlignment="0" applyProtection="0"/>
    <xf numFmtId="0" fontId="8" fillId="137" borderId="44" applyNumberFormat="0" applyFont="0" applyAlignment="0" applyProtection="0"/>
    <xf numFmtId="0" fontId="8" fillId="137" borderId="44" applyNumberFormat="0" applyFont="0" applyAlignment="0" applyProtection="0"/>
    <xf numFmtId="0" fontId="8" fillId="137" borderId="44" applyNumberFormat="0" applyFont="0" applyAlignment="0" applyProtection="0"/>
    <xf numFmtId="0" fontId="8" fillId="137" borderId="44" applyNumberFormat="0" applyFont="0" applyAlignment="0" applyProtection="0"/>
    <xf numFmtId="0" fontId="8" fillId="137" borderId="44" applyNumberFormat="0" applyFont="0" applyAlignment="0" applyProtection="0"/>
    <xf numFmtId="0" fontId="8" fillId="137" borderId="44" applyNumberFormat="0" applyFont="0" applyAlignment="0" applyProtection="0"/>
    <xf numFmtId="0" fontId="8" fillId="137" borderId="44" applyNumberFormat="0" applyFont="0" applyAlignment="0" applyProtection="0"/>
    <xf numFmtId="0" fontId="8" fillId="137" borderId="44" applyNumberFormat="0" applyFont="0" applyAlignment="0" applyProtection="0"/>
    <xf numFmtId="0" fontId="8" fillId="137" borderId="44" applyNumberFormat="0" applyFont="0" applyAlignment="0" applyProtection="0"/>
    <xf numFmtId="0" fontId="8" fillId="137" borderId="44" applyNumberFormat="0" applyFont="0" applyAlignment="0" applyProtection="0"/>
    <xf numFmtId="0" fontId="8" fillId="137" borderId="44" applyNumberFormat="0" applyFont="0" applyAlignment="0" applyProtection="0"/>
    <xf numFmtId="0" fontId="8" fillId="137" borderId="44" applyNumberFormat="0" applyFont="0" applyAlignment="0" applyProtection="0"/>
    <xf numFmtId="0" fontId="8" fillId="137" borderId="44" applyNumberFormat="0" applyFont="0" applyAlignment="0" applyProtection="0"/>
    <xf numFmtId="0" fontId="8" fillId="137" borderId="44" applyNumberFormat="0" applyFont="0" applyAlignment="0" applyProtection="0"/>
    <xf numFmtId="0" fontId="8" fillId="137" borderId="44" applyNumberFormat="0" applyFont="0" applyAlignment="0" applyProtection="0"/>
    <xf numFmtId="0" fontId="8" fillId="137" borderId="44" applyNumberFormat="0" applyFont="0" applyAlignment="0" applyProtection="0"/>
    <xf numFmtId="0" fontId="8" fillId="137" borderId="44" applyNumberFormat="0" applyFont="0" applyAlignment="0" applyProtection="0"/>
    <xf numFmtId="0" fontId="8" fillId="137" borderId="44" applyNumberFormat="0" applyFont="0" applyAlignment="0" applyProtection="0"/>
    <xf numFmtId="0" fontId="8" fillId="137" borderId="44" applyNumberFormat="0" applyFont="0" applyAlignment="0" applyProtection="0"/>
    <xf numFmtId="0" fontId="8" fillId="137" borderId="44" applyNumberFormat="0" applyFont="0" applyAlignment="0" applyProtection="0"/>
    <xf numFmtId="0" fontId="8" fillId="137" borderId="44" applyNumberFormat="0" applyFont="0" applyAlignment="0" applyProtection="0"/>
    <xf numFmtId="0" fontId="8" fillId="137" borderId="44" applyNumberFormat="0" applyFont="0" applyAlignment="0" applyProtection="0"/>
    <xf numFmtId="0" fontId="8" fillId="137" borderId="44" applyNumberFormat="0" applyFont="0" applyAlignment="0" applyProtection="0"/>
    <xf numFmtId="0" fontId="8" fillId="137" borderId="44" applyNumberFormat="0" applyFont="0" applyAlignment="0" applyProtection="0"/>
    <xf numFmtId="0" fontId="8" fillId="137" borderId="44" applyNumberFormat="0" applyFont="0" applyAlignment="0" applyProtection="0"/>
    <xf numFmtId="0" fontId="8" fillId="137" borderId="44" applyNumberFormat="0" applyFont="0" applyAlignment="0" applyProtection="0"/>
    <xf numFmtId="0" fontId="8" fillId="137" borderId="44" applyNumberFormat="0" applyFont="0" applyAlignment="0" applyProtection="0"/>
    <xf numFmtId="0" fontId="8" fillId="137" borderId="44" applyNumberFormat="0" applyFont="0" applyAlignment="0" applyProtection="0"/>
    <xf numFmtId="0" fontId="8" fillId="137" borderId="44" applyNumberFormat="0" applyFont="0" applyAlignment="0" applyProtection="0"/>
    <xf numFmtId="0" fontId="8" fillId="137" borderId="44" applyNumberFormat="0" applyFont="0" applyAlignment="0" applyProtection="0"/>
    <xf numFmtId="0" fontId="8" fillId="137" borderId="44" applyNumberFormat="0" applyFont="0" applyAlignment="0" applyProtection="0"/>
    <xf numFmtId="0" fontId="8" fillId="137" borderId="44" applyNumberFormat="0" applyFont="0" applyAlignment="0" applyProtection="0"/>
    <xf numFmtId="0" fontId="8" fillId="137" borderId="44" applyNumberFormat="0" applyFont="0" applyAlignment="0" applyProtection="0"/>
    <xf numFmtId="0" fontId="8" fillId="137" borderId="44" applyNumberFormat="0" applyFont="0" applyAlignment="0" applyProtection="0"/>
    <xf numFmtId="0" fontId="59" fillId="108" borderId="44" applyNumberFormat="0" applyFont="0" applyProtection="0"/>
    <xf numFmtId="0" fontId="59" fillId="108" borderId="44" applyNumberFormat="0" applyFont="0" applyProtection="0"/>
    <xf numFmtId="0" fontId="59" fillId="108" borderId="44" applyNumberFormat="0" applyFont="0" applyProtection="0"/>
    <xf numFmtId="0" fontId="59" fillId="108" borderId="44" applyNumberFormat="0" applyFont="0" applyProtection="0"/>
    <xf numFmtId="0" fontId="59" fillId="108" borderId="44" applyNumberFormat="0" applyFont="0" applyProtection="0"/>
    <xf numFmtId="0" fontId="59" fillId="108" borderId="44" applyNumberFormat="0" applyFont="0" applyProtection="0"/>
    <xf numFmtId="0" fontId="59" fillId="108" borderId="44" applyNumberFormat="0" applyFont="0" applyProtection="0"/>
    <xf numFmtId="0" fontId="59" fillId="108" borderId="44" applyNumberFormat="0" applyFont="0" applyProtection="0"/>
    <xf numFmtId="0" fontId="59" fillId="108" borderId="44" applyNumberFormat="0" applyFont="0" applyProtection="0"/>
    <xf numFmtId="0" fontId="59" fillId="108" borderId="44" applyNumberFormat="0" applyFont="0" applyProtection="0"/>
    <xf numFmtId="0" fontId="59" fillId="108" borderId="44" applyNumberFormat="0" applyFont="0" applyProtection="0"/>
    <xf numFmtId="0" fontId="59" fillId="108" borderId="44" applyNumberFormat="0" applyFont="0" applyProtection="0"/>
    <xf numFmtId="0" fontId="59" fillId="108" borderId="44" applyNumberFormat="0" applyFont="0" applyProtection="0"/>
    <xf numFmtId="0" fontId="59" fillId="108" borderId="44" applyNumberFormat="0" applyFont="0" applyProtection="0"/>
    <xf numFmtId="0" fontId="59" fillId="108" borderId="44" applyNumberFormat="0" applyFont="0" applyProtection="0"/>
    <xf numFmtId="0" fontId="59" fillId="108" borderId="44" applyNumberFormat="0" applyFont="0" applyProtection="0"/>
    <xf numFmtId="0" fontId="59" fillId="108" borderId="44" applyNumberFormat="0" applyFont="0" applyProtection="0"/>
    <xf numFmtId="0" fontId="59" fillId="108" borderId="44" applyNumberFormat="0" applyFont="0" applyProtection="0"/>
    <xf numFmtId="0" fontId="59" fillId="108" borderId="44" applyNumberFormat="0" applyFont="0" applyProtection="0"/>
    <xf numFmtId="0" fontId="59" fillId="108" borderId="44" applyNumberFormat="0" applyFont="0" applyProtection="0"/>
    <xf numFmtId="0" fontId="59" fillId="108" borderId="44" applyNumberFormat="0" applyFont="0" applyProtection="0"/>
    <xf numFmtId="0" fontId="59" fillId="108" borderId="44" applyNumberFormat="0" applyFont="0" applyProtection="0"/>
    <xf numFmtId="0" fontId="59" fillId="108" borderId="44" applyNumberFormat="0" applyFont="0" applyProtection="0"/>
    <xf numFmtId="0" fontId="59" fillId="108" borderId="44" applyNumberFormat="0" applyFont="0" applyProtection="0"/>
    <xf numFmtId="0" fontId="59" fillId="108" borderId="44" applyNumberFormat="0" applyFont="0" applyProtection="0"/>
    <xf numFmtId="0" fontId="59" fillId="108" borderId="44" applyNumberFormat="0" applyFont="0" applyProtection="0"/>
    <xf numFmtId="0" fontId="59" fillId="108" borderId="44" applyNumberFormat="0" applyFont="0" applyProtection="0"/>
    <xf numFmtId="0" fontId="59" fillId="108" borderId="44" applyNumberFormat="0" applyFont="0" applyProtection="0"/>
    <xf numFmtId="0" fontId="59" fillId="108" borderId="44" applyNumberFormat="0" applyFont="0" applyProtection="0"/>
    <xf numFmtId="0" fontId="59" fillId="108" borderId="44" applyNumberFormat="0" applyFont="0" applyProtection="0"/>
    <xf numFmtId="0" fontId="59" fillId="108" borderId="44" applyNumberFormat="0" applyFont="0" applyProtection="0"/>
    <xf numFmtId="0" fontId="59" fillId="108" borderId="44" applyNumberFormat="0" applyFont="0" applyProtection="0"/>
    <xf numFmtId="0" fontId="8" fillId="137" borderId="44" applyNumberFormat="0" applyFont="0" applyAlignment="0" applyProtection="0"/>
    <xf numFmtId="0" fontId="8" fillId="137" borderId="44" applyNumberFormat="0" applyFont="0" applyAlignment="0" applyProtection="0"/>
    <xf numFmtId="0" fontId="8" fillId="137" borderId="44" applyNumberFormat="0" applyFont="0" applyAlignment="0" applyProtection="0"/>
    <xf numFmtId="0" fontId="8" fillId="137" borderId="44" applyNumberFormat="0" applyFont="0" applyAlignment="0" applyProtection="0"/>
    <xf numFmtId="0" fontId="8" fillId="137" borderId="44" applyNumberFormat="0" applyFont="0" applyAlignment="0" applyProtection="0"/>
    <xf numFmtId="0" fontId="8" fillId="137" borderId="44" applyNumberFormat="0" applyFont="0" applyAlignment="0" applyProtection="0"/>
    <xf numFmtId="0" fontId="8" fillId="137" borderId="44" applyNumberFormat="0" applyFont="0" applyAlignment="0" applyProtection="0"/>
    <xf numFmtId="0" fontId="8" fillId="137" borderId="44" applyNumberFormat="0" applyFont="0" applyAlignment="0" applyProtection="0"/>
    <xf numFmtId="0" fontId="8" fillId="137" borderId="44" applyNumberFormat="0" applyFont="0" applyAlignment="0" applyProtection="0"/>
    <xf numFmtId="0" fontId="8" fillId="137" borderId="44" applyNumberFormat="0" applyFont="0" applyAlignment="0" applyProtection="0"/>
    <xf numFmtId="0" fontId="8" fillId="137" borderId="44" applyNumberFormat="0" applyFont="0" applyAlignment="0" applyProtection="0"/>
    <xf numFmtId="0" fontId="8" fillId="137" borderId="44" applyNumberFormat="0" applyFont="0" applyAlignment="0" applyProtection="0"/>
    <xf numFmtId="0" fontId="8" fillId="137" borderId="44" applyNumberFormat="0" applyFont="0" applyAlignment="0" applyProtection="0"/>
    <xf numFmtId="0" fontId="8" fillId="137" borderId="44" applyNumberFormat="0" applyFont="0" applyAlignment="0" applyProtection="0"/>
    <xf numFmtId="0" fontId="8" fillId="137" borderId="44" applyNumberFormat="0" applyFont="0" applyAlignment="0" applyProtection="0"/>
    <xf numFmtId="0" fontId="8" fillId="137" borderId="44" applyNumberFormat="0" applyFont="0" applyAlignment="0" applyProtection="0"/>
    <xf numFmtId="0" fontId="8" fillId="137" borderId="44" applyNumberFormat="0" applyFont="0" applyAlignment="0" applyProtection="0"/>
    <xf numFmtId="0" fontId="8" fillId="137" borderId="44" applyNumberFormat="0" applyFont="0" applyAlignment="0" applyProtection="0"/>
    <xf numFmtId="0" fontId="8" fillId="137" borderId="44" applyNumberFormat="0" applyFont="0" applyAlignment="0" applyProtection="0"/>
    <xf numFmtId="0" fontId="8" fillId="137" borderId="44" applyNumberFormat="0" applyFont="0" applyAlignment="0" applyProtection="0"/>
    <xf numFmtId="0" fontId="8" fillId="137" borderId="44" applyNumberFormat="0" applyFont="0" applyAlignment="0" applyProtection="0"/>
    <xf numFmtId="0" fontId="8" fillId="137" borderId="44" applyNumberFormat="0" applyFont="0" applyAlignment="0" applyProtection="0"/>
    <xf numFmtId="0" fontId="8" fillId="137" borderId="44" applyNumberFormat="0" applyFont="0" applyAlignment="0" applyProtection="0"/>
    <xf numFmtId="0" fontId="8" fillId="137" borderId="44" applyNumberFormat="0" applyFont="0" applyAlignment="0" applyProtection="0"/>
    <xf numFmtId="0" fontId="8" fillId="137" borderId="44" applyNumberFormat="0" applyFont="0" applyAlignment="0" applyProtection="0"/>
    <xf numFmtId="0" fontId="8" fillId="137" borderId="44" applyNumberFormat="0" applyFont="0" applyAlignment="0" applyProtection="0"/>
    <xf numFmtId="0" fontId="8" fillId="137" borderId="44" applyNumberFormat="0" applyFont="0" applyAlignment="0" applyProtection="0"/>
    <xf numFmtId="0" fontId="8" fillId="137" borderId="44" applyNumberFormat="0" applyFont="0" applyAlignment="0" applyProtection="0"/>
    <xf numFmtId="0" fontId="8" fillId="137" borderId="44" applyNumberFormat="0" applyFont="0" applyAlignment="0" applyProtection="0"/>
    <xf numFmtId="0" fontId="8" fillId="137" borderId="44" applyNumberFormat="0" applyFont="0" applyAlignment="0" applyProtection="0"/>
    <xf numFmtId="0" fontId="8" fillId="137" borderId="44" applyNumberFormat="0" applyFont="0" applyAlignment="0" applyProtection="0"/>
    <xf numFmtId="0" fontId="8" fillId="137" borderId="44" applyNumberFormat="0" applyFont="0" applyAlignment="0" applyProtection="0"/>
    <xf numFmtId="0" fontId="8" fillId="137" borderId="44" applyNumberFormat="0" applyFont="0" applyAlignment="0" applyProtection="0"/>
    <xf numFmtId="0" fontId="8" fillId="137" borderId="44" applyNumberFormat="0" applyFont="0" applyAlignment="0" applyProtection="0"/>
    <xf numFmtId="0" fontId="8" fillId="137" borderId="44" applyNumberFormat="0" applyFont="0" applyAlignment="0" applyProtection="0"/>
    <xf numFmtId="0" fontId="8" fillId="137" borderId="44" applyNumberFormat="0" applyFont="0" applyAlignment="0" applyProtection="0"/>
    <xf numFmtId="0" fontId="8" fillId="137" borderId="44" applyNumberFormat="0" applyFont="0" applyAlignment="0" applyProtection="0"/>
    <xf numFmtId="0" fontId="8" fillId="137" borderId="44" applyNumberFormat="0" applyFont="0" applyAlignment="0" applyProtection="0"/>
    <xf numFmtId="0" fontId="8" fillId="137" borderId="44" applyNumberFormat="0" applyFont="0" applyAlignment="0" applyProtection="0"/>
    <xf numFmtId="0" fontId="8" fillId="137" borderId="44" applyNumberFormat="0" applyFont="0" applyAlignment="0" applyProtection="0"/>
    <xf numFmtId="0" fontId="8" fillId="137" borderId="44" applyNumberFormat="0" applyFont="0" applyAlignment="0" applyProtection="0"/>
    <xf numFmtId="0" fontId="8" fillId="137" borderId="44" applyNumberFormat="0" applyFont="0" applyAlignment="0" applyProtection="0"/>
    <xf numFmtId="0" fontId="59" fillId="108" borderId="44" applyNumberFormat="0" applyFont="0" applyProtection="0"/>
    <xf numFmtId="0" fontId="59" fillId="108" borderId="44" applyNumberFormat="0" applyFont="0" applyProtection="0"/>
    <xf numFmtId="0" fontId="59" fillId="108" borderId="44" applyNumberFormat="0" applyFont="0" applyProtection="0"/>
    <xf numFmtId="0" fontId="59" fillId="108" borderId="44" applyNumberFormat="0" applyFont="0" applyProtection="0"/>
    <xf numFmtId="0" fontId="59" fillId="108" borderId="44" applyNumberFormat="0" applyFont="0" applyProtection="0"/>
    <xf numFmtId="0" fontId="59" fillId="108" borderId="44" applyNumberFormat="0" applyFont="0" applyProtection="0"/>
    <xf numFmtId="0" fontId="59" fillId="108" borderId="44" applyNumberFormat="0" applyFont="0" applyProtection="0"/>
    <xf numFmtId="0" fontId="59" fillId="108" borderId="44" applyNumberFormat="0" applyFont="0" applyProtection="0"/>
    <xf numFmtId="0" fontId="59" fillId="108" borderId="44" applyNumberFormat="0" applyFont="0" applyProtection="0"/>
    <xf numFmtId="0" fontId="59" fillId="108" borderId="44" applyNumberFormat="0" applyFont="0" applyProtection="0"/>
    <xf numFmtId="0" fontId="59" fillId="108" borderId="44" applyNumberFormat="0" applyFont="0" applyProtection="0"/>
    <xf numFmtId="0" fontId="59" fillId="108" borderId="44" applyNumberFormat="0" applyFont="0" applyProtection="0"/>
    <xf numFmtId="0" fontId="59" fillId="108" borderId="44" applyNumberFormat="0" applyFont="0" applyProtection="0"/>
    <xf numFmtId="0" fontId="59" fillId="108" borderId="44" applyNumberFormat="0" applyFont="0" applyProtection="0"/>
    <xf numFmtId="0" fontId="59" fillId="108" borderId="44" applyNumberFormat="0" applyFont="0" applyProtection="0"/>
    <xf numFmtId="0" fontId="59" fillId="108" borderId="44" applyNumberFormat="0" applyFont="0" applyProtection="0"/>
    <xf numFmtId="0" fontId="59" fillId="108" borderId="44" applyNumberFormat="0" applyFont="0" applyProtection="0"/>
    <xf numFmtId="0" fontId="59" fillId="108" borderId="44" applyNumberFormat="0" applyFont="0" applyProtection="0"/>
    <xf numFmtId="0" fontId="59" fillId="108" borderId="44" applyNumberFormat="0" applyFont="0" applyProtection="0"/>
    <xf numFmtId="0" fontId="59" fillId="108" borderId="44" applyNumberFormat="0" applyFont="0" applyProtection="0"/>
    <xf numFmtId="0" fontId="59" fillId="108" borderId="44" applyNumberFormat="0" applyFont="0" applyProtection="0"/>
    <xf numFmtId="0" fontId="59" fillId="108" borderId="44" applyNumberFormat="0" applyFont="0" applyProtection="0"/>
    <xf numFmtId="0" fontId="59" fillId="108" borderId="44" applyNumberFormat="0" applyFont="0" applyProtection="0"/>
    <xf numFmtId="0" fontId="59" fillId="108" borderId="44" applyNumberFormat="0" applyFont="0" applyProtection="0"/>
    <xf numFmtId="0" fontId="59" fillId="108" borderId="44" applyNumberFormat="0" applyFont="0" applyProtection="0"/>
    <xf numFmtId="0" fontId="59" fillId="108" borderId="44" applyNumberFormat="0" applyFont="0" applyProtection="0"/>
    <xf numFmtId="0" fontId="59" fillId="108" borderId="44" applyNumberFormat="0" applyFont="0" applyProtection="0"/>
    <xf numFmtId="0" fontId="59" fillId="108" borderId="44" applyNumberFormat="0" applyFont="0" applyProtection="0"/>
    <xf numFmtId="0" fontId="59" fillId="108" borderId="44" applyNumberFormat="0" applyFont="0" applyProtection="0"/>
    <xf numFmtId="0" fontId="59" fillId="108" borderId="44" applyNumberFormat="0" applyFont="0" applyProtection="0"/>
    <xf numFmtId="0" fontId="59" fillId="108" borderId="44" applyNumberFormat="0" applyFont="0" applyProtection="0"/>
    <xf numFmtId="0" fontId="59" fillId="108" borderId="44" applyNumberFormat="0" applyFont="0" applyProtection="0"/>
    <xf numFmtId="0" fontId="8" fillId="137" borderId="44" applyNumberFormat="0" applyFont="0" applyAlignment="0" applyProtection="0"/>
    <xf numFmtId="0" fontId="8" fillId="137" borderId="44" applyNumberFormat="0" applyFont="0" applyAlignment="0" applyProtection="0"/>
    <xf numFmtId="0" fontId="8" fillId="137" borderId="44" applyNumberFormat="0" applyFont="0" applyAlignment="0" applyProtection="0"/>
    <xf numFmtId="0" fontId="8" fillId="137" borderId="44" applyNumberFormat="0" applyFont="0" applyAlignment="0" applyProtection="0"/>
    <xf numFmtId="0" fontId="8" fillId="137" borderId="44" applyNumberFormat="0" applyFont="0" applyAlignment="0" applyProtection="0"/>
    <xf numFmtId="0" fontId="8" fillId="137" borderId="44" applyNumberFormat="0" applyFont="0" applyAlignment="0" applyProtection="0"/>
    <xf numFmtId="0" fontId="8" fillId="137" borderId="44" applyNumberFormat="0" applyFont="0" applyAlignment="0" applyProtection="0"/>
    <xf numFmtId="0" fontId="8" fillId="137" borderId="44" applyNumberFormat="0" applyFont="0" applyAlignment="0" applyProtection="0"/>
    <xf numFmtId="0" fontId="8" fillId="137" borderId="44" applyNumberFormat="0" applyFont="0" applyAlignment="0" applyProtection="0"/>
    <xf numFmtId="0" fontId="8" fillId="137" borderId="44" applyNumberFormat="0" applyFont="0" applyAlignment="0" applyProtection="0"/>
    <xf numFmtId="0" fontId="8" fillId="137" borderId="44" applyNumberFormat="0" applyFont="0" applyAlignment="0" applyProtection="0"/>
    <xf numFmtId="0" fontId="8" fillId="137" borderId="44" applyNumberFormat="0" applyFont="0" applyAlignment="0" applyProtection="0"/>
    <xf numFmtId="0" fontId="8" fillId="137" borderId="44" applyNumberFormat="0" applyFont="0" applyAlignment="0" applyProtection="0"/>
    <xf numFmtId="0" fontId="8" fillId="137" borderId="44" applyNumberFormat="0" applyFont="0" applyAlignment="0" applyProtection="0"/>
    <xf numFmtId="0" fontId="8" fillId="137" borderId="44" applyNumberFormat="0" applyFont="0" applyAlignment="0" applyProtection="0"/>
    <xf numFmtId="0" fontId="8" fillId="137" borderId="44" applyNumberFormat="0" applyFont="0" applyAlignment="0" applyProtection="0"/>
    <xf numFmtId="0" fontId="8" fillId="137" borderId="44" applyNumberFormat="0" applyFont="0" applyAlignment="0" applyProtection="0"/>
    <xf numFmtId="0" fontId="8" fillId="137" borderId="44" applyNumberFormat="0" applyFont="0" applyAlignment="0" applyProtection="0"/>
    <xf numFmtId="0" fontId="8" fillId="137" borderId="44" applyNumberFormat="0" applyFont="0" applyAlignment="0" applyProtection="0"/>
    <xf numFmtId="0" fontId="8" fillId="137" borderId="44" applyNumberFormat="0" applyFont="0" applyAlignment="0" applyProtection="0"/>
    <xf numFmtId="0" fontId="8" fillId="137" borderId="44" applyNumberFormat="0" applyFont="0" applyAlignment="0" applyProtection="0"/>
    <xf numFmtId="0" fontId="8" fillId="137" borderId="44" applyNumberFormat="0" applyFont="0" applyAlignment="0" applyProtection="0"/>
    <xf numFmtId="0" fontId="8" fillId="137" borderId="44" applyNumberFormat="0" applyFont="0" applyAlignment="0" applyProtection="0"/>
    <xf numFmtId="0" fontId="8" fillId="137" borderId="44" applyNumberFormat="0" applyFont="0" applyAlignment="0" applyProtection="0"/>
    <xf numFmtId="0" fontId="8" fillId="137" borderId="44" applyNumberFormat="0" applyFont="0" applyAlignment="0" applyProtection="0"/>
    <xf numFmtId="0" fontId="8" fillId="137" borderId="44" applyNumberFormat="0" applyFont="0" applyAlignment="0" applyProtection="0"/>
    <xf numFmtId="0" fontId="8" fillId="137" borderId="44" applyNumberFormat="0" applyFont="0" applyAlignment="0" applyProtection="0"/>
    <xf numFmtId="0" fontId="8" fillId="137" borderId="44" applyNumberFormat="0" applyFont="0" applyAlignment="0" applyProtection="0"/>
    <xf numFmtId="0" fontId="8" fillId="137" borderId="44" applyNumberFormat="0" applyFont="0" applyAlignment="0" applyProtection="0"/>
    <xf numFmtId="0" fontId="8" fillId="137" borderId="44" applyNumberFormat="0" applyFont="0" applyAlignment="0" applyProtection="0"/>
    <xf numFmtId="0" fontId="8" fillId="137" borderId="44" applyNumberFormat="0" applyFont="0" applyAlignment="0" applyProtection="0"/>
    <xf numFmtId="0" fontId="8" fillId="137" borderId="44" applyNumberFormat="0" applyFont="0" applyAlignment="0" applyProtection="0"/>
    <xf numFmtId="0" fontId="8" fillId="137" borderId="44" applyNumberFormat="0" applyFont="0" applyAlignment="0" applyProtection="0"/>
    <xf numFmtId="0" fontId="8" fillId="137" borderId="44" applyNumberFormat="0" applyFont="0" applyAlignment="0" applyProtection="0"/>
    <xf numFmtId="0" fontId="8" fillId="137" borderId="44" applyNumberFormat="0" applyFont="0" applyAlignment="0" applyProtection="0"/>
    <xf numFmtId="0" fontId="8" fillId="137" borderId="44" applyNumberFormat="0" applyFont="0" applyAlignment="0" applyProtection="0"/>
    <xf numFmtId="0" fontId="8" fillId="137" borderId="44" applyNumberFormat="0" applyFont="0" applyAlignment="0" applyProtection="0"/>
    <xf numFmtId="0" fontId="8" fillId="137" borderId="44" applyNumberFormat="0" applyFont="0" applyAlignment="0" applyProtection="0"/>
    <xf numFmtId="0" fontId="8" fillId="137" borderId="44" applyNumberFormat="0" applyFont="0" applyAlignment="0" applyProtection="0"/>
    <xf numFmtId="0" fontId="8" fillId="137" borderId="44" applyNumberFormat="0" applyFont="0" applyAlignment="0" applyProtection="0"/>
    <xf numFmtId="0" fontId="8" fillId="137" borderId="44" applyNumberFormat="0" applyFont="0" applyAlignment="0" applyProtection="0"/>
    <xf numFmtId="0" fontId="8" fillId="137" borderId="44" applyNumberFormat="0" applyFont="0" applyAlignment="0" applyProtection="0"/>
    <xf numFmtId="0" fontId="59" fillId="108" borderId="44" applyNumberFormat="0" applyFont="0" applyProtection="0"/>
    <xf numFmtId="0" fontId="59" fillId="108" borderId="44" applyNumberFormat="0" applyFont="0" applyProtection="0"/>
    <xf numFmtId="0" fontId="59" fillId="108" borderId="44" applyNumberFormat="0" applyFont="0" applyProtection="0"/>
    <xf numFmtId="0" fontId="59" fillId="108" borderId="44" applyNumberFormat="0" applyFont="0" applyProtection="0"/>
    <xf numFmtId="0" fontId="59" fillId="108" borderId="44" applyNumberFormat="0" applyFont="0" applyProtection="0"/>
    <xf numFmtId="0" fontId="59" fillId="108" borderId="44" applyNumberFormat="0" applyFont="0" applyProtection="0"/>
    <xf numFmtId="0" fontId="59" fillId="108" borderId="44" applyNumberFormat="0" applyFont="0" applyProtection="0"/>
    <xf numFmtId="0" fontId="59" fillId="108" borderId="44" applyNumberFormat="0" applyFont="0" applyProtection="0"/>
    <xf numFmtId="0" fontId="59" fillId="108" borderId="44" applyNumberFormat="0" applyFont="0" applyProtection="0"/>
    <xf numFmtId="0" fontId="59" fillId="108" borderId="44" applyNumberFormat="0" applyFont="0" applyProtection="0"/>
    <xf numFmtId="0" fontId="59" fillId="108" borderId="44" applyNumberFormat="0" applyFont="0" applyProtection="0"/>
    <xf numFmtId="0" fontId="59" fillId="108" borderId="44" applyNumberFormat="0" applyFont="0" applyProtection="0"/>
    <xf numFmtId="0" fontId="59" fillId="108" borderId="44" applyNumberFormat="0" applyFont="0" applyProtection="0"/>
    <xf numFmtId="0" fontId="59" fillId="108" borderId="44" applyNumberFormat="0" applyFont="0" applyProtection="0"/>
    <xf numFmtId="0" fontId="59" fillId="108" borderId="44" applyNumberFormat="0" applyFont="0" applyProtection="0"/>
    <xf numFmtId="0" fontId="59" fillId="108" borderId="44" applyNumberFormat="0" applyFont="0" applyProtection="0"/>
    <xf numFmtId="0" fontId="59" fillId="108" borderId="44" applyNumberFormat="0" applyFont="0" applyProtection="0"/>
    <xf numFmtId="0" fontId="59" fillId="108" borderId="44" applyNumberFormat="0" applyFont="0" applyProtection="0"/>
    <xf numFmtId="0" fontId="59" fillId="108" borderId="44" applyNumberFormat="0" applyFont="0" applyProtection="0"/>
    <xf numFmtId="0" fontId="59" fillId="108" borderId="44" applyNumberFormat="0" applyFont="0" applyProtection="0"/>
    <xf numFmtId="0" fontId="59" fillId="108" borderId="44" applyNumberFormat="0" applyFont="0" applyProtection="0"/>
    <xf numFmtId="0" fontId="59" fillId="108" borderId="44" applyNumberFormat="0" applyFont="0" applyProtection="0"/>
    <xf numFmtId="0" fontId="59" fillId="108" borderId="44" applyNumberFormat="0" applyFont="0" applyProtection="0"/>
    <xf numFmtId="0" fontId="59" fillId="108" borderId="44" applyNumberFormat="0" applyFont="0" applyProtection="0"/>
    <xf numFmtId="0" fontId="59" fillId="108" borderId="44" applyNumberFormat="0" applyFont="0" applyProtection="0"/>
    <xf numFmtId="0" fontId="59" fillId="108" borderId="44" applyNumberFormat="0" applyFont="0" applyProtection="0"/>
    <xf numFmtId="0" fontId="59" fillId="108" borderId="44" applyNumberFormat="0" applyFo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Protection="0"/>
    <xf numFmtId="9" fontId="24" fillId="0" borderId="0" applyFont="0" applyFill="0" applyBorder="0" applyProtection="0"/>
    <xf numFmtId="9" fontId="24" fillId="0" borderId="0" applyFont="0" applyFill="0" applyBorder="0" applyProtection="0"/>
    <xf numFmtId="9" fontId="24" fillId="0" borderId="0" applyFont="0" applyFill="0" applyBorder="0" applyProtection="0"/>
    <xf numFmtId="9" fontId="24" fillId="0" borderId="0" applyFont="0" applyFill="0" applyBorder="0" applyProtection="0"/>
    <xf numFmtId="9" fontId="24" fillId="0" borderId="0" applyFont="0" applyFill="0" applyBorder="0" applyProtection="0"/>
    <xf numFmtId="9" fontId="24" fillId="0" borderId="0" applyFont="0" applyFill="0" applyBorder="0" applyProtection="0"/>
    <xf numFmtId="9" fontId="24" fillId="0" borderId="0" applyFont="0" applyFill="0" applyBorder="0" applyProtection="0"/>
    <xf numFmtId="9" fontId="24" fillId="0" borderId="0" applyFont="0" applyFill="0" applyBorder="0" applyProtection="0"/>
    <xf numFmtId="9" fontId="24" fillId="0" borderId="0" applyFont="0" applyFill="0" applyBorder="0" applyProtection="0"/>
    <xf numFmtId="9" fontId="24" fillId="0" borderId="0" applyFont="0" applyFill="0" applyBorder="0" applyProtection="0"/>
    <xf numFmtId="9" fontId="24" fillId="0" borderId="0" applyFont="0" applyFill="0" applyBorder="0" applyProtection="0"/>
    <xf numFmtId="9" fontId="24" fillId="0" borderId="0" applyFont="0" applyFill="0" applyBorder="0" applyProtection="0"/>
    <xf numFmtId="9" fontId="24" fillId="0" borderId="0" applyFont="0" applyFill="0" applyBorder="0" applyProtection="0"/>
    <xf numFmtId="9" fontId="24" fillId="0" borderId="0" applyFont="0" applyFill="0" applyBorder="0" applyProtection="0"/>
    <xf numFmtId="9" fontId="59" fillId="0" borderId="0" applyFont="0" applyFill="0" applyBorder="0" applyProtection="0"/>
    <xf numFmtId="9" fontId="59" fillId="0" borderId="0" applyFont="0" applyFill="0" applyBorder="0" applyProtection="0"/>
    <xf numFmtId="9" fontId="59" fillId="0" borderId="0" applyFont="0" applyFill="0" applyBorder="0" applyProtection="0"/>
    <xf numFmtId="9" fontId="59" fillId="0" borderId="0" applyFont="0" applyFill="0" applyBorder="0" applyProtection="0"/>
    <xf numFmtId="9" fontId="59" fillId="0" borderId="0" applyFont="0" applyFill="0" applyBorder="0" applyProtection="0"/>
    <xf numFmtId="9" fontId="59" fillId="0" borderId="0" applyFont="0" applyFill="0" applyBorder="0" applyProtection="0"/>
    <xf numFmtId="9" fontId="59" fillId="0" borderId="0" applyFont="0" applyFill="0" applyBorder="0" applyProtection="0"/>
    <xf numFmtId="9" fontId="59" fillId="0" borderId="0" applyFont="0" applyFill="0" applyBorder="0" applyProtection="0"/>
    <xf numFmtId="9" fontId="24" fillId="0" borderId="0" applyFont="0" applyFill="0" applyBorder="0" applyProtection="0"/>
    <xf numFmtId="9" fontId="24" fillId="0" borderId="0" applyFont="0" applyFill="0" applyBorder="0" applyProtection="0"/>
    <xf numFmtId="9" fontId="24" fillId="0" borderId="0" applyFont="0" applyFill="0" applyBorder="0" applyProtection="0"/>
    <xf numFmtId="9" fontId="24" fillId="0" borderId="0" applyFont="0" applyFill="0" applyBorder="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Protection="0"/>
    <xf numFmtId="9" fontId="24" fillId="0" borderId="0" applyFont="0" applyFill="0" applyBorder="0" applyProtection="0"/>
    <xf numFmtId="9" fontId="24" fillId="0" borderId="0" applyFont="0" applyFill="0" applyBorder="0" applyProtection="0"/>
    <xf numFmtId="9" fontId="24" fillId="0" borderId="0" applyFont="0" applyFill="0" applyBorder="0" applyProtection="0"/>
    <xf numFmtId="9" fontId="24" fillId="0" borderId="0" applyFont="0" applyFill="0" applyBorder="0" applyProtection="0"/>
    <xf numFmtId="9" fontId="24" fillId="0" borderId="0" applyFont="0" applyFill="0" applyBorder="0" applyProtection="0"/>
    <xf numFmtId="9" fontId="24" fillId="0" borderId="0" applyFont="0" applyFill="0" applyBorder="0" applyProtection="0"/>
    <xf numFmtId="9" fontId="24" fillId="0" borderId="0" applyFont="0" applyFill="0" applyBorder="0" applyProtection="0"/>
    <xf numFmtId="9" fontId="24" fillId="0" borderId="0" applyFont="0" applyFill="0" applyBorder="0" applyProtection="0"/>
    <xf numFmtId="9" fontId="24" fillId="0" borderId="0" applyFont="0" applyFill="0" applyBorder="0" applyProtection="0"/>
    <xf numFmtId="9" fontId="24" fillId="0" borderId="0" applyFont="0" applyFill="0" applyBorder="0" applyProtection="0"/>
    <xf numFmtId="9" fontId="24" fillId="0" borderId="0" applyFont="0" applyFill="0" applyBorder="0" applyProtection="0"/>
    <xf numFmtId="9" fontId="24" fillId="0" borderId="0" applyFont="0" applyFill="0" applyBorder="0" applyProtection="0"/>
    <xf numFmtId="9" fontId="24" fillId="0" borderId="0" applyFont="0" applyFill="0" applyBorder="0" applyProtection="0"/>
    <xf numFmtId="9" fontId="24" fillId="0" borderId="0" applyFont="0" applyFill="0" applyBorder="0" applyProtection="0"/>
    <xf numFmtId="9" fontId="24" fillId="0" borderId="0" applyFont="0" applyFill="0" applyBorder="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Protection="0"/>
    <xf numFmtId="9" fontId="24" fillId="0" borderId="0" applyFont="0" applyFill="0" applyBorder="0" applyProtection="0"/>
    <xf numFmtId="9" fontId="24" fillId="0" borderId="0" applyFont="0" applyFill="0" applyBorder="0" applyProtection="0"/>
    <xf numFmtId="9" fontId="24" fillId="0" borderId="0" applyFont="0" applyFill="0" applyBorder="0" applyProtection="0"/>
    <xf numFmtId="9" fontId="24" fillId="0" borderId="0" applyFont="0" applyFill="0" applyBorder="0" applyProtection="0"/>
    <xf numFmtId="9" fontId="24" fillId="0" borderId="0" applyFont="0" applyFill="0" applyBorder="0" applyProtection="0"/>
    <xf numFmtId="9" fontId="24" fillId="0" borderId="0" applyFont="0" applyFill="0" applyBorder="0" applyProtection="0"/>
    <xf numFmtId="9" fontId="24" fillId="0" borderId="0" applyFont="0" applyFill="0" applyBorder="0" applyProtection="0"/>
    <xf numFmtId="9" fontId="24" fillId="0" borderId="0" applyFont="0" applyFill="0" applyBorder="0" applyProtection="0"/>
    <xf numFmtId="9" fontId="24" fillId="0" borderId="0" applyFont="0" applyFill="0" applyBorder="0" applyProtection="0"/>
    <xf numFmtId="9" fontId="24" fillId="0" borderId="0" applyFont="0" applyFill="0" applyBorder="0" applyProtection="0"/>
    <xf numFmtId="9" fontId="24" fillId="0" borderId="0" applyFont="0" applyFill="0" applyBorder="0" applyProtection="0"/>
    <xf numFmtId="9" fontId="24" fillId="0" borderId="0" applyFont="0" applyFill="0" applyBorder="0" applyProtection="0"/>
    <xf numFmtId="9" fontId="24" fillId="0" borderId="0" applyFont="0" applyFill="0" applyBorder="0" applyProtection="0"/>
    <xf numFmtId="9" fontId="24" fillId="0" borderId="0" applyFont="0" applyFill="0" applyBorder="0" applyProtection="0"/>
    <xf numFmtId="9" fontId="24" fillId="0" borderId="0" applyFont="0" applyFill="0" applyBorder="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Protection="0"/>
    <xf numFmtId="9" fontId="24" fillId="0" borderId="0" applyFont="0" applyFill="0" applyBorder="0" applyProtection="0"/>
    <xf numFmtId="9" fontId="24" fillId="0" borderId="0" applyFont="0" applyFill="0" applyBorder="0" applyProtection="0"/>
    <xf numFmtId="9" fontId="24" fillId="0" borderId="0" applyFont="0" applyFill="0" applyBorder="0" applyProtection="0"/>
    <xf numFmtId="9" fontId="24" fillId="0" borderId="0" applyFont="0" applyFill="0" applyBorder="0" applyProtection="0"/>
    <xf numFmtId="9" fontId="24" fillId="0" borderId="0" applyFont="0" applyFill="0" applyBorder="0" applyProtection="0"/>
    <xf numFmtId="9" fontId="24" fillId="0" borderId="0" applyFont="0" applyFill="0" applyBorder="0" applyProtection="0"/>
    <xf numFmtId="9" fontId="24" fillId="0" borderId="0" applyFont="0" applyFill="0" applyBorder="0" applyProtection="0"/>
    <xf numFmtId="9" fontId="24" fillId="0" borderId="0" applyFont="0" applyFill="0" applyBorder="0" applyProtection="0"/>
    <xf numFmtId="9" fontId="24" fillId="0" borderId="0" applyFont="0" applyFill="0" applyBorder="0" applyProtection="0"/>
    <xf numFmtId="9" fontId="24" fillId="0" borderId="0" applyFont="0" applyFill="0" applyBorder="0" applyProtection="0"/>
    <xf numFmtId="9" fontId="24" fillId="0" borderId="0" applyFont="0" applyFill="0" applyBorder="0" applyProtection="0"/>
    <xf numFmtId="9" fontId="24" fillId="0" borderId="0" applyFont="0" applyFill="0" applyBorder="0" applyProtection="0"/>
    <xf numFmtId="9" fontId="24" fillId="0" borderId="0" applyFont="0" applyFill="0" applyBorder="0" applyProtection="0"/>
    <xf numFmtId="9" fontId="24" fillId="0" borderId="0" applyFont="0" applyFill="0" applyBorder="0" applyProtection="0"/>
    <xf numFmtId="9" fontId="24" fillId="0" borderId="0" applyFont="0" applyFill="0" applyBorder="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Protection="0"/>
    <xf numFmtId="9" fontId="24" fillId="0" borderId="0" applyFont="0" applyFill="0" applyBorder="0" applyProtection="0"/>
    <xf numFmtId="9" fontId="24" fillId="0" borderId="0" applyFont="0" applyFill="0" applyBorder="0" applyProtection="0"/>
    <xf numFmtId="9" fontId="24" fillId="0" borderId="0" applyFont="0" applyFill="0" applyBorder="0" applyProtection="0"/>
    <xf numFmtId="9" fontId="24" fillId="0" borderId="0" applyFont="0" applyFill="0" applyBorder="0" applyProtection="0"/>
    <xf numFmtId="9" fontId="24" fillId="0" borderId="0" applyFont="0" applyFill="0" applyBorder="0" applyProtection="0"/>
    <xf numFmtId="9" fontId="24" fillId="0" borderId="0" applyFont="0" applyFill="0" applyBorder="0" applyProtection="0"/>
    <xf numFmtId="9" fontId="24" fillId="0" borderId="0" applyFont="0" applyFill="0" applyBorder="0" applyProtection="0"/>
    <xf numFmtId="9" fontId="24" fillId="0" borderId="0" applyFont="0" applyFill="0" applyBorder="0" applyProtection="0"/>
    <xf numFmtId="9" fontId="24" fillId="0" borderId="0" applyFont="0" applyFill="0" applyBorder="0" applyProtection="0"/>
    <xf numFmtId="9" fontId="24" fillId="0" borderId="0" applyFont="0" applyFill="0" applyBorder="0" applyProtection="0"/>
    <xf numFmtId="9" fontId="24" fillId="0" borderId="0" applyFont="0" applyFill="0" applyBorder="0" applyProtection="0"/>
    <xf numFmtId="9" fontId="24" fillId="0" borderId="0" applyFont="0" applyFill="0" applyBorder="0" applyProtection="0"/>
    <xf numFmtId="9" fontId="24" fillId="0" borderId="0" applyFont="0" applyFill="0" applyBorder="0" applyProtection="0"/>
    <xf numFmtId="9" fontId="24" fillId="0" borderId="0" applyFont="0" applyFill="0" applyBorder="0" applyProtection="0"/>
    <xf numFmtId="9" fontId="24" fillId="0" borderId="0" applyFont="0" applyFill="0" applyBorder="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Protection="0"/>
    <xf numFmtId="9" fontId="24" fillId="0" borderId="0" applyFont="0" applyFill="0" applyBorder="0" applyProtection="0"/>
    <xf numFmtId="9" fontId="24" fillId="0" borderId="0" applyFont="0" applyFill="0" applyBorder="0" applyProtection="0"/>
    <xf numFmtId="9" fontId="24" fillId="0" borderId="0" applyFont="0" applyFill="0" applyBorder="0" applyProtection="0"/>
    <xf numFmtId="9" fontId="24" fillId="0" borderId="0" applyFont="0" applyFill="0" applyBorder="0" applyProtection="0"/>
    <xf numFmtId="9" fontId="24" fillId="0" borderId="0" applyFont="0" applyFill="0" applyBorder="0" applyProtection="0"/>
    <xf numFmtId="9" fontId="24" fillId="0" borderId="0" applyFont="0" applyFill="0" applyBorder="0" applyProtection="0"/>
    <xf numFmtId="9" fontId="24" fillId="0" borderId="0" applyFont="0" applyFill="0" applyBorder="0" applyProtection="0"/>
    <xf numFmtId="9" fontId="24" fillId="0" borderId="0" applyFont="0" applyFill="0" applyBorder="0" applyProtection="0"/>
    <xf numFmtId="9" fontId="24" fillId="0" borderId="0" applyFont="0" applyFill="0" applyBorder="0" applyProtection="0"/>
    <xf numFmtId="9" fontId="24" fillId="0" borderId="0" applyFont="0" applyFill="0" applyBorder="0" applyProtection="0"/>
    <xf numFmtId="9" fontId="24" fillId="0" borderId="0" applyFont="0" applyFill="0" applyBorder="0" applyProtection="0"/>
    <xf numFmtId="9" fontId="24" fillId="0" borderId="0" applyFont="0" applyFill="0" applyBorder="0" applyProtection="0"/>
    <xf numFmtId="9" fontId="15" fillId="0" borderId="0" applyFont="0" applyFill="0" applyBorder="0" applyProtection="0"/>
    <xf numFmtId="9" fontId="14" fillId="0" borderId="0" applyFill="0" applyBorder="0" applyAlignment="0" applyProtection="0"/>
    <xf numFmtId="9" fontId="14" fillId="0" borderId="0" applyFill="0" applyBorder="0" applyAlignment="0" applyProtection="0"/>
    <xf numFmtId="9" fontId="14" fillId="0" borderId="0" applyFill="0" applyBorder="0" applyAlignment="0" applyProtection="0"/>
    <xf numFmtId="9" fontId="14" fillId="0" borderId="0" applyFill="0" applyBorder="0" applyAlignment="0" applyProtection="0"/>
    <xf numFmtId="9" fontId="14" fillId="0" borderId="0" applyFill="0" applyBorder="0" applyAlignment="0" applyProtection="0"/>
    <xf numFmtId="9" fontId="14" fillId="0" borderId="0" applyFill="0" applyBorder="0" applyAlignment="0" applyProtection="0"/>
    <xf numFmtId="9" fontId="14" fillId="0" borderId="0" applyFill="0" applyBorder="0" applyAlignment="0" applyProtection="0"/>
    <xf numFmtId="9" fontId="14" fillId="0" borderId="0" applyFill="0" applyBorder="0" applyAlignment="0" applyProtection="0"/>
    <xf numFmtId="9" fontId="14" fillId="0" borderId="0" applyFill="0" applyBorder="0" applyAlignment="0" applyProtection="0"/>
    <xf numFmtId="9" fontId="14" fillId="0" borderId="0" applyFill="0" applyBorder="0" applyAlignment="0" applyProtection="0"/>
    <xf numFmtId="9" fontId="14" fillId="0" borderId="0" applyFill="0" applyBorder="0" applyAlignment="0" applyProtection="0"/>
    <xf numFmtId="9" fontId="14" fillId="0" borderId="0" applyFill="0" applyBorder="0" applyAlignment="0" applyProtection="0"/>
    <xf numFmtId="9" fontId="14" fillId="0" borderId="0" applyFill="0" applyBorder="0" applyAlignment="0" applyProtection="0"/>
    <xf numFmtId="9" fontId="14" fillId="0" borderId="0" applyFill="0" applyBorder="0" applyAlignment="0" applyProtection="0"/>
    <xf numFmtId="9" fontId="14" fillId="0" borderId="0" applyFill="0" applyBorder="0" applyAlignment="0" applyProtection="0"/>
    <xf numFmtId="9" fontId="14" fillId="0" borderId="0" applyFill="0" applyBorder="0" applyAlignment="0" applyProtection="0"/>
    <xf numFmtId="9" fontId="14" fillId="0" borderId="0" applyFill="0" applyBorder="0" applyAlignment="0" applyProtection="0"/>
    <xf numFmtId="9" fontId="14" fillId="0" borderId="0" applyFill="0" applyBorder="0" applyAlignment="0" applyProtection="0"/>
    <xf numFmtId="9" fontId="14" fillId="0" borderId="0" applyFill="0" applyBorder="0" applyAlignment="0" applyProtection="0"/>
    <xf numFmtId="9" fontId="14" fillId="0" borderId="0" applyFill="0" applyBorder="0" applyAlignment="0" applyProtection="0"/>
    <xf numFmtId="9" fontId="14" fillId="0" borderId="0" applyFill="0" applyBorder="0" applyProtection="0"/>
    <xf numFmtId="9" fontId="14" fillId="0" borderId="0" applyFill="0" applyBorder="0" applyProtection="0"/>
    <xf numFmtId="9" fontId="14" fillId="0" borderId="0" applyFill="0" applyBorder="0" applyProtection="0"/>
    <xf numFmtId="9" fontId="14" fillId="0" borderId="0" applyFill="0" applyBorder="0" applyProtection="0"/>
    <xf numFmtId="9" fontId="14" fillId="0" borderId="0" applyFill="0" applyBorder="0" applyProtection="0"/>
    <xf numFmtId="9" fontId="14" fillId="0" borderId="0" applyFill="0" applyBorder="0" applyProtection="0"/>
    <xf numFmtId="9" fontId="14" fillId="0" borderId="0" applyFill="0" applyBorder="0" applyProtection="0"/>
    <xf numFmtId="9" fontId="14" fillId="0" borderId="0" applyFill="0" applyBorder="0" applyProtection="0"/>
    <xf numFmtId="9" fontId="14" fillId="0" borderId="0" applyFill="0" applyBorder="0" applyAlignment="0" applyProtection="0"/>
    <xf numFmtId="9" fontId="14" fillId="0" borderId="0" applyFill="0" applyBorder="0" applyAlignment="0" applyProtection="0"/>
    <xf numFmtId="9" fontId="14" fillId="0" borderId="0" applyFill="0" applyBorder="0" applyAlignment="0" applyProtection="0"/>
    <xf numFmtId="9" fontId="14" fillId="0" borderId="0" applyFill="0" applyBorder="0" applyAlignment="0" applyProtection="0"/>
    <xf numFmtId="9" fontId="14" fillId="0" borderId="0" applyFill="0" applyBorder="0" applyAlignment="0" applyProtection="0"/>
    <xf numFmtId="9" fontId="14" fillId="0" borderId="0" applyFill="0" applyBorder="0" applyAlignment="0" applyProtection="0"/>
    <xf numFmtId="9" fontId="14" fillId="0" borderId="0" applyFill="0" applyBorder="0" applyAlignment="0" applyProtection="0"/>
    <xf numFmtId="9" fontId="14" fillId="0" borderId="0" applyFill="0" applyBorder="0" applyAlignment="0" applyProtection="0"/>
    <xf numFmtId="9" fontId="14" fillId="0" borderId="0" applyFill="0" applyBorder="0" applyAlignment="0" applyProtection="0"/>
    <xf numFmtId="9" fontId="14" fillId="0" borderId="0" applyFill="0" applyBorder="0" applyAlignment="0" applyProtection="0"/>
    <xf numFmtId="9" fontId="14" fillId="0" borderId="0" applyFill="0" applyBorder="0" applyAlignment="0" applyProtection="0"/>
    <xf numFmtId="9" fontId="14" fillId="0" borderId="0" applyFill="0" applyBorder="0" applyAlignment="0" applyProtection="0"/>
    <xf numFmtId="9" fontId="14" fillId="0" borderId="0" applyFill="0" applyBorder="0" applyAlignment="0" applyProtection="0"/>
    <xf numFmtId="9" fontId="14" fillId="0" borderId="0" applyFill="0" applyBorder="0" applyAlignment="0" applyProtection="0"/>
    <xf numFmtId="9" fontId="14" fillId="0" borderId="0" applyFill="0" applyBorder="0" applyAlignment="0" applyProtection="0"/>
    <xf numFmtId="9" fontId="14" fillId="0" borderId="0" applyFill="0" applyBorder="0" applyAlignment="0" applyProtection="0"/>
    <xf numFmtId="9" fontId="14" fillId="0" borderId="0" applyFill="0" applyBorder="0" applyAlignment="0" applyProtection="0"/>
    <xf numFmtId="9" fontId="14" fillId="0" borderId="0" applyFill="0" applyBorder="0" applyAlignment="0" applyProtection="0"/>
    <xf numFmtId="9" fontId="14" fillId="0" borderId="0" applyFill="0" applyBorder="0" applyAlignment="0" applyProtection="0"/>
    <xf numFmtId="9" fontId="14" fillId="0" borderId="0" applyFill="0" applyBorder="0" applyAlignment="0" applyProtection="0"/>
    <xf numFmtId="9" fontId="14" fillId="0" borderId="0" applyFill="0" applyBorder="0" applyProtection="0"/>
    <xf numFmtId="9" fontId="14" fillId="0" borderId="0" applyFill="0" applyBorder="0" applyProtection="0"/>
    <xf numFmtId="9" fontId="14" fillId="0" borderId="0" applyFill="0" applyBorder="0" applyProtection="0"/>
    <xf numFmtId="9" fontId="14" fillId="0" borderId="0" applyFill="0" applyBorder="0" applyProtection="0"/>
    <xf numFmtId="9" fontId="14" fillId="0" borderId="0" applyFill="0" applyBorder="0" applyProtection="0"/>
    <xf numFmtId="9" fontId="14" fillId="0" borderId="0" applyFill="0" applyBorder="0" applyProtection="0"/>
    <xf numFmtId="9" fontId="14" fillId="0" borderId="0" applyFill="0" applyBorder="0" applyProtection="0"/>
    <xf numFmtId="9" fontId="14" fillId="0" borderId="0" applyFill="0" applyBorder="0" applyProtection="0"/>
    <xf numFmtId="9" fontId="15" fillId="0" borderId="0" applyFont="0" applyFill="0" applyBorder="0" applyProtection="0"/>
    <xf numFmtId="9" fontId="15" fillId="0" borderId="0" applyFont="0" applyFill="0" applyBorder="0" applyProtection="0"/>
    <xf numFmtId="9" fontId="15" fillId="0" borderId="0" applyFont="0" applyFill="0" applyBorder="0" applyProtection="0"/>
    <xf numFmtId="9" fontId="15" fillId="0" borderId="0" applyFont="0" applyFill="0" applyBorder="0" applyProtection="0"/>
    <xf numFmtId="9" fontId="15" fillId="0" borderId="0" applyFont="0" applyFill="0" applyBorder="0" applyProtection="0"/>
    <xf numFmtId="9" fontId="15" fillId="0" borderId="0" applyFont="0" applyFill="0" applyBorder="0" applyProtection="0"/>
    <xf numFmtId="9" fontId="15" fillId="0" borderId="0" applyFont="0" applyFill="0" applyBorder="0" applyProtection="0"/>
    <xf numFmtId="9" fontId="15" fillId="0" borderId="0" applyFont="0" applyFill="0" applyBorder="0" applyProtection="0"/>
    <xf numFmtId="9" fontId="15" fillId="0" borderId="0" applyFont="0" applyFill="0" applyBorder="0" applyProtection="0"/>
    <xf numFmtId="9" fontId="15" fillId="0" borderId="0" applyFont="0" applyFill="0" applyBorder="0" applyProtection="0"/>
    <xf numFmtId="9" fontId="15" fillId="0" borderId="0" applyFont="0" applyFill="0" applyBorder="0" applyProtection="0"/>
    <xf numFmtId="9" fontId="15" fillId="0" borderId="0" applyFont="0" applyFill="0" applyBorder="0" applyProtection="0"/>
    <xf numFmtId="9" fontId="15" fillId="0" borderId="0" applyFont="0" applyFill="0" applyBorder="0" applyProtection="0"/>
    <xf numFmtId="9" fontId="15" fillId="0" borderId="0" applyFont="0" applyFill="0" applyBorder="0" applyProtection="0"/>
    <xf numFmtId="9" fontId="15" fillId="0" borderId="0" applyFont="0" applyFill="0" applyBorder="0" applyProtection="0"/>
    <xf numFmtId="9" fontId="24" fillId="0" borderId="0" applyFont="0" applyFill="0" applyBorder="0" applyProtection="0"/>
    <xf numFmtId="9" fontId="24" fillId="0" borderId="0" applyFont="0" applyFill="0" applyBorder="0" applyProtection="0"/>
    <xf numFmtId="9" fontId="24" fillId="0" borderId="0" applyFont="0" applyFill="0" applyBorder="0" applyProtection="0"/>
    <xf numFmtId="9" fontId="24" fillId="0" borderId="0" applyFont="0" applyFill="0" applyBorder="0" applyProtection="0"/>
    <xf numFmtId="9" fontId="24" fillId="0" borderId="0" applyFont="0" applyFill="0" applyBorder="0" applyProtection="0"/>
    <xf numFmtId="9" fontId="24" fillId="0" borderId="0" applyFont="0" applyFill="0" applyBorder="0" applyProtection="0"/>
    <xf numFmtId="9" fontId="59" fillId="0" borderId="0" applyFont="0" applyFill="0" applyBorder="0" applyProtection="0"/>
    <xf numFmtId="9" fontId="59" fillId="0" borderId="0" applyFont="0" applyFill="0" applyBorder="0" applyProtection="0"/>
    <xf numFmtId="9" fontId="59" fillId="0" borderId="0" applyFont="0" applyFill="0" applyBorder="0" applyProtection="0"/>
    <xf numFmtId="9" fontId="59" fillId="0" borderId="0" applyFont="0" applyFill="0" applyBorder="0" applyProtection="0"/>
    <xf numFmtId="9" fontId="59" fillId="0" borderId="0" applyFont="0" applyFill="0" applyBorder="0" applyProtection="0"/>
    <xf numFmtId="9" fontId="59" fillId="0" borderId="0" applyFont="0" applyFill="0" applyBorder="0" applyProtection="0"/>
    <xf numFmtId="9" fontId="59" fillId="0" borderId="0" applyFont="0" applyFill="0" applyBorder="0" applyProtection="0"/>
    <xf numFmtId="9" fontId="59" fillId="0" borderId="0" applyFont="0" applyFill="0" applyBorder="0" applyProtection="0"/>
    <xf numFmtId="9" fontId="59" fillId="0" borderId="0" applyFont="0" applyFill="0" applyBorder="0" applyProtection="0"/>
    <xf numFmtId="9" fontId="24" fillId="0" borderId="0" applyFont="0" applyFill="0" applyBorder="0" applyProtection="0"/>
    <xf numFmtId="9" fontId="24" fillId="0" borderId="0" applyFont="0" applyFill="0" applyBorder="0" applyProtection="0"/>
    <xf numFmtId="9" fontId="24" fillId="0" borderId="0" applyFont="0" applyFill="0" applyBorder="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Protection="0"/>
    <xf numFmtId="9" fontId="24" fillId="0" borderId="0" applyFont="0" applyFill="0" applyBorder="0" applyProtection="0"/>
    <xf numFmtId="9" fontId="24" fillId="0" borderId="0" applyFont="0" applyFill="0" applyBorder="0" applyProtection="0"/>
    <xf numFmtId="9" fontId="24" fillId="0" borderId="0" applyFont="0" applyFill="0" applyBorder="0" applyProtection="0"/>
    <xf numFmtId="9" fontId="24" fillId="0" borderId="0" applyFont="0" applyFill="0" applyBorder="0" applyProtection="0"/>
    <xf numFmtId="9" fontId="24" fillId="0" borderId="0" applyFont="0" applyFill="0" applyBorder="0" applyProtection="0"/>
    <xf numFmtId="9" fontId="24" fillId="0" borderId="0" applyFont="0" applyFill="0" applyBorder="0" applyProtection="0"/>
    <xf numFmtId="9" fontId="24" fillId="0" borderId="0" applyFont="0" applyFill="0" applyBorder="0" applyProtection="0"/>
    <xf numFmtId="9" fontId="24" fillId="0" borderId="0" applyFont="0" applyFill="0" applyBorder="0" applyProtection="0"/>
    <xf numFmtId="9" fontId="24" fillId="0" borderId="0" applyFont="0" applyFill="0" applyBorder="0" applyProtection="0"/>
    <xf numFmtId="9" fontId="24" fillId="0" borderId="0" applyFont="0" applyFill="0" applyBorder="0" applyProtection="0"/>
    <xf numFmtId="9" fontId="24" fillId="0" borderId="0" applyFont="0" applyFill="0" applyBorder="0" applyProtection="0"/>
    <xf numFmtId="9" fontId="24" fillId="0" borderId="0" applyFont="0" applyFill="0" applyBorder="0" applyProtection="0"/>
    <xf numFmtId="9" fontId="59" fillId="0" borderId="0" applyFont="0" applyFill="0" applyBorder="0" applyProtection="0"/>
    <xf numFmtId="9" fontId="59" fillId="0" borderId="0" applyFont="0" applyFill="0" applyBorder="0" applyProtection="0"/>
    <xf numFmtId="9" fontId="59" fillId="0" borderId="0" applyFont="0" applyFill="0" applyBorder="0" applyProtection="0"/>
    <xf numFmtId="9" fontId="59" fillId="0" borderId="0" applyFont="0" applyFill="0" applyBorder="0" applyProtection="0"/>
    <xf numFmtId="9" fontId="59" fillId="0" borderId="0" applyFont="0" applyFill="0" applyBorder="0" applyProtection="0"/>
    <xf numFmtId="9" fontId="59" fillId="0" borderId="0" applyFont="0" applyFill="0" applyBorder="0" applyProtection="0"/>
    <xf numFmtId="9" fontId="59" fillId="0" borderId="0" applyFont="0" applyFill="0" applyBorder="0" applyProtection="0"/>
    <xf numFmtId="9" fontId="59" fillId="0" borderId="0" applyFont="0" applyFill="0" applyBorder="0" applyProtection="0"/>
    <xf numFmtId="9" fontId="59" fillId="0" borderId="0" applyFont="0" applyFill="0" applyBorder="0" applyProtection="0"/>
    <xf numFmtId="9" fontId="59" fillId="0" borderId="0" applyFont="0" applyFill="0" applyBorder="0" applyProtection="0"/>
    <xf numFmtId="9" fontId="59" fillId="0" borderId="0" applyFont="0" applyFill="0" applyBorder="0" applyProtection="0"/>
    <xf numFmtId="9" fontId="59" fillId="0" borderId="0" applyFont="0" applyFill="0" applyBorder="0" applyProtection="0"/>
    <xf numFmtId="9" fontId="59" fillId="0" borderId="0" applyFont="0" applyFill="0" applyBorder="0" applyProtection="0"/>
    <xf numFmtId="9" fontId="59" fillId="0" borderId="0" applyFont="0" applyFill="0" applyBorder="0" applyProtection="0"/>
    <xf numFmtId="9" fontId="59" fillId="0" borderId="0" applyFont="0" applyFill="0" applyBorder="0" applyProtection="0"/>
    <xf numFmtId="9" fontId="59" fillId="0" borderId="0" applyFont="0" applyFill="0" applyBorder="0" applyProtection="0"/>
    <xf numFmtId="9" fontId="59" fillId="0" borderId="0" applyFont="0" applyFill="0" applyBorder="0" applyProtection="0"/>
    <xf numFmtId="9" fontId="59" fillId="0" borderId="0" applyFont="0" applyFill="0" applyBorder="0" applyProtection="0"/>
    <xf numFmtId="9" fontId="59" fillId="0" borderId="0" applyFont="0" applyFill="0" applyBorder="0" applyProtection="0"/>
    <xf numFmtId="9" fontId="59" fillId="0" borderId="0" applyFont="0" applyFill="0" applyBorder="0" applyProtection="0"/>
    <xf numFmtId="9" fontId="59" fillId="0" borderId="0" applyFont="0" applyFill="0" applyBorder="0" applyProtection="0"/>
    <xf numFmtId="9" fontId="59" fillId="0" borderId="0" applyFont="0" applyFill="0" applyBorder="0" applyProtection="0"/>
    <xf numFmtId="9" fontId="59" fillId="0" borderId="0" applyFont="0" applyFill="0" applyBorder="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Protection="0"/>
    <xf numFmtId="9" fontId="24" fillId="0" borderId="0" applyFont="0" applyFill="0" applyBorder="0" applyProtection="0"/>
    <xf numFmtId="9" fontId="24" fillId="0" borderId="0" applyFont="0" applyFill="0" applyBorder="0" applyProtection="0"/>
    <xf numFmtId="9" fontId="24" fillId="0" borderId="0" applyFont="0" applyFill="0" applyBorder="0" applyProtection="0"/>
    <xf numFmtId="9" fontId="24" fillId="0" borderId="0" applyFont="0" applyFill="0" applyBorder="0" applyProtection="0"/>
    <xf numFmtId="9" fontId="24" fillId="0" borderId="0" applyFont="0" applyFill="0" applyBorder="0" applyProtection="0"/>
    <xf numFmtId="9" fontId="24" fillId="0" borderId="0" applyFont="0" applyFill="0" applyBorder="0" applyProtection="0"/>
    <xf numFmtId="9" fontId="24" fillId="0" borderId="0" applyFont="0" applyFill="0" applyBorder="0" applyProtection="0"/>
    <xf numFmtId="9" fontId="24" fillId="0" borderId="0" applyFont="0" applyFill="0" applyBorder="0" applyProtection="0"/>
    <xf numFmtId="9" fontId="24" fillId="0" borderId="0" applyFont="0" applyFill="0" applyBorder="0" applyProtection="0"/>
    <xf numFmtId="9" fontId="59" fillId="0" borderId="0" applyFont="0" applyFill="0" applyBorder="0" applyProtection="0"/>
    <xf numFmtId="9" fontId="59" fillId="0" borderId="0" applyFont="0" applyFill="0" applyBorder="0" applyProtection="0"/>
    <xf numFmtId="9" fontId="59" fillId="0" borderId="0" applyFont="0" applyFill="0" applyBorder="0" applyProtection="0"/>
    <xf numFmtId="9" fontId="59" fillId="0" borderId="0" applyFont="0" applyFill="0" applyBorder="0" applyProtection="0"/>
    <xf numFmtId="9" fontId="59" fillId="0" borderId="0" applyFont="0" applyFill="0" applyBorder="0" applyProtection="0"/>
    <xf numFmtId="9" fontId="59" fillId="0" borderId="0" applyFont="0" applyFill="0" applyBorder="0" applyProtection="0"/>
    <xf numFmtId="9" fontId="59" fillId="0" borderId="0" applyFont="0" applyFill="0" applyBorder="0" applyProtection="0"/>
    <xf numFmtId="9" fontId="59" fillId="0" borderId="0" applyFont="0" applyFill="0" applyBorder="0" applyProtection="0"/>
    <xf numFmtId="0" fontId="162" fillId="0" borderId="45" applyNumberFormat="0" applyFill="0" applyProtection="0"/>
    <xf numFmtId="0" fontId="162" fillId="0" borderId="45" applyNumberFormat="0" applyFill="0" applyProtection="0"/>
    <xf numFmtId="0" fontId="162" fillId="0" borderId="45" applyNumberFormat="0" applyFill="0" applyProtection="0"/>
    <xf numFmtId="0" fontId="162" fillId="0" borderId="45" applyNumberFormat="0" applyFill="0" applyProtection="0"/>
    <xf numFmtId="0" fontId="162" fillId="0" borderId="45" applyNumberFormat="0" applyFill="0" applyProtection="0"/>
    <xf numFmtId="0" fontId="162" fillId="0" borderId="45" applyNumberFormat="0" applyFill="0" applyProtection="0"/>
    <xf numFmtId="0" fontId="162" fillId="0" borderId="45" applyNumberFormat="0" applyFill="0" applyProtection="0"/>
    <xf numFmtId="0" fontId="162" fillId="0" borderId="45" applyNumberFormat="0" applyFill="0" applyProtection="0"/>
    <xf numFmtId="0" fontId="161" fillId="0" borderId="45" applyNumberFormat="0" applyFill="0" applyAlignment="0" applyProtection="0"/>
    <xf numFmtId="0" fontId="161" fillId="0" borderId="45" applyNumberFormat="0" applyFill="0" applyAlignment="0" applyProtection="0"/>
    <xf numFmtId="0" fontId="161" fillId="0" borderId="45" applyNumberFormat="0" applyFill="0" applyAlignment="0" applyProtection="0"/>
    <xf numFmtId="0" fontId="161" fillId="0" borderId="45" applyNumberFormat="0" applyFill="0" applyAlignment="0" applyProtection="0"/>
    <xf numFmtId="0" fontId="161" fillId="0" borderId="45" applyNumberFormat="0" applyFill="0" applyAlignment="0" applyProtection="0"/>
    <xf numFmtId="0" fontId="161" fillId="0" borderId="45" applyNumberFormat="0" applyFill="0" applyAlignment="0" applyProtection="0"/>
    <xf numFmtId="0" fontId="161" fillId="0" borderId="45" applyNumberFormat="0" applyFill="0" applyAlignment="0" applyProtection="0"/>
    <xf numFmtId="0" fontId="161" fillId="0" borderId="45" applyNumberFormat="0" applyFill="0" applyAlignment="0" applyProtection="0"/>
    <xf numFmtId="0" fontId="161" fillId="0" borderId="45" applyNumberFormat="0" applyFill="0" applyAlignment="0" applyProtection="0"/>
    <xf numFmtId="0" fontId="161" fillId="0" borderId="45" applyNumberFormat="0" applyFill="0" applyAlignment="0" applyProtection="0"/>
    <xf numFmtId="0" fontId="161" fillId="0" borderId="45" applyNumberFormat="0" applyFill="0" applyAlignment="0" applyProtection="0"/>
    <xf numFmtId="0" fontId="161" fillId="0" borderId="45" applyNumberFormat="0" applyFill="0" applyAlignment="0" applyProtection="0"/>
    <xf numFmtId="0" fontId="161" fillId="0" borderId="45" applyNumberFormat="0" applyFill="0" applyAlignment="0" applyProtection="0"/>
    <xf numFmtId="0" fontId="161" fillId="0" borderId="45" applyNumberFormat="0" applyFill="0" applyAlignment="0" applyProtection="0"/>
    <xf numFmtId="0" fontId="161" fillId="0" borderId="45" applyNumberFormat="0" applyFill="0" applyAlignment="0" applyProtection="0"/>
    <xf numFmtId="0" fontId="161" fillId="0" borderId="45" applyNumberFormat="0" applyFill="0" applyAlignment="0" applyProtection="0"/>
    <xf numFmtId="0" fontId="161" fillId="0" borderId="45" applyNumberFormat="0" applyFill="0" applyAlignment="0" applyProtection="0"/>
    <xf numFmtId="0" fontId="161" fillId="0" borderId="45" applyNumberFormat="0" applyFill="0" applyAlignment="0" applyProtection="0"/>
    <xf numFmtId="0" fontId="161" fillId="0" borderId="45" applyNumberFormat="0" applyFill="0" applyAlignment="0" applyProtection="0"/>
    <xf numFmtId="0" fontId="161" fillId="0" borderId="45" applyNumberFormat="0" applyFill="0" applyAlignment="0" applyProtection="0"/>
    <xf numFmtId="0" fontId="161" fillId="0" borderId="45" applyNumberFormat="0" applyFill="0" applyProtection="0"/>
    <xf numFmtId="0" fontId="161" fillId="0" borderId="45" applyNumberFormat="0" applyFill="0" applyProtection="0"/>
    <xf numFmtId="0" fontId="161" fillId="0" borderId="45" applyNumberFormat="0" applyFill="0" applyProtection="0"/>
    <xf numFmtId="0" fontId="161" fillId="0" borderId="45" applyNumberFormat="0" applyFill="0" applyProtection="0"/>
    <xf numFmtId="0" fontId="161" fillId="0" borderId="45" applyNumberFormat="0" applyFill="0" applyProtection="0"/>
    <xf numFmtId="0" fontId="161" fillId="0" borderId="45" applyNumberFormat="0" applyFill="0" applyProtection="0"/>
    <xf numFmtId="0" fontId="161" fillId="0" borderId="45" applyNumberFormat="0" applyFill="0" applyProtection="0"/>
    <xf numFmtId="0" fontId="161" fillId="0" borderId="45" applyNumberFormat="0" applyFill="0" applyProtection="0"/>
    <xf numFmtId="0" fontId="161" fillId="0" borderId="45" applyNumberFormat="0" applyFill="0" applyAlignment="0" applyProtection="0"/>
    <xf numFmtId="0" fontId="161" fillId="0" borderId="45" applyNumberFormat="0" applyFill="0" applyAlignment="0" applyProtection="0"/>
    <xf numFmtId="0" fontId="161" fillId="0" borderId="45" applyNumberFormat="0" applyFill="0" applyAlignment="0" applyProtection="0"/>
    <xf numFmtId="0" fontId="161" fillId="0" borderId="45" applyNumberFormat="0" applyFill="0" applyAlignment="0" applyProtection="0"/>
    <xf numFmtId="0" fontId="161" fillId="0" borderId="45" applyNumberFormat="0" applyFill="0" applyAlignment="0" applyProtection="0"/>
    <xf numFmtId="0" fontId="161" fillId="0" borderId="45" applyNumberFormat="0" applyFill="0" applyAlignment="0" applyProtection="0"/>
    <xf numFmtId="0" fontId="161" fillId="0" borderId="45" applyNumberFormat="0" applyFill="0" applyAlignment="0" applyProtection="0"/>
    <xf numFmtId="0" fontId="161" fillId="0" borderId="45" applyNumberFormat="0" applyFill="0" applyAlignment="0" applyProtection="0"/>
    <xf numFmtId="0" fontId="161" fillId="0" borderId="45" applyNumberFormat="0" applyFill="0" applyAlignment="0" applyProtection="0"/>
    <xf numFmtId="0" fontId="161" fillId="0" borderId="45" applyNumberFormat="0" applyFill="0" applyAlignment="0" applyProtection="0"/>
    <xf numFmtId="0" fontId="161" fillId="0" borderId="45" applyNumberFormat="0" applyFill="0" applyAlignment="0" applyProtection="0"/>
    <xf numFmtId="0" fontId="161" fillId="0" borderId="45" applyNumberFormat="0" applyFill="0" applyAlignment="0" applyProtection="0"/>
    <xf numFmtId="0" fontId="161" fillId="0" borderId="45" applyNumberFormat="0" applyFill="0" applyAlignment="0" applyProtection="0"/>
    <xf numFmtId="0" fontId="161" fillId="0" borderId="45" applyNumberFormat="0" applyFill="0" applyAlignment="0" applyProtection="0"/>
    <xf numFmtId="0" fontId="161" fillId="0" borderId="45" applyNumberFormat="0" applyFill="0" applyAlignment="0" applyProtection="0"/>
    <xf numFmtId="0" fontId="161" fillId="0" borderId="45" applyNumberFormat="0" applyFill="0" applyAlignment="0" applyProtection="0"/>
    <xf numFmtId="0" fontId="161" fillId="0" borderId="45" applyNumberFormat="0" applyFill="0" applyAlignment="0" applyProtection="0"/>
    <xf numFmtId="0" fontId="161" fillId="0" borderId="45" applyNumberFormat="0" applyFill="0" applyAlignment="0" applyProtection="0"/>
    <xf numFmtId="0" fontId="161" fillId="0" borderId="45" applyNumberFormat="0" applyFill="0" applyAlignment="0" applyProtection="0"/>
    <xf numFmtId="0" fontId="161" fillId="0" borderId="45" applyNumberFormat="0" applyFill="0" applyAlignment="0" applyProtection="0"/>
    <xf numFmtId="0" fontId="161" fillId="0" borderId="45" applyNumberFormat="0" applyFill="0" applyProtection="0"/>
    <xf numFmtId="0" fontId="161" fillId="0" borderId="45" applyNumberFormat="0" applyFill="0" applyProtection="0"/>
    <xf numFmtId="0" fontId="161" fillId="0" borderId="45" applyNumberFormat="0" applyFill="0" applyProtection="0"/>
    <xf numFmtId="0" fontId="161" fillId="0" borderId="45" applyNumberFormat="0" applyFill="0" applyProtection="0"/>
    <xf numFmtId="0" fontId="161" fillId="0" borderId="45" applyNumberFormat="0" applyFill="0" applyProtection="0"/>
    <xf numFmtId="0" fontId="161" fillId="0" borderId="45" applyNumberFormat="0" applyFill="0" applyProtection="0"/>
    <xf numFmtId="0" fontId="161" fillId="0" borderId="45" applyNumberFormat="0" applyFill="0" applyProtection="0"/>
    <xf numFmtId="0" fontId="161" fillId="0" borderId="45" applyNumberFormat="0" applyFill="0" applyProtection="0"/>
    <xf numFmtId="0" fontId="161" fillId="0" borderId="45" applyNumberFormat="0" applyFill="0" applyAlignment="0" applyProtection="0"/>
    <xf numFmtId="0" fontId="161" fillId="0" borderId="45" applyNumberFormat="0" applyFill="0" applyAlignment="0" applyProtection="0"/>
    <xf numFmtId="0" fontId="161" fillId="0" borderId="45" applyNumberFormat="0" applyFill="0" applyAlignment="0" applyProtection="0"/>
    <xf numFmtId="0" fontId="161" fillId="0" borderId="45" applyNumberFormat="0" applyFill="0" applyAlignment="0" applyProtection="0"/>
    <xf numFmtId="0" fontId="161" fillId="0" borderId="45" applyNumberFormat="0" applyFill="0" applyAlignment="0" applyProtection="0"/>
    <xf numFmtId="0" fontId="161" fillId="0" borderId="45" applyNumberFormat="0" applyFill="0" applyAlignment="0" applyProtection="0"/>
    <xf numFmtId="0" fontId="161" fillId="0" borderId="45" applyNumberFormat="0" applyFill="0" applyAlignment="0" applyProtection="0"/>
    <xf numFmtId="0" fontId="161" fillId="0" borderId="45" applyNumberFormat="0" applyFill="0" applyAlignment="0" applyProtection="0"/>
    <xf numFmtId="0" fontId="161" fillId="0" borderId="45" applyNumberFormat="0" applyFill="0" applyAlignment="0" applyProtection="0"/>
    <xf numFmtId="0" fontId="161" fillId="0" borderId="45" applyNumberFormat="0" applyFill="0" applyAlignment="0" applyProtection="0"/>
    <xf numFmtId="0" fontId="161" fillId="0" borderId="45" applyNumberFormat="0" applyFill="0" applyAlignment="0" applyProtection="0"/>
    <xf numFmtId="0" fontId="161" fillId="0" borderId="45" applyNumberFormat="0" applyFill="0" applyAlignment="0" applyProtection="0"/>
    <xf numFmtId="0" fontId="161" fillId="0" borderId="45" applyNumberFormat="0" applyFill="0" applyAlignment="0" applyProtection="0"/>
    <xf numFmtId="0" fontId="161" fillId="0" borderId="45" applyNumberFormat="0" applyFill="0" applyAlignment="0" applyProtection="0"/>
    <xf numFmtId="0" fontId="161" fillId="0" borderId="45" applyNumberFormat="0" applyFill="0" applyAlignment="0" applyProtection="0"/>
    <xf numFmtId="0" fontId="161" fillId="0" borderId="45" applyNumberFormat="0" applyFill="0" applyAlignment="0" applyProtection="0"/>
    <xf numFmtId="0" fontId="161" fillId="0" borderId="45" applyNumberFormat="0" applyFill="0" applyAlignment="0" applyProtection="0"/>
    <xf numFmtId="0" fontId="161" fillId="0" borderId="45" applyNumberFormat="0" applyFill="0" applyAlignment="0" applyProtection="0"/>
    <xf numFmtId="0" fontId="161" fillId="0" borderId="45" applyNumberFormat="0" applyFill="0" applyAlignment="0" applyProtection="0"/>
    <xf numFmtId="0" fontId="161" fillId="0" borderId="45" applyNumberFormat="0" applyFill="0" applyAlignment="0" applyProtection="0"/>
    <xf numFmtId="0" fontId="161" fillId="0" borderId="45" applyNumberFormat="0" applyFill="0" applyProtection="0"/>
    <xf numFmtId="0" fontId="161" fillId="0" borderId="45" applyNumberFormat="0" applyFill="0" applyProtection="0"/>
    <xf numFmtId="0" fontId="161" fillId="0" borderId="45" applyNumberFormat="0" applyFill="0" applyProtection="0"/>
    <xf numFmtId="0" fontId="161" fillId="0" borderId="45" applyNumberFormat="0" applyFill="0" applyProtection="0"/>
    <xf numFmtId="0" fontId="161" fillId="0" borderId="45" applyNumberFormat="0" applyFill="0" applyProtection="0"/>
    <xf numFmtId="0" fontId="161" fillId="0" borderId="45" applyNumberFormat="0" applyFill="0" applyProtection="0"/>
    <xf numFmtId="0" fontId="161" fillId="0" borderId="45" applyNumberFormat="0" applyFill="0" applyProtection="0"/>
    <xf numFmtId="0" fontId="161" fillId="0" borderId="45" applyNumberFormat="0" applyFill="0" applyProtection="0"/>
    <xf numFmtId="0" fontId="161" fillId="0" borderId="45" applyNumberFormat="0" applyFill="0" applyAlignment="0" applyProtection="0"/>
    <xf numFmtId="0" fontId="161" fillId="0" borderId="45" applyNumberFormat="0" applyFill="0" applyAlignment="0" applyProtection="0"/>
    <xf numFmtId="0" fontId="161" fillId="0" borderId="45" applyNumberFormat="0" applyFill="0" applyAlignment="0" applyProtection="0"/>
    <xf numFmtId="0" fontId="161" fillId="0" borderId="45" applyNumberFormat="0" applyFill="0" applyAlignment="0" applyProtection="0"/>
    <xf numFmtId="0" fontId="161" fillId="0" borderId="45" applyNumberFormat="0" applyFill="0" applyAlignment="0" applyProtection="0"/>
    <xf numFmtId="0" fontId="161" fillId="0" borderId="45" applyNumberFormat="0" applyFill="0" applyAlignment="0" applyProtection="0"/>
    <xf numFmtId="0" fontId="161" fillId="0" borderId="45" applyNumberFormat="0" applyFill="0" applyAlignment="0" applyProtection="0"/>
    <xf numFmtId="0" fontId="161" fillId="0" borderId="45" applyNumberFormat="0" applyFill="0" applyAlignment="0" applyProtection="0"/>
    <xf numFmtId="0" fontId="161" fillId="0" borderId="45" applyNumberFormat="0" applyFill="0" applyAlignment="0" applyProtection="0"/>
    <xf numFmtId="0" fontId="161" fillId="0" borderId="45" applyNumberFormat="0" applyFill="0" applyAlignment="0" applyProtection="0"/>
    <xf numFmtId="0" fontId="161" fillId="0" borderId="45" applyNumberFormat="0" applyFill="0" applyAlignment="0" applyProtection="0"/>
    <xf numFmtId="0" fontId="161" fillId="0" borderId="45" applyNumberFormat="0" applyFill="0" applyAlignment="0" applyProtection="0"/>
    <xf numFmtId="0" fontId="161" fillId="0" borderId="45" applyNumberFormat="0" applyFill="0" applyAlignment="0" applyProtection="0"/>
    <xf numFmtId="0" fontId="161" fillId="0" borderId="45" applyNumberFormat="0" applyFill="0" applyAlignment="0" applyProtection="0"/>
    <xf numFmtId="0" fontId="161" fillId="0" borderId="45" applyNumberFormat="0" applyFill="0" applyAlignment="0" applyProtection="0"/>
    <xf numFmtId="0" fontId="161" fillId="0" borderId="45" applyNumberFormat="0" applyFill="0" applyAlignment="0" applyProtection="0"/>
    <xf numFmtId="0" fontId="161" fillId="0" borderId="45" applyNumberFormat="0" applyFill="0" applyAlignment="0" applyProtection="0"/>
    <xf numFmtId="0" fontId="161" fillId="0" borderId="45" applyNumberFormat="0" applyFill="0" applyAlignment="0" applyProtection="0"/>
    <xf numFmtId="0" fontId="161" fillId="0" borderId="45" applyNumberFormat="0" applyFill="0" applyAlignment="0" applyProtection="0"/>
    <xf numFmtId="0" fontId="161" fillId="0" borderId="45" applyNumberFormat="0" applyFill="0" applyAlignment="0" applyProtection="0"/>
    <xf numFmtId="0" fontId="161" fillId="0" borderId="45" applyNumberFormat="0" applyFill="0" applyProtection="0"/>
    <xf numFmtId="0" fontId="161" fillId="0" borderId="45" applyNumberFormat="0" applyFill="0" applyProtection="0"/>
    <xf numFmtId="0" fontId="161" fillId="0" borderId="45" applyNumberFormat="0" applyFill="0" applyProtection="0"/>
    <xf numFmtId="0" fontId="161" fillId="0" borderId="45" applyNumberFormat="0" applyFill="0" applyProtection="0"/>
    <xf numFmtId="0" fontId="161" fillId="0" borderId="45" applyNumberFormat="0" applyFill="0" applyProtection="0"/>
    <xf numFmtId="0" fontId="161" fillId="0" borderId="45" applyNumberFormat="0" applyFill="0" applyProtection="0"/>
    <xf numFmtId="0" fontId="161" fillId="0" borderId="45" applyNumberFormat="0" applyFill="0" applyProtection="0"/>
    <xf numFmtId="0" fontId="161" fillId="0" borderId="45" applyNumberFormat="0" applyFill="0" applyProtection="0"/>
    <xf numFmtId="0" fontId="161" fillId="0" borderId="45" applyNumberFormat="0" applyFill="0" applyAlignment="0" applyProtection="0"/>
    <xf numFmtId="0" fontId="161" fillId="0" borderId="45" applyNumberFormat="0" applyFill="0" applyAlignment="0" applyProtection="0"/>
    <xf numFmtId="0" fontId="161" fillId="0" borderId="45" applyNumberFormat="0" applyFill="0" applyAlignment="0" applyProtection="0"/>
    <xf numFmtId="0" fontId="161" fillId="0" borderId="45" applyNumberFormat="0" applyFill="0" applyAlignment="0" applyProtection="0"/>
    <xf numFmtId="0" fontId="161" fillId="0" borderId="45" applyNumberFormat="0" applyFill="0" applyAlignment="0" applyProtection="0"/>
    <xf numFmtId="0" fontId="161" fillId="0" borderId="45" applyNumberFormat="0" applyFill="0" applyAlignment="0" applyProtection="0"/>
    <xf numFmtId="0" fontId="161" fillId="0" borderId="45" applyNumberFormat="0" applyFill="0" applyAlignment="0" applyProtection="0"/>
    <xf numFmtId="0" fontId="161" fillId="0" borderId="45" applyNumberFormat="0" applyFill="0" applyAlignment="0" applyProtection="0"/>
    <xf numFmtId="0" fontId="161" fillId="0" borderId="45" applyNumberFormat="0" applyFill="0" applyAlignment="0" applyProtection="0"/>
    <xf numFmtId="0" fontId="161" fillId="0" borderId="45" applyNumberFormat="0" applyFill="0" applyAlignment="0" applyProtection="0"/>
    <xf numFmtId="0" fontId="161" fillId="0" borderId="45" applyNumberFormat="0" applyFill="0" applyAlignment="0" applyProtection="0"/>
    <xf numFmtId="0" fontId="161" fillId="0" borderId="45" applyNumberFormat="0" applyFill="0" applyAlignment="0" applyProtection="0"/>
    <xf numFmtId="0" fontId="161" fillId="0" borderId="45" applyNumberFormat="0" applyFill="0" applyAlignment="0" applyProtection="0"/>
    <xf numFmtId="0" fontId="161" fillId="0" borderId="45" applyNumberFormat="0" applyFill="0" applyAlignment="0" applyProtection="0"/>
    <xf numFmtId="0" fontId="161" fillId="0" borderId="45" applyNumberFormat="0" applyFill="0" applyAlignment="0" applyProtection="0"/>
    <xf numFmtId="0" fontId="161" fillId="0" borderId="45" applyNumberFormat="0" applyFill="0" applyAlignment="0" applyProtection="0"/>
    <xf numFmtId="0" fontId="161" fillId="0" borderId="45" applyNumberFormat="0" applyFill="0" applyAlignment="0" applyProtection="0"/>
    <xf numFmtId="0" fontId="161" fillId="0" borderId="45" applyNumberFormat="0" applyFill="0" applyAlignment="0" applyProtection="0"/>
    <xf numFmtId="0" fontId="161" fillId="0" borderId="45" applyNumberFormat="0" applyFill="0" applyAlignment="0" applyProtection="0"/>
    <xf numFmtId="0" fontId="161" fillId="0" borderId="45" applyNumberFormat="0" applyFill="0" applyAlignment="0" applyProtection="0"/>
    <xf numFmtId="0" fontId="161" fillId="0" borderId="45" applyNumberFormat="0" applyFill="0" applyProtection="0"/>
    <xf numFmtId="0" fontId="161" fillId="0" borderId="45" applyNumberFormat="0" applyFill="0" applyProtection="0"/>
    <xf numFmtId="0" fontId="161" fillId="0" borderId="45" applyNumberFormat="0" applyFill="0" applyProtection="0"/>
    <xf numFmtId="0" fontId="161" fillId="0" borderId="45" applyNumberFormat="0" applyFill="0" applyProtection="0"/>
    <xf numFmtId="0" fontId="161" fillId="0" borderId="45" applyNumberFormat="0" applyFill="0" applyProtection="0"/>
    <xf numFmtId="0" fontId="161" fillId="0" borderId="45" applyNumberFormat="0" applyFill="0" applyProtection="0"/>
    <xf numFmtId="0" fontId="161" fillId="0" borderId="45" applyNumberFormat="0" applyFill="0" applyProtection="0"/>
    <xf numFmtId="0" fontId="161" fillId="0" borderId="45" applyNumberFormat="0" applyFill="0" applyProtection="0"/>
    <xf numFmtId="0" fontId="167" fillId="0" borderId="0" applyNumberFormat="0" applyFill="0" applyBorder="0" applyProtection="0"/>
    <xf numFmtId="0" fontId="167" fillId="0" borderId="0" applyNumberFormat="0" applyFill="0" applyBorder="0" applyProtection="0"/>
    <xf numFmtId="0" fontId="167" fillId="0" borderId="0" applyNumberFormat="0" applyFill="0" applyBorder="0" applyProtection="0"/>
    <xf numFmtId="0" fontId="167" fillId="0" borderId="0" applyNumberFormat="0" applyFill="0" applyBorder="0" applyProtection="0"/>
    <xf numFmtId="0" fontId="167" fillId="0" borderId="0" applyNumberFormat="0" applyFill="0" applyBorder="0" applyProtection="0"/>
    <xf numFmtId="0" fontId="167" fillId="0" borderId="0" applyNumberFormat="0" applyFill="0" applyBorder="0" applyProtection="0"/>
    <xf numFmtId="0" fontId="167" fillId="0" borderId="0" applyNumberFormat="0" applyFill="0" applyBorder="0" applyProtection="0"/>
    <xf numFmtId="0" fontId="167" fillId="0" borderId="0" applyNumberFormat="0" applyFill="0" applyBorder="0" applyProtection="0"/>
    <xf numFmtId="0" fontId="166" fillId="0" borderId="0" applyNumberFormat="0" applyFill="0" applyBorder="0" applyProtection="0"/>
    <xf numFmtId="0" fontId="166" fillId="0" borderId="0" applyNumberFormat="0" applyFill="0" applyBorder="0" applyProtection="0"/>
    <xf numFmtId="0" fontId="166" fillId="0" borderId="0" applyNumberFormat="0" applyFill="0" applyBorder="0" applyProtection="0"/>
    <xf numFmtId="0" fontId="166" fillId="0" borderId="0" applyNumberFormat="0" applyFill="0" applyBorder="0" applyProtection="0"/>
    <xf numFmtId="0" fontId="166" fillId="0" borderId="0" applyNumberFormat="0" applyFill="0" applyBorder="0" applyProtection="0"/>
    <xf numFmtId="0" fontId="166" fillId="0" borderId="0" applyNumberFormat="0" applyFill="0" applyBorder="0" applyProtection="0"/>
    <xf numFmtId="0" fontId="166" fillId="0" borderId="0" applyNumberFormat="0" applyFill="0" applyBorder="0" applyProtection="0"/>
    <xf numFmtId="0" fontId="166" fillId="0" borderId="0" applyNumberFormat="0" applyFill="0" applyBorder="0" applyProtection="0"/>
    <xf numFmtId="0" fontId="166" fillId="0" borderId="0" applyNumberFormat="0" applyFill="0" applyBorder="0" applyProtection="0"/>
    <xf numFmtId="0" fontId="166" fillId="0" borderId="0" applyNumberFormat="0" applyFill="0" applyBorder="0" applyProtection="0"/>
    <xf numFmtId="0" fontId="166" fillId="0" borderId="0" applyNumberFormat="0" applyFill="0" applyBorder="0" applyProtection="0"/>
    <xf numFmtId="0" fontId="166" fillId="0" borderId="0" applyNumberFormat="0" applyFill="0" applyBorder="0" applyProtection="0"/>
    <xf numFmtId="0" fontId="166" fillId="0" borderId="0" applyNumberFormat="0" applyFill="0" applyBorder="0" applyProtection="0"/>
    <xf numFmtId="0" fontId="166" fillId="0" borderId="0" applyNumberFormat="0" applyFill="0" applyBorder="0" applyProtection="0"/>
    <xf numFmtId="0" fontId="166" fillId="0" borderId="0" applyNumberFormat="0" applyFill="0" applyBorder="0" applyProtection="0"/>
    <xf numFmtId="0" fontId="166" fillId="0" borderId="0" applyNumberFormat="0" applyFill="0" applyBorder="0" applyProtection="0"/>
    <xf numFmtId="0" fontId="166" fillId="0" borderId="0" applyNumberFormat="0" applyFill="0" applyBorder="0" applyProtection="0"/>
    <xf numFmtId="0" fontId="166" fillId="0" borderId="0" applyNumberFormat="0" applyFill="0" applyBorder="0" applyProtection="0"/>
    <xf numFmtId="0" fontId="166" fillId="0" borderId="0" applyNumberFormat="0" applyFill="0" applyBorder="0" applyProtection="0"/>
    <xf numFmtId="0" fontId="166" fillId="0" borderId="0" applyNumberFormat="0" applyFill="0" applyBorder="0" applyProtection="0"/>
    <xf numFmtId="0" fontId="166" fillId="0" borderId="0" applyNumberFormat="0" applyFill="0" applyBorder="0" applyProtection="0"/>
    <xf numFmtId="0" fontId="166" fillId="0" borderId="0" applyNumberFormat="0" applyFill="0" applyBorder="0" applyProtection="0"/>
    <xf numFmtId="0" fontId="166" fillId="0" borderId="0" applyNumberFormat="0" applyFill="0" applyBorder="0" applyProtection="0"/>
    <xf numFmtId="0" fontId="166" fillId="0" borderId="0" applyNumberFormat="0" applyFill="0" applyBorder="0" applyProtection="0"/>
    <xf numFmtId="0" fontId="166" fillId="0" borderId="0" applyNumberFormat="0" applyFill="0" applyBorder="0" applyProtection="0"/>
    <xf numFmtId="0" fontId="166" fillId="0" borderId="0" applyNumberFormat="0" applyFill="0" applyBorder="0" applyProtection="0"/>
    <xf numFmtId="0" fontId="166" fillId="0" borderId="0" applyNumberFormat="0" applyFill="0" applyBorder="0" applyProtection="0"/>
    <xf numFmtId="0" fontId="166" fillId="0" borderId="0" applyNumberFormat="0" applyFill="0" applyBorder="0" applyProtection="0"/>
    <xf numFmtId="0" fontId="166" fillId="0" borderId="0" applyNumberFormat="0" applyFill="0" applyBorder="0" applyProtection="0"/>
    <xf numFmtId="0" fontId="166" fillId="0" borderId="0" applyNumberFormat="0" applyFill="0" applyBorder="0" applyProtection="0"/>
    <xf numFmtId="0" fontId="166" fillId="0" borderId="0" applyNumberFormat="0" applyFill="0" applyBorder="0" applyProtection="0"/>
    <xf numFmtId="0" fontId="166" fillId="0" borderId="0" applyNumberFormat="0" applyFill="0" applyBorder="0" applyProtection="0"/>
    <xf numFmtId="0" fontId="166" fillId="0" borderId="0" applyNumberFormat="0" applyFill="0" applyBorder="0" applyProtection="0"/>
    <xf numFmtId="0" fontId="166" fillId="0" borderId="0" applyNumberFormat="0" applyFill="0" applyBorder="0" applyProtection="0"/>
    <xf numFmtId="0" fontId="166" fillId="0" borderId="0" applyNumberFormat="0" applyFill="0" applyBorder="0" applyProtection="0"/>
    <xf numFmtId="0" fontId="166" fillId="0" borderId="0" applyNumberFormat="0" applyFill="0" applyBorder="0" applyProtection="0"/>
    <xf numFmtId="0" fontId="166" fillId="0" borderId="0" applyNumberFormat="0" applyFill="0" applyBorder="0" applyProtection="0"/>
    <xf numFmtId="0" fontId="166" fillId="0" borderId="0" applyNumberFormat="0" applyFill="0" applyBorder="0" applyProtection="0"/>
    <xf numFmtId="0" fontId="166" fillId="0" borderId="0" applyNumberFormat="0" applyFill="0" applyBorder="0" applyProtection="0"/>
    <xf numFmtId="0" fontId="166" fillId="0" borderId="0" applyNumberFormat="0" applyFill="0" applyBorder="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Protection="0"/>
    <xf numFmtId="43" fontId="24" fillId="0" borderId="0" applyFont="0" applyFill="0" applyBorder="0" applyProtection="0"/>
    <xf numFmtId="43" fontId="24" fillId="0" borderId="0" applyFont="0" applyFill="0" applyBorder="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Protection="0"/>
    <xf numFmtId="43" fontId="24" fillId="0" borderId="0" applyFont="0" applyFill="0" applyBorder="0" applyProtection="0"/>
    <xf numFmtId="43" fontId="24" fillId="0" borderId="0" applyFont="0" applyFill="0" applyBorder="0" applyProtection="0"/>
    <xf numFmtId="43" fontId="24" fillId="0" borderId="0" applyFont="0" applyFill="0" applyBorder="0" applyProtection="0"/>
    <xf numFmtId="43" fontId="24" fillId="0" borderId="0" applyFont="0" applyFill="0" applyBorder="0" applyProtection="0"/>
    <xf numFmtId="43" fontId="24" fillId="0" borderId="0" applyFont="0" applyFill="0" applyBorder="0" applyProtection="0"/>
    <xf numFmtId="43" fontId="24" fillId="0" borderId="0" applyFont="0" applyFill="0" applyBorder="0" applyProtection="0"/>
    <xf numFmtId="43" fontId="24" fillId="0" borderId="0" applyFont="0" applyFill="0" applyBorder="0" applyProtection="0"/>
    <xf numFmtId="43" fontId="24" fillId="0" borderId="0" applyFont="0" applyFill="0" applyBorder="0" applyProtection="0"/>
    <xf numFmtId="43" fontId="24" fillId="0" borderId="0" applyFont="0" applyFill="0" applyBorder="0" applyProtection="0"/>
    <xf numFmtId="43" fontId="24" fillId="0" borderId="0" applyFont="0" applyFill="0" applyBorder="0" applyProtection="0"/>
    <xf numFmtId="43" fontId="24" fillId="0" borderId="0" applyFont="0" applyFill="0" applyBorder="0" applyProtection="0"/>
    <xf numFmtId="43" fontId="24" fillId="0" borderId="0" applyFont="0" applyFill="0" applyBorder="0" applyProtection="0"/>
    <xf numFmtId="43" fontId="24" fillId="0" borderId="0" applyFont="0" applyFill="0" applyBorder="0" applyProtection="0"/>
    <xf numFmtId="43" fontId="24" fillId="0" borderId="0" applyFont="0" applyFill="0" applyBorder="0" applyProtection="0"/>
    <xf numFmtId="43" fontId="24" fillId="0" borderId="0" applyFont="0" applyFill="0" applyBorder="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Protection="0"/>
    <xf numFmtId="43" fontId="24" fillId="0" borderId="0" applyFont="0" applyFill="0" applyBorder="0" applyProtection="0"/>
    <xf numFmtId="43" fontId="24" fillId="0" borderId="0" applyFont="0" applyFill="0" applyBorder="0" applyProtection="0"/>
    <xf numFmtId="43" fontId="24" fillId="0" borderId="0" applyFont="0" applyFill="0" applyBorder="0" applyProtection="0"/>
    <xf numFmtId="43" fontId="24" fillId="0" borderId="0" applyFont="0" applyFill="0" applyBorder="0" applyProtection="0"/>
    <xf numFmtId="43" fontId="24" fillId="0" borderId="0" applyFont="0" applyFill="0" applyBorder="0" applyProtection="0"/>
    <xf numFmtId="43" fontId="24" fillId="0" borderId="0" applyFont="0" applyFill="0" applyBorder="0" applyProtection="0"/>
    <xf numFmtId="43" fontId="24" fillId="0" borderId="0" applyFont="0" applyFill="0" applyBorder="0" applyProtection="0"/>
    <xf numFmtId="43" fontId="24" fillId="0" borderId="0" applyFont="0" applyFill="0" applyBorder="0" applyProtection="0"/>
    <xf numFmtId="43" fontId="24" fillId="0" borderId="0" applyFont="0" applyFill="0" applyBorder="0" applyProtection="0"/>
    <xf numFmtId="43" fontId="24" fillId="0" borderId="0" applyFont="0" applyFill="0" applyBorder="0" applyProtection="0"/>
    <xf numFmtId="43" fontId="24" fillId="0" borderId="0" applyFont="0" applyFill="0" applyBorder="0" applyProtection="0"/>
    <xf numFmtId="43" fontId="24" fillId="0" borderId="0" applyFont="0" applyFill="0" applyBorder="0" applyProtection="0"/>
    <xf numFmtId="43" fontId="24" fillId="0" borderId="0" applyFont="0" applyFill="0" applyBorder="0" applyProtection="0"/>
    <xf numFmtId="43" fontId="24" fillId="0" borderId="0" applyFont="0" applyFill="0" applyBorder="0" applyProtection="0"/>
    <xf numFmtId="43" fontId="24" fillId="0" borderId="0" applyFont="0" applyFill="0" applyBorder="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Protection="0"/>
    <xf numFmtId="43" fontId="24" fillId="0" borderId="0" applyFont="0" applyFill="0" applyBorder="0" applyProtection="0"/>
    <xf numFmtId="43" fontId="24" fillId="0" borderId="0" applyFont="0" applyFill="0" applyBorder="0" applyProtection="0"/>
    <xf numFmtId="43" fontId="24" fillId="0" borderId="0" applyFont="0" applyFill="0" applyBorder="0" applyProtection="0"/>
    <xf numFmtId="43" fontId="24" fillId="0" borderId="0" applyFont="0" applyFill="0" applyBorder="0" applyProtection="0"/>
    <xf numFmtId="43" fontId="24" fillId="0" borderId="0" applyFont="0" applyFill="0" applyBorder="0" applyProtection="0"/>
    <xf numFmtId="43" fontId="24" fillId="0" borderId="0" applyFont="0" applyFill="0" applyBorder="0" applyProtection="0"/>
    <xf numFmtId="43" fontId="24" fillId="0" borderId="0" applyFont="0" applyFill="0" applyBorder="0" applyProtection="0"/>
    <xf numFmtId="43" fontId="24" fillId="0" borderId="0" applyFont="0" applyFill="0" applyBorder="0" applyProtection="0"/>
    <xf numFmtId="43" fontId="24" fillId="0" borderId="0" applyFont="0" applyFill="0" applyBorder="0" applyProtection="0"/>
    <xf numFmtId="43" fontId="24" fillId="0" borderId="0" applyFont="0" applyFill="0" applyBorder="0" applyProtection="0"/>
    <xf numFmtId="43" fontId="24" fillId="0" borderId="0" applyFont="0" applyFill="0" applyBorder="0" applyProtection="0"/>
    <xf numFmtId="43" fontId="24" fillId="0" borderId="0" applyFont="0" applyFill="0" applyBorder="0" applyProtection="0"/>
    <xf numFmtId="43" fontId="24" fillId="0" borderId="0" applyFont="0" applyFill="0" applyBorder="0" applyProtection="0"/>
    <xf numFmtId="43" fontId="24" fillId="0" borderId="0" applyFont="0" applyFill="0" applyBorder="0" applyProtection="0"/>
    <xf numFmtId="43" fontId="24" fillId="0" borderId="0" applyFont="0" applyFill="0" applyBorder="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Protection="0"/>
    <xf numFmtId="43" fontId="24" fillId="0" borderId="0" applyFont="0" applyFill="0" applyBorder="0" applyProtection="0"/>
    <xf numFmtId="43" fontId="24" fillId="0" borderId="0" applyFont="0" applyFill="0" applyBorder="0" applyProtection="0"/>
    <xf numFmtId="43" fontId="24" fillId="0" borderId="0" applyFont="0" applyFill="0" applyBorder="0" applyProtection="0"/>
    <xf numFmtId="43" fontId="24" fillId="0" borderId="0" applyFont="0" applyFill="0" applyBorder="0" applyProtection="0"/>
    <xf numFmtId="43" fontId="24" fillId="0" borderId="0" applyFont="0" applyFill="0" applyBorder="0" applyProtection="0"/>
    <xf numFmtId="43" fontId="24" fillId="0" borderId="0" applyFont="0" applyFill="0" applyBorder="0" applyProtection="0"/>
    <xf numFmtId="43" fontId="24" fillId="0" borderId="0" applyFont="0" applyFill="0" applyBorder="0" applyProtection="0"/>
    <xf numFmtId="43" fontId="24" fillId="0" borderId="0" applyFont="0" applyFill="0" applyBorder="0" applyProtection="0"/>
    <xf numFmtId="43" fontId="24" fillId="0" borderId="0" applyFont="0" applyFill="0" applyBorder="0" applyProtection="0"/>
    <xf numFmtId="43" fontId="24" fillId="0" borderId="0" applyFont="0" applyFill="0" applyBorder="0" applyProtection="0"/>
    <xf numFmtId="43" fontId="24" fillId="0" borderId="0" applyFont="0" applyFill="0" applyBorder="0" applyProtection="0"/>
    <xf numFmtId="43" fontId="24" fillId="0" borderId="0" applyFont="0" applyFill="0" applyBorder="0" applyProtection="0"/>
    <xf numFmtId="43" fontId="24" fillId="0" borderId="0" applyFont="0" applyFill="0" applyBorder="0" applyProtection="0"/>
    <xf numFmtId="43" fontId="24" fillId="0" borderId="0" applyFont="0" applyFill="0" applyBorder="0" applyProtection="0"/>
    <xf numFmtId="43" fontId="24" fillId="0" borderId="0" applyFont="0" applyFill="0" applyBorder="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Protection="0"/>
    <xf numFmtId="43" fontId="24" fillId="0" borderId="0" applyFont="0" applyFill="0" applyBorder="0" applyProtection="0"/>
    <xf numFmtId="43" fontId="24" fillId="0" borderId="0" applyFont="0" applyFill="0" applyBorder="0" applyProtection="0"/>
    <xf numFmtId="43" fontId="24" fillId="0" borderId="0" applyFont="0" applyFill="0" applyBorder="0" applyProtection="0"/>
    <xf numFmtId="43" fontId="24" fillId="0" borderId="0" applyFont="0" applyFill="0" applyBorder="0" applyProtection="0"/>
    <xf numFmtId="43" fontId="24" fillId="0" borderId="0" applyFont="0" applyFill="0" applyBorder="0" applyProtection="0"/>
    <xf numFmtId="43" fontId="24" fillId="0" borderId="0" applyFont="0" applyFill="0" applyBorder="0" applyProtection="0"/>
    <xf numFmtId="43" fontId="24" fillId="0" borderId="0" applyFont="0" applyFill="0" applyBorder="0" applyProtection="0"/>
    <xf numFmtId="43" fontId="24" fillId="0" borderId="0" applyFont="0" applyFill="0" applyBorder="0" applyProtection="0"/>
    <xf numFmtId="43" fontId="24" fillId="0" borderId="0" applyFont="0" applyFill="0" applyBorder="0" applyProtection="0"/>
    <xf numFmtId="43" fontId="24" fillId="0" borderId="0" applyFont="0" applyFill="0" applyBorder="0" applyProtection="0"/>
    <xf numFmtId="43" fontId="24" fillId="0" borderId="0" applyFont="0" applyFill="0" applyBorder="0" applyProtection="0"/>
    <xf numFmtId="43" fontId="24" fillId="0" borderId="0" applyFont="0" applyFill="0" applyBorder="0" applyProtection="0"/>
    <xf numFmtId="165" fontId="24" fillId="0" borderId="0" applyFont="0" applyFill="0" applyBorder="0" applyProtection="0"/>
    <xf numFmtId="165" fontId="24" fillId="0" borderId="0" applyFont="0" applyFill="0" applyBorder="0" applyProtection="0"/>
    <xf numFmtId="165" fontId="24" fillId="0" borderId="0" applyFont="0" applyFill="0" applyBorder="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Protection="0"/>
    <xf numFmtId="165" fontId="24" fillId="0" borderId="0" applyFont="0" applyFill="0" applyBorder="0" applyProtection="0"/>
    <xf numFmtId="165" fontId="24" fillId="0" borderId="0" applyFont="0" applyFill="0" applyBorder="0" applyProtection="0"/>
    <xf numFmtId="165" fontId="24" fillId="0" borderId="0" applyFont="0" applyFill="0" applyBorder="0" applyProtection="0"/>
    <xf numFmtId="165" fontId="24" fillId="0" borderId="0" applyFont="0" applyFill="0" applyBorder="0" applyProtection="0"/>
    <xf numFmtId="165" fontId="24" fillId="0" borderId="0" applyFont="0" applyFill="0" applyBorder="0" applyProtection="0"/>
    <xf numFmtId="165" fontId="24" fillId="0" borderId="0" applyFont="0" applyFill="0" applyBorder="0" applyProtection="0"/>
    <xf numFmtId="165" fontId="24" fillId="0" borderId="0" applyFont="0" applyFill="0" applyBorder="0" applyProtection="0"/>
    <xf numFmtId="165" fontId="24" fillId="0" borderId="0" applyFont="0" applyFill="0" applyBorder="0" applyProtection="0"/>
    <xf numFmtId="165" fontId="24" fillId="0" borderId="0" applyFont="0" applyFill="0" applyBorder="0" applyProtection="0"/>
    <xf numFmtId="165" fontId="24" fillId="0" borderId="0" applyFont="0" applyFill="0" applyBorder="0" applyProtection="0"/>
    <xf numFmtId="165" fontId="24" fillId="0" borderId="0" applyFont="0" applyFill="0" applyBorder="0" applyProtection="0"/>
    <xf numFmtId="165" fontId="24" fillId="0" borderId="0" applyFont="0" applyFill="0" applyBorder="0" applyProtection="0"/>
    <xf numFmtId="165" fontId="24" fillId="0" borderId="0" applyFont="0" applyFill="0" applyBorder="0" applyProtection="0"/>
    <xf numFmtId="165" fontId="24" fillId="0" borderId="0" applyFont="0" applyFill="0" applyBorder="0" applyProtection="0"/>
    <xf numFmtId="165" fontId="24" fillId="0" borderId="0" applyFont="0" applyFill="0" applyBorder="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Protection="0"/>
    <xf numFmtId="165" fontId="24" fillId="0" borderId="0" applyFont="0" applyFill="0" applyBorder="0" applyProtection="0"/>
    <xf numFmtId="165" fontId="24" fillId="0" borderId="0" applyFont="0" applyFill="0" applyBorder="0" applyProtection="0"/>
    <xf numFmtId="165" fontId="24" fillId="0" borderId="0" applyFont="0" applyFill="0" applyBorder="0" applyProtection="0"/>
    <xf numFmtId="165" fontId="24" fillId="0" borderId="0" applyFont="0" applyFill="0" applyBorder="0" applyProtection="0"/>
    <xf numFmtId="165" fontId="24" fillId="0" borderId="0" applyFont="0" applyFill="0" applyBorder="0" applyProtection="0"/>
    <xf numFmtId="165" fontId="24" fillId="0" borderId="0" applyFont="0" applyFill="0" applyBorder="0" applyProtection="0"/>
    <xf numFmtId="165" fontId="24" fillId="0" borderId="0" applyFont="0" applyFill="0" applyBorder="0" applyProtection="0"/>
    <xf numFmtId="165" fontId="24" fillId="0" borderId="0" applyFont="0" applyFill="0" applyBorder="0" applyProtection="0"/>
    <xf numFmtId="165" fontId="24" fillId="0" borderId="0" applyFont="0" applyFill="0" applyBorder="0" applyProtection="0"/>
    <xf numFmtId="165" fontId="24" fillId="0" borderId="0" applyFont="0" applyFill="0" applyBorder="0" applyProtection="0"/>
    <xf numFmtId="165" fontId="24" fillId="0" borderId="0" applyFont="0" applyFill="0" applyBorder="0" applyProtection="0"/>
    <xf numFmtId="165" fontId="24" fillId="0" borderId="0" applyFont="0" applyFill="0" applyBorder="0" applyProtection="0"/>
    <xf numFmtId="165" fontId="24" fillId="0" borderId="0" applyFont="0" applyFill="0" applyBorder="0" applyProtection="0"/>
    <xf numFmtId="165" fontId="24" fillId="0" borderId="0" applyFont="0" applyFill="0" applyBorder="0" applyProtection="0"/>
    <xf numFmtId="165" fontId="24" fillId="0" borderId="0" applyFont="0" applyFill="0" applyBorder="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Protection="0"/>
    <xf numFmtId="165" fontId="24" fillId="0" borderId="0" applyFont="0" applyFill="0" applyBorder="0" applyProtection="0"/>
    <xf numFmtId="165" fontId="24" fillId="0" borderId="0" applyFont="0" applyFill="0" applyBorder="0" applyProtection="0"/>
    <xf numFmtId="165" fontId="24" fillId="0" borderId="0" applyFont="0" applyFill="0" applyBorder="0" applyProtection="0"/>
    <xf numFmtId="165" fontId="24" fillId="0" borderId="0" applyFont="0" applyFill="0" applyBorder="0" applyProtection="0"/>
    <xf numFmtId="165" fontId="24" fillId="0" borderId="0" applyFont="0" applyFill="0" applyBorder="0" applyProtection="0"/>
    <xf numFmtId="165" fontId="24" fillId="0" borderId="0" applyFont="0" applyFill="0" applyBorder="0" applyProtection="0"/>
    <xf numFmtId="165" fontId="24" fillId="0" borderId="0" applyFont="0" applyFill="0" applyBorder="0" applyProtection="0"/>
    <xf numFmtId="165" fontId="24" fillId="0" borderId="0" applyFont="0" applyFill="0" applyBorder="0" applyProtection="0"/>
    <xf numFmtId="165" fontId="24" fillId="0" borderId="0" applyFont="0" applyFill="0" applyBorder="0" applyProtection="0"/>
    <xf numFmtId="165" fontId="24" fillId="0" borderId="0" applyFont="0" applyFill="0" applyBorder="0" applyProtection="0"/>
    <xf numFmtId="165" fontId="24" fillId="0" borderId="0" applyFont="0" applyFill="0" applyBorder="0" applyProtection="0"/>
    <xf numFmtId="165" fontId="24" fillId="0" borderId="0" applyFont="0" applyFill="0" applyBorder="0" applyProtection="0"/>
    <xf numFmtId="165" fontId="24" fillId="0" borderId="0" applyFont="0" applyFill="0" applyBorder="0" applyProtection="0"/>
    <xf numFmtId="165" fontId="24" fillId="0" borderId="0" applyFont="0" applyFill="0" applyBorder="0" applyProtection="0"/>
    <xf numFmtId="165" fontId="24" fillId="0" borderId="0" applyFont="0" applyFill="0" applyBorder="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Protection="0"/>
    <xf numFmtId="165" fontId="24" fillId="0" borderId="0" applyFont="0" applyFill="0" applyBorder="0" applyProtection="0"/>
    <xf numFmtId="165" fontId="24" fillId="0" borderId="0" applyFont="0" applyFill="0" applyBorder="0" applyProtection="0"/>
    <xf numFmtId="165" fontId="24" fillId="0" borderId="0" applyFont="0" applyFill="0" applyBorder="0" applyProtection="0"/>
    <xf numFmtId="165" fontId="24" fillId="0" borderId="0" applyFont="0" applyFill="0" applyBorder="0" applyProtection="0"/>
    <xf numFmtId="165" fontId="24" fillId="0" borderId="0" applyFont="0" applyFill="0" applyBorder="0" applyProtection="0"/>
    <xf numFmtId="165" fontId="24" fillId="0" borderId="0" applyFont="0" applyFill="0" applyBorder="0" applyProtection="0"/>
    <xf numFmtId="165" fontId="24" fillId="0" borderId="0" applyFont="0" applyFill="0" applyBorder="0" applyProtection="0"/>
    <xf numFmtId="165" fontId="24" fillId="0" borderId="0" applyFont="0" applyFill="0" applyBorder="0" applyProtection="0"/>
    <xf numFmtId="165" fontId="24" fillId="0" borderId="0" applyFont="0" applyFill="0" applyBorder="0" applyProtection="0"/>
    <xf numFmtId="165" fontId="24" fillId="0" borderId="0" applyFont="0" applyFill="0" applyBorder="0" applyProtection="0"/>
    <xf numFmtId="165" fontId="24" fillId="0" borderId="0" applyFont="0" applyFill="0" applyBorder="0" applyProtection="0"/>
    <xf numFmtId="165" fontId="24" fillId="0" borderId="0" applyFont="0" applyFill="0" applyBorder="0" applyProtection="0"/>
    <xf numFmtId="164" fontId="59" fillId="0" borderId="0" applyFont="0" applyFill="0" applyBorder="0" applyProtection="0"/>
    <xf numFmtId="164" fontId="59" fillId="0" borderId="0" applyFont="0" applyFill="0" applyBorder="0" applyProtection="0"/>
    <xf numFmtId="164" fontId="59" fillId="0" borderId="0" applyFont="0" applyFill="0" applyBorder="0" applyProtection="0"/>
    <xf numFmtId="164" fontId="59" fillId="0" borderId="0" applyFont="0" applyFill="0" applyBorder="0" applyProtection="0"/>
    <xf numFmtId="164" fontId="59" fillId="0" borderId="0" applyFont="0" applyFill="0" applyBorder="0" applyProtection="0"/>
    <xf numFmtId="164" fontId="59" fillId="0" borderId="0" applyFont="0" applyFill="0" applyBorder="0" applyProtection="0"/>
    <xf numFmtId="164" fontId="59" fillId="0" borderId="0" applyFont="0" applyFill="0" applyBorder="0" applyProtection="0"/>
    <xf numFmtId="164" fontId="59" fillId="0" borderId="0" applyFont="0" applyFill="0" applyBorder="0" applyProtection="0"/>
    <xf numFmtId="164" fontId="59" fillId="0" borderId="0" applyFont="0" applyFill="0" applyBorder="0" applyProtection="0"/>
    <xf numFmtId="164" fontId="59" fillId="0" borderId="0" applyFont="0" applyFill="0" applyBorder="0" applyProtection="0"/>
    <xf numFmtId="164" fontId="59" fillId="0" borderId="0" applyFont="0" applyFill="0" applyBorder="0" applyProtection="0"/>
    <xf numFmtId="164" fontId="59" fillId="0" borderId="0" applyFont="0" applyFill="0" applyBorder="0" applyProtection="0"/>
    <xf numFmtId="164" fontId="59" fillId="0" borderId="0" applyFont="0" applyFill="0" applyBorder="0" applyProtection="0"/>
    <xf numFmtId="164" fontId="59" fillId="0" borderId="0" applyFont="0" applyFill="0" applyBorder="0" applyProtection="0"/>
    <xf numFmtId="164" fontId="59" fillId="0" borderId="0" applyFont="0" applyFill="0" applyBorder="0" applyProtection="0"/>
    <xf numFmtId="164" fontId="59" fillId="0" borderId="0" applyFont="0" applyFill="0" applyBorder="0" applyProtection="0"/>
    <xf numFmtId="165" fontId="24" fillId="0" borderId="0" applyFont="0" applyFill="0" applyBorder="0" applyProtection="0"/>
    <xf numFmtId="165" fontId="24" fillId="0" borderId="0" applyFont="0" applyFill="0" applyBorder="0" applyProtection="0"/>
    <xf numFmtId="165" fontId="24" fillId="0" borderId="0" applyFont="0" applyFill="0" applyBorder="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Protection="0"/>
    <xf numFmtId="165" fontId="24" fillId="0" borderId="0" applyFont="0" applyFill="0" applyBorder="0" applyProtection="0"/>
    <xf numFmtId="165" fontId="24" fillId="0" borderId="0" applyFont="0" applyFill="0" applyBorder="0" applyProtection="0"/>
    <xf numFmtId="165" fontId="24" fillId="0" borderId="0" applyFont="0" applyFill="0" applyBorder="0" applyProtection="0"/>
    <xf numFmtId="165" fontId="24" fillId="0" borderId="0" applyFont="0" applyFill="0" applyBorder="0" applyProtection="0"/>
    <xf numFmtId="165" fontId="24" fillId="0" borderId="0" applyFont="0" applyFill="0" applyBorder="0" applyProtection="0"/>
    <xf numFmtId="165" fontId="24" fillId="0" borderId="0" applyFont="0" applyFill="0" applyBorder="0" applyProtection="0"/>
    <xf numFmtId="165" fontId="24" fillId="0" borderId="0" applyFont="0" applyFill="0" applyBorder="0" applyProtection="0"/>
    <xf numFmtId="165" fontId="24" fillId="0" borderId="0" applyFont="0" applyFill="0" applyBorder="0" applyProtection="0"/>
    <xf numFmtId="165" fontId="24" fillId="0" borderId="0" applyFont="0" applyFill="0" applyBorder="0" applyProtection="0"/>
    <xf numFmtId="165" fontId="24" fillId="0" borderId="0" applyFont="0" applyFill="0" applyBorder="0" applyProtection="0"/>
    <xf numFmtId="165" fontId="24" fillId="0" borderId="0" applyFont="0" applyFill="0" applyBorder="0" applyProtection="0"/>
    <xf numFmtId="165" fontId="24" fillId="0" borderId="0" applyFont="0" applyFill="0" applyBorder="0" applyProtection="0"/>
    <xf numFmtId="165" fontId="24" fillId="0" borderId="0" applyFont="0" applyFill="0" applyBorder="0" applyProtection="0"/>
    <xf numFmtId="165" fontId="24" fillId="0" borderId="0" applyFont="0" applyFill="0" applyBorder="0" applyProtection="0"/>
    <xf numFmtId="165" fontId="24" fillId="0" borderId="0" applyFont="0" applyFill="0" applyBorder="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Protection="0"/>
    <xf numFmtId="165" fontId="24" fillId="0" borderId="0" applyFont="0" applyFill="0" applyBorder="0" applyProtection="0"/>
    <xf numFmtId="165" fontId="24" fillId="0" borderId="0" applyFont="0" applyFill="0" applyBorder="0" applyProtection="0"/>
    <xf numFmtId="165" fontId="24" fillId="0" borderId="0" applyFont="0" applyFill="0" applyBorder="0" applyProtection="0"/>
    <xf numFmtId="165" fontId="24" fillId="0" borderId="0" applyFont="0" applyFill="0" applyBorder="0" applyProtection="0"/>
    <xf numFmtId="165" fontId="24" fillId="0" borderId="0" applyFont="0" applyFill="0" applyBorder="0" applyProtection="0"/>
    <xf numFmtId="165" fontId="24" fillId="0" borderId="0" applyFont="0" applyFill="0" applyBorder="0" applyProtection="0"/>
    <xf numFmtId="165" fontId="24" fillId="0" borderId="0" applyFont="0" applyFill="0" applyBorder="0" applyProtection="0"/>
    <xf numFmtId="165" fontId="24" fillId="0" borderId="0" applyFont="0" applyFill="0" applyBorder="0" applyProtection="0"/>
    <xf numFmtId="165" fontId="24" fillId="0" borderId="0" applyFont="0" applyFill="0" applyBorder="0" applyProtection="0"/>
    <xf numFmtId="165" fontId="24" fillId="0" borderId="0" applyFont="0" applyFill="0" applyBorder="0" applyProtection="0"/>
    <xf numFmtId="165" fontId="24" fillId="0" borderId="0" applyFont="0" applyFill="0" applyBorder="0" applyProtection="0"/>
    <xf numFmtId="165" fontId="24" fillId="0" borderId="0" applyFont="0" applyFill="0" applyBorder="0" applyProtection="0"/>
    <xf numFmtId="165" fontId="24" fillId="0" borderId="0" applyFont="0" applyFill="0" applyBorder="0" applyProtection="0"/>
    <xf numFmtId="165" fontId="24" fillId="0" borderId="0" applyFont="0" applyFill="0" applyBorder="0" applyProtection="0"/>
    <xf numFmtId="165" fontId="24" fillId="0" borderId="0" applyFont="0" applyFill="0" applyBorder="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Protection="0"/>
    <xf numFmtId="165" fontId="24" fillId="0" borderId="0" applyFont="0" applyFill="0" applyBorder="0" applyProtection="0"/>
    <xf numFmtId="165" fontId="24" fillId="0" borderId="0" applyFont="0" applyFill="0" applyBorder="0" applyProtection="0"/>
    <xf numFmtId="165" fontId="24" fillId="0" borderId="0" applyFont="0" applyFill="0" applyBorder="0" applyProtection="0"/>
    <xf numFmtId="165" fontId="24" fillId="0" borderId="0" applyFont="0" applyFill="0" applyBorder="0" applyProtection="0"/>
    <xf numFmtId="165" fontId="24" fillId="0" borderId="0" applyFont="0" applyFill="0" applyBorder="0" applyProtection="0"/>
    <xf numFmtId="165" fontId="24" fillId="0" borderId="0" applyFont="0" applyFill="0" applyBorder="0" applyProtection="0"/>
    <xf numFmtId="165" fontId="24" fillId="0" borderId="0" applyFont="0" applyFill="0" applyBorder="0" applyProtection="0"/>
    <xf numFmtId="165" fontId="24" fillId="0" borderId="0" applyFont="0" applyFill="0" applyBorder="0" applyProtection="0"/>
    <xf numFmtId="165" fontId="24" fillId="0" borderId="0" applyFont="0" applyFill="0" applyBorder="0" applyProtection="0"/>
    <xf numFmtId="165" fontId="24" fillId="0" borderId="0" applyFont="0" applyFill="0" applyBorder="0" applyProtection="0"/>
    <xf numFmtId="165" fontId="24" fillId="0" borderId="0" applyFont="0" applyFill="0" applyBorder="0" applyProtection="0"/>
    <xf numFmtId="165" fontId="24" fillId="0" borderId="0" applyFont="0" applyFill="0" applyBorder="0" applyProtection="0"/>
    <xf numFmtId="165" fontId="24" fillId="0" borderId="0" applyFont="0" applyFill="0" applyBorder="0" applyProtection="0"/>
    <xf numFmtId="165" fontId="24" fillId="0" borderId="0" applyFont="0" applyFill="0" applyBorder="0" applyProtection="0"/>
    <xf numFmtId="165" fontId="24" fillId="0" borderId="0" applyFont="0" applyFill="0" applyBorder="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Protection="0"/>
    <xf numFmtId="165" fontId="24" fillId="0" borderId="0" applyFont="0" applyFill="0" applyBorder="0" applyProtection="0"/>
    <xf numFmtId="165" fontId="24" fillId="0" borderId="0" applyFont="0" applyFill="0" applyBorder="0" applyProtection="0"/>
    <xf numFmtId="165" fontId="24" fillId="0" borderId="0" applyFont="0" applyFill="0" applyBorder="0" applyProtection="0"/>
    <xf numFmtId="165" fontId="24" fillId="0" borderId="0" applyFont="0" applyFill="0" applyBorder="0" applyProtection="0"/>
    <xf numFmtId="165" fontId="24" fillId="0" borderId="0" applyFont="0" applyFill="0" applyBorder="0" applyProtection="0"/>
    <xf numFmtId="165" fontId="24" fillId="0" borderId="0" applyFont="0" applyFill="0" applyBorder="0" applyProtection="0"/>
    <xf numFmtId="165" fontId="24" fillId="0" borderId="0" applyFont="0" applyFill="0" applyBorder="0" applyProtection="0"/>
    <xf numFmtId="165" fontId="24" fillId="0" borderId="0" applyFont="0" applyFill="0" applyBorder="0" applyProtection="0"/>
    <xf numFmtId="165" fontId="24" fillId="0" borderId="0" applyFont="0" applyFill="0" applyBorder="0" applyProtection="0"/>
    <xf numFmtId="165" fontId="24" fillId="0" borderId="0" applyFont="0" applyFill="0" applyBorder="0" applyProtection="0"/>
    <xf numFmtId="165" fontId="24" fillId="0" borderId="0" applyFont="0" applyFill="0" applyBorder="0" applyProtection="0"/>
    <xf numFmtId="165" fontId="24" fillId="0" borderId="0" applyFont="0" applyFill="0" applyBorder="0" applyProtection="0"/>
    <xf numFmtId="164" fontId="59" fillId="0" borderId="0" applyFont="0" applyFill="0" applyBorder="0" applyProtection="0"/>
    <xf numFmtId="164" fontId="59" fillId="0" borderId="0" applyFont="0" applyFill="0" applyBorder="0" applyProtection="0"/>
    <xf numFmtId="164" fontId="59" fillId="0" borderId="0" applyFont="0" applyFill="0" applyBorder="0" applyProtection="0"/>
    <xf numFmtId="164" fontId="59" fillId="0" borderId="0" applyFont="0" applyFill="0" applyBorder="0" applyProtection="0"/>
    <xf numFmtId="164" fontId="59" fillId="0" borderId="0" applyFont="0" applyFill="0" applyBorder="0" applyProtection="0"/>
    <xf numFmtId="164" fontId="59" fillId="0" borderId="0" applyFont="0" applyFill="0" applyBorder="0" applyProtection="0"/>
    <xf numFmtId="164" fontId="59" fillId="0" borderId="0" applyFont="0" applyFill="0" applyBorder="0" applyProtection="0"/>
    <xf numFmtId="164" fontId="59" fillId="0" borderId="0" applyFont="0" applyFill="0" applyBorder="0" applyProtection="0"/>
    <xf numFmtId="164" fontId="59" fillId="0" borderId="0" applyFont="0" applyFill="0" applyBorder="0" applyProtection="0"/>
    <xf numFmtId="164" fontId="59" fillId="0" borderId="0" applyFont="0" applyFill="0" applyBorder="0" applyProtection="0"/>
    <xf numFmtId="164" fontId="59" fillId="0" borderId="0" applyFont="0" applyFill="0" applyBorder="0" applyProtection="0"/>
    <xf numFmtId="164" fontId="59" fillId="0" borderId="0" applyFont="0" applyFill="0" applyBorder="0" applyProtection="0"/>
    <xf numFmtId="164" fontId="59" fillId="0" borderId="0" applyFont="0" applyFill="0" applyBorder="0" applyProtection="0"/>
    <xf numFmtId="164" fontId="59" fillId="0" borderId="0" applyFont="0" applyFill="0" applyBorder="0" applyProtection="0"/>
    <xf numFmtId="164" fontId="59" fillId="0" borderId="0" applyFont="0" applyFill="0" applyBorder="0" applyProtection="0"/>
    <xf numFmtId="164" fontId="59" fillId="0" borderId="0" applyFont="0" applyFill="0" applyBorder="0" applyProtection="0"/>
    <xf numFmtId="164" fontId="59" fillId="0" borderId="0" applyFont="0" applyFill="0" applyBorder="0" applyProtection="0"/>
    <xf numFmtId="164" fontId="59" fillId="0" borderId="0" applyFont="0" applyFill="0" applyBorder="0" applyProtection="0"/>
    <xf numFmtId="164" fontId="59" fillId="0" borderId="0" applyFont="0" applyFill="0" applyBorder="0" applyProtection="0"/>
    <xf numFmtId="164" fontId="59" fillId="0" borderId="0" applyFont="0" applyFill="0" applyBorder="0" applyProtection="0"/>
    <xf numFmtId="164" fontId="59" fillId="0" borderId="0" applyFont="0" applyFill="0" applyBorder="0" applyProtection="0"/>
    <xf numFmtId="164" fontId="59" fillId="0" borderId="0" applyFont="0" applyFill="0" applyBorder="0" applyProtection="0"/>
    <xf numFmtId="164" fontId="59" fillId="0" borderId="0" applyFont="0" applyFill="0" applyBorder="0" applyProtection="0"/>
    <xf numFmtId="164" fontId="59" fillId="0" borderId="0" applyFont="0" applyFill="0" applyBorder="0" applyProtection="0"/>
    <xf numFmtId="164" fontId="59" fillId="0" borderId="0" applyFont="0" applyFill="0" applyBorder="0" applyProtection="0"/>
    <xf numFmtId="164" fontId="59" fillId="0" borderId="0" applyFont="0" applyFill="0" applyBorder="0" applyProtection="0"/>
    <xf numFmtId="164" fontId="59" fillId="0" borderId="0" applyFont="0" applyFill="0" applyBorder="0" applyProtection="0"/>
    <xf numFmtId="164" fontId="59" fillId="0" borderId="0" applyFont="0" applyFill="0" applyBorder="0" applyProtection="0"/>
    <xf numFmtId="164" fontId="59" fillId="0" borderId="0" applyFont="0" applyFill="0" applyBorder="0" applyProtection="0"/>
    <xf numFmtId="164" fontId="59" fillId="0" borderId="0" applyFont="0" applyFill="0" applyBorder="0" applyProtection="0"/>
    <xf numFmtId="164" fontId="59" fillId="0" borderId="0" applyFont="0" applyFill="0" applyBorder="0" applyProtection="0"/>
    <xf numFmtId="164" fontId="59" fillId="0" borderId="0" applyFont="0" applyFill="0" applyBorder="0" applyProtection="0"/>
    <xf numFmtId="164" fontId="59" fillId="0" borderId="0" applyFont="0" applyFill="0" applyBorder="0" applyProtection="0"/>
    <xf numFmtId="164" fontId="59" fillId="0" borderId="0" applyFont="0" applyFill="0" applyBorder="0" applyProtection="0"/>
    <xf numFmtId="164" fontId="59" fillId="0" borderId="0" applyFont="0" applyFill="0" applyBorder="0" applyProtection="0"/>
    <xf numFmtId="164" fontId="59" fillId="0" borderId="0" applyFont="0" applyFill="0" applyBorder="0" applyProtection="0"/>
    <xf numFmtId="164" fontId="59" fillId="0" borderId="0" applyFont="0" applyFill="0" applyBorder="0" applyProtection="0"/>
    <xf numFmtId="164" fontId="59" fillId="0" borderId="0" applyFont="0" applyFill="0" applyBorder="0" applyProtection="0"/>
    <xf numFmtId="164" fontId="59" fillId="0" borderId="0" applyFont="0" applyFill="0" applyBorder="0" applyProtection="0"/>
    <xf numFmtId="164" fontId="59" fillId="0" borderId="0" applyFont="0" applyFill="0" applyBorder="0" applyProtection="0"/>
    <xf numFmtId="43" fontId="24" fillId="0" borderId="0" applyFont="0" applyFill="0" applyBorder="0" applyProtection="0"/>
    <xf numFmtId="43" fontId="24" fillId="0" borderId="0" applyFont="0" applyFill="0" applyBorder="0" applyProtection="0"/>
    <xf numFmtId="43" fontId="24" fillId="0" borderId="0" applyFont="0" applyFill="0" applyBorder="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Protection="0"/>
    <xf numFmtId="43" fontId="24" fillId="0" borderId="0" applyFont="0" applyFill="0" applyBorder="0" applyProtection="0"/>
    <xf numFmtId="43" fontId="24" fillId="0" borderId="0" applyFont="0" applyFill="0" applyBorder="0" applyProtection="0"/>
    <xf numFmtId="43" fontId="24" fillId="0" borderId="0" applyFont="0" applyFill="0" applyBorder="0" applyProtection="0"/>
    <xf numFmtId="43" fontId="24" fillId="0" borderId="0" applyFont="0" applyFill="0" applyBorder="0" applyProtection="0"/>
    <xf numFmtId="43" fontId="24" fillId="0" borderId="0" applyFont="0" applyFill="0" applyBorder="0" applyProtection="0"/>
    <xf numFmtId="43" fontId="24" fillId="0" borderId="0" applyFont="0" applyFill="0" applyBorder="0" applyProtection="0"/>
    <xf numFmtId="43" fontId="24" fillId="0" borderId="0" applyFont="0" applyFill="0" applyBorder="0" applyProtection="0"/>
    <xf numFmtId="43" fontId="24" fillId="0" borderId="0" applyFont="0" applyFill="0" applyBorder="0" applyProtection="0"/>
    <xf numFmtId="43" fontId="24" fillId="0" borderId="0" applyFont="0" applyFill="0" applyBorder="0" applyProtection="0"/>
    <xf numFmtId="43" fontId="24" fillId="0" borderId="0" applyFont="0" applyFill="0" applyBorder="0" applyProtection="0"/>
    <xf numFmtId="43" fontId="24" fillId="0" borderId="0" applyFont="0" applyFill="0" applyBorder="0" applyProtection="0"/>
    <xf numFmtId="43" fontId="24" fillId="0" borderId="0" applyFont="0" applyFill="0" applyBorder="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Protection="0"/>
    <xf numFmtId="43" fontId="24" fillId="0" borderId="0" applyFont="0" applyFill="0" applyBorder="0" applyProtection="0"/>
    <xf numFmtId="43" fontId="24" fillId="0" borderId="0" applyFont="0" applyFill="0" applyBorder="0" applyProtection="0"/>
    <xf numFmtId="43" fontId="24" fillId="0" borderId="0" applyFont="0" applyFill="0" applyBorder="0" applyProtection="0"/>
    <xf numFmtId="43" fontId="24" fillId="0" borderId="0" applyFont="0" applyFill="0" applyBorder="0" applyProtection="0"/>
    <xf numFmtId="43" fontId="24" fillId="0" borderId="0" applyFont="0" applyFill="0" applyBorder="0" applyProtection="0"/>
    <xf numFmtId="43" fontId="24" fillId="0" borderId="0" applyFont="0" applyFill="0" applyBorder="0" applyProtection="0"/>
    <xf numFmtId="43" fontId="24" fillId="0" borderId="0" applyFont="0" applyFill="0" applyBorder="0" applyProtection="0"/>
    <xf numFmtId="43" fontId="24" fillId="0" borderId="0" applyFont="0" applyFill="0" applyBorder="0" applyProtection="0"/>
    <xf numFmtId="43" fontId="24" fillId="0" borderId="0" applyFont="0" applyFill="0" applyBorder="0" applyProtection="0"/>
    <xf numFmtId="43" fontId="24" fillId="0" borderId="0" applyFont="0" applyFill="0" applyBorder="0" applyProtection="0"/>
    <xf numFmtId="43" fontId="24" fillId="0" borderId="0" applyFont="0" applyFill="0" applyBorder="0" applyProtection="0"/>
    <xf numFmtId="43" fontId="24" fillId="0" borderId="0" applyFont="0" applyFill="0" applyBorder="0" applyProtection="0"/>
    <xf numFmtId="43" fontId="24" fillId="0" borderId="0" applyFont="0" applyFill="0" applyBorder="0" applyProtection="0"/>
    <xf numFmtId="43" fontId="24" fillId="0" borderId="0" applyFont="0" applyFill="0" applyBorder="0" applyProtection="0"/>
    <xf numFmtId="43" fontId="24" fillId="0" borderId="0" applyFont="0" applyFill="0" applyBorder="0" applyProtection="0"/>
    <xf numFmtId="43" fontId="24" fillId="0" borderId="0" applyFont="0" applyFill="0" applyBorder="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Protection="0"/>
    <xf numFmtId="43" fontId="24" fillId="0" borderId="0" applyFont="0" applyFill="0" applyBorder="0" applyProtection="0"/>
    <xf numFmtId="43" fontId="24" fillId="0" borderId="0" applyFont="0" applyFill="0" applyBorder="0" applyProtection="0"/>
    <xf numFmtId="43" fontId="24" fillId="0" borderId="0" applyFont="0" applyFill="0" applyBorder="0" applyProtection="0"/>
    <xf numFmtId="43" fontId="24" fillId="0" borderId="0" applyFont="0" applyFill="0" applyBorder="0" applyProtection="0"/>
    <xf numFmtId="43" fontId="24" fillId="0" borderId="0" applyFont="0" applyFill="0" applyBorder="0" applyProtection="0"/>
    <xf numFmtId="43" fontId="24" fillId="0" borderId="0" applyFont="0" applyFill="0" applyBorder="0" applyProtection="0"/>
    <xf numFmtId="43" fontId="24" fillId="0" borderId="0" applyFont="0" applyFill="0" applyBorder="0" applyProtection="0"/>
    <xf numFmtId="43" fontId="24" fillId="0" borderId="0" applyFont="0" applyFill="0" applyBorder="0" applyProtection="0"/>
    <xf numFmtId="43" fontId="24" fillId="0" borderId="0" applyFont="0" applyFill="0" applyBorder="0" applyProtection="0"/>
    <xf numFmtId="43" fontId="24" fillId="0" borderId="0" applyFont="0" applyFill="0" applyBorder="0" applyProtection="0"/>
    <xf numFmtId="43" fontId="24" fillId="0" borderId="0" applyFont="0" applyFill="0" applyBorder="0" applyProtection="0"/>
    <xf numFmtId="43" fontId="24" fillId="0" borderId="0" applyFont="0" applyFill="0" applyBorder="0" applyProtection="0"/>
    <xf numFmtId="164" fontId="59" fillId="0" borderId="0" applyFont="0" applyFill="0" applyBorder="0" applyProtection="0"/>
    <xf numFmtId="164" fontId="59" fillId="0" borderId="0" applyFont="0" applyFill="0" applyBorder="0" applyProtection="0"/>
    <xf numFmtId="164" fontId="59" fillId="0" borderId="0" applyFont="0" applyFill="0" applyBorder="0" applyProtection="0"/>
    <xf numFmtId="164" fontId="59" fillId="0" borderId="0" applyFont="0" applyFill="0" applyBorder="0" applyProtection="0"/>
    <xf numFmtId="164" fontId="59" fillId="0" borderId="0" applyFont="0" applyFill="0" applyBorder="0" applyProtection="0"/>
    <xf numFmtId="164" fontId="59" fillId="0" borderId="0" applyFont="0" applyFill="0" applyBorder="0" applyProtection="0"/>
    <xf numFmtId="164" fontId="59" fillId="0" borderId="0" applyFont="0" applyFill="0" applyBorder="0" applyProtection="0"/>
    <xf numFmtId="164" fontId="59" fillId="0" borderId="0" applyFont="0" applyFill="0" applyBorder="0" applyProtection="0"/>
    <xf numFmtId="43" fontId="24" fillId="0" borderId="0" applyFont="0" applyFill="0" applyBorder="0" applyProtection="0"/>
    <xf numFmtId="43" fontId="24" fillId="0" borderId="0" applyFont="0" applyFill="0" applyBorder="0" applyProtection="0"/>
    <xf numFmtId="43" fontId="24" fillId="0" borderId="0" applyFont="0" applyFill="0" applyBorder="0" applyProtection="0"/>
    <xf numFmtId="43" fontId="24" fillId="0" borderId="0" applyFont="0" applyFill="0" applyBorder="0" applyProtection="0"/>
    <xf numFmtId="43" fontId="24" fillId="0" borderId="0" applyFont="0" applyFill="0" applyBorder="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Protection="0"/>
    <xf numFmtId="43" fontId="24" fillId="0" borderId="0" applyFont="0" applyFill="0" applyBorder="0" applyProtection="0"/>
    <xf numFmtId="43" fontId="24" fillId="0" borderId="0" applyFont="0" applyFill="0" applyBorder="0" applyProtection="0"/>
    <xf numFmtId="43" fontId="24" fillId="0" borderId="0" applyFont="0" applyFill="0" applyBorder="0" applyProtection="0"/>
    <xf numFmtId="43" fontId="24" fillId="0" borderId="0" applyFont="0" applyFill="0" applyBorder="0" applyProtection="0"/>
    <xf numFmtId="43" fontId="24" fillId="0" borderId="0" applyFont="0" applyFill="0" applyBorder="0" applyProtection="0"/>
    <xf numFmtId="43" fontId="24" fillId="0" borderId="0" applyFont="0" applyFill="0" applyBorder="0" applyProtection="0"/>
    <xf numFmtId="43" fontId="24" fillId="0" borderId="0" applyFont="0" applyFill="0" applyBorder="0" applyProtection="0"/>
    <xf numFmtId="43" fontId="24" fillId="0" borderId="0" applyFont="0" applyFill="0" applyBorder="0" applyProtection="0"/>
    <xf numFmtId="43" fontId="24" fillId="0" borderId="0" applyFont="0" applyFill="0" applyBorder="0" applyProtection="0"/>
    <xf numFmtId="43" fontId="24" fillId="0" borderId="0" applyFont="0" applyFill="0" applyBorder="0" applyProtection="0"/>
    <xf numFmtId="43" fontId="24" fillId="0" borderId="0" applyFont="0" applyFill="0" applyBorder="0" applyProtection="0"/>
    <xf numFmtId="43" fontId="24" fillId="0" borderId="0" applyFont="0" applyFill="0" applyBorder="0" applyProtection="0"/>
    <xf numFmtId="43" fontId="24" fillId="0" borderId="0" applyFont="0" applyFill="0" applyBorder="0" applyProtection="0"/>
    <xf numFmtId="43" fontId="24" fillId="0" borderId="0" applyFont="0" applyFill="0" applyBorder="0" applyProtection="0"/>
    <xf numFmtId="43" fontId="24" fillId="0" borderId="0" applyFont="0" applyFill="0" applyBorder="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Protection="0"/>
    <xf numFmtId="43" fontId="24" fillId="0" borderId="0" applyFont="0" applyFill="0" applyBorder="0" applyProtection="0"/>
    <xf numFmtId="43" fontId="24" fillId="0" borderId="0" applyFont="0" applyFill="0" applyBorder="0" applyProtection="0"/>
    <xf numFmtId="43" fontId="24" fillId="0" borderId="0" applyFont="0" applyFill="0" applyBorder="0" applyProtection="0"/>
    <xf numFmtId="43" fontId="24" fillId="0" borderId="0" applyFont="0" applyFill="0" applyBorder="0" applyProtection="0"/>
    <xf numFmtId="43" fontId="24" fillId="0" borderId="0" applyFont="0" applyFill="0" applyBorder="0" applyProtection="0"/>
    <xf numFmtId="43" fontId="24" fillId="0" borderId="0" applyFont="0" applyFill="0" applyBorder="0" applyProtection="0"/>
    <xf numFmtId="43" fontId="24" fillId="0" borderId="0" applyFont="0" applyFill="0" applyBorder="0" applyProtection="0"/>
    <xf numFmtId="43" fontId="24" fillId="0" borderId="0" applyFont="0" applyFill="0" applyBorder="0" applyProtection="0"/>
    <xf numFmtId="43" fontId="24" fillId="0" borderId="0" applyFont="0" applyFill="0" applyBorder="0" applyProtection="0"/>
    <xf numFmtId="43" fontId="24" fillId="0" borderId="0" applyFont="0" applyFill="0" applyBorder="0" applyProtection="0"/>
    <xf numFmtId="43" fontId="24" fillId="0" borderId="0" applyFont="0" applyFill="0" applyBorder="0" applyProtection="0"/>
    <xf numFmtId="43" fontId="24" fillId="0" borderId="0" applyFont="0" applyFill="0" applyBorder="0" applyProtection="0"/>
    <xf numFmtId="43" fontId="24" fillId="0" borderId="0" applyFont="0" applyFill="0" applyBorder="0" applyProtection="0"/>
    <xf numFmtId="43" fontId="24" fillId="0" borderId="0" applyFont="0" applyFill="0" applyBorder="0" applyProtection="0"/>
    <xf numFmtId="43" fontId="24" fillId="0" borderId="0" applyFont="0" applyFill="0" applyBorder="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Protection="0"/>
    <xf numFmtId="43" fontId="24" fillId="0" borderId="0" applyFont="0" applyFill="0" applyBorder="0" applyProtection="0"/>
    <xf numFmtId="43" fontId="24" fillId="0" borderId="0" applyFont="0" applyFill="0" applyBorder="0" applyProtection="0"/>
    <xf numFmtId="43" fontId="24" fillId="0" borderId="0" applyFont="0" applyFill="0" applyBorder="0" applyProtection="0"/>
    <xf numFmtId="43" fontId="24" fillId="0" borderId="0" applyFont="0" applyFill="0" applyBorder="0" applyProtection="0"/>
    <xf numFmtId="43" fontId="24" fillId="0" borderId="0" applyFont="0" applyFill="0" applyBorder="0" applyProtection="0"/>
    <xf numFmtId="43" fontId="24" fillId="0" borderId="0" applyFont="0" applyFill="0" applyBorder="0" applyProtection="0"/>
    <xf numFmtId="43" fontId="24" fillId="0" borderId="0" applyFont="0" applyFill="0" applyBorder="0" applyProtection="0"/>
    <xf numFmtId="43" fontId="24" fillId="0" borderId="0" applyFont="0" applyFill="0" applyBorder="0" applyProtection="0"/>
    <xf numFmtId="43" fontId="24" fillId="0" borderId="0" applyFont="0" applyFill="0" applyBorder="0" applyProtection="0"/>
    <xf numFmtId="43" fontId="24" fillId="0" borderId="0" applyFont="0" applyFill="0" applyBorder="0" applyProtection="0"/>
    <xf numFmtId="43" fontId="24" fillId="0" borderId="0" applyFont="0" applyFill="0" applyBorder="0" applyProtection="0"/>
    <xf numFmtId="43" fontId="24" fillId="0" borderId="0" applyFont="0" applyFill="0" applyBorder="0" applyProtection="0"/>
    <xf numFmtId="43" fontId="24" fillId="0" borderId="0" applyFont="0" applyFill="0" applyBorder="0" applyProtection="0"/>
    <xf numFmtId="43" fontId="24" fillId="0" borderId="0" applyFont="0" applyFill="0" applyBorder="0" applyProtection="0"/>
    <xf numFmtId="43" fontId="24" fillId="0" borderId="0" applyFont="0" applyFill="0" applyBorder="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Protection="0"/>
    <xf numFmtId="43" fontId="24" fillId="0" borderId="0" applyFont="0" applyFill="0" applyBorder="0" applyProtection="0"/>
    <xf numFmtId="43" fontId="24" fillId="0" borderId="0" applyFont="0" applyFill="0" applyBorder="0" applyProtection="0"/>
    <xf numFmtId="43" fontId="24" fillId="0" borderId="0" applyFont="0" applyFill="0" applyBorder="0" applyProtection="0"/>
    <xf numFmtId="43" fontId="24" fillId="0" borderId="0" applyFont="0" applyFill="0" applyBorder="0" applyProtection="0"/>
    <xf numFmtId="43" fontId="24" fillId="0" borderId="0" applyFont="0" applyFill="0" applyBorder="0" applyProtection="0"/>
    <xf numFmtId="43" fontId="24" fillId="0" borderId="0" applyFont="0" applyFill="0" applyBorder="0" applyProtection="0"/>
    <xf numFmtId="43" fontId="24" fillId="0" borderId="0" applyFont="0" applyFill="0" applyBorder="0" applyProtection="0"/>
    <xf numFmtId="43" fontId="24" fillId="0" borderId="0" applyFont="0" applyFill="0" applyBorder="0" applyProtection="0"/>
    <xf numFmtId="43" fontId="24" fillId="0" borderId="0" applyFont="0" applyFill="0" applyBorder="0" applyProtection="0"/>
    <xf numFmtId="43" fontId="24" fillId="0" borderId="0" applyFont="0" applyFill="0" applyBorder="0" applyProtection="0"/>
    <xf numFmtId="43" fontId="24" fillId="0" borderId="0" applyFont="0" applyFill="0" applyBorder="0" applyProtection="0"/>
    <xf numFmtId="43" fontId="24" fillId="0" borderId="0" applyFont="0" applyFill="0" applyBorder="0" applyProtection="0"/>
    <xf numFmtId="43" fontId="24" fillId="0" borderId="0" applyFont="0" applyFill="0" applyBorder="0" applyProtection="0"/>
    <xf numFmtId="43" fontId="24" fillId="0" borderId="0" applyFont="0" applyFill="0" applyBorder="0" applyProtection="0"/>
    <xf numFmtId="43" fontId="24" fillId="0" borderId="0" applyFont="0" applyFill="0" applyBorder="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Protection="0"/>
    <xf numFmtId="43" fontId="24" fillId="0" borderId="0" applyFont="0" applyFill="0" applyBorder="0" applyProtection="0"/>
    <xf numFmtId="43" fontId="24" fillId="0" borderId="0" applyFont="0" applyFill="0" applyBorder="0" applyProtection="0"/>
    <xf numFmtId="43" fontId="24" fillId="0" borderId="0" applyFont="0" applyFill="0" applyBorder="0" applyProtection="0"/>
    <xf numFmtId="43" fontId="24" fillId="0" borderId="0" applyFont="0" applyFill="0" applyBorder="0" applyProtection="0"/>
    <xf numFmtId="43" fontId="24" fillId="0" borderId="0" applyFont="0" applyFill="0" applyBorder="0" applyProtection="0"/>
    <xf numFmtId="43" fontId="24" fillId="0" borderId="0" applyFont="0" applyFill="0" applyBorder="0" applyProtection="0"/>
    <xf numFmtId="43" fontId="24" fillId="0" borderId="0" applyFont="0" applyFill="0" applyBorder="0" applyProtection="0"/>
    <xf numFmtId="43" fontId="24" fillId="0" borderId="0" applyFont="0" applyFill="0" applyBorder="0" applyProtection="0"/>
    <xf numFmtId="43" fontId="24" fillId="0" borderId="0" applyFont="0" applyFill="0" applyBorder="0" applyProtection="0"/>
    <xf numFmtId="43" fontId="24" fillId="0" borderId="0" applyFont="0" applyFill="0" applyBorder="0" applyProtection="0"/>
    <xf numFmtId="43" fontId="24" fillId="0" borderId="0" applyFont="0" applyFill="0" applyBorder="0" applyProtection="0"/>
    <xf numFmtId="43" fontId="24" fillId="0" borderId="0" applyFont="0" applyFill="0" applyBorder="0" applyProtection="0"/>
    <xf numFmtId="43" fontId="24" fillId="0" borderId="0" applyFont="0" applyFill="0" applyBorder="0" applyProtection="0"/>
    <xf numFmtId="43" fontId="24" fillId="0" borderId="0" applyFont="0" applyFill="0" applyBorder="0" applyProtection="0"/>
    <xf numFmtId="43" fontId="24" fillId="0" borderId="0" applyFont="0" applyFill="0" applyBorder="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Protection="0"/>
    <xf numFmtId="43" fontId="24" fillId="0" borderId="0" applyFont="0" applyFill="0" applyBorder="0" applyProtection="0"/>
    <xf numFmtId="43" fontId="24" fillId="0" borderId="0" applyFont="0" applyFill="0" applyBorder="0" applyProtection="0"/>
    <xf numFmtId="43" fontId="24" fillId="0" borderId="0" applyFont="0" applyFill="0" applyBorder="0" applyProtection="0"/>
    <xf numFmtId="43" fontId="24" fillId="0" borderId="0" applyFont="0" applyFill="0" applyBorder="0" applyProtection="0"/>
    <xf numFmtId="43" fontId="24" fillId="0" borderId="0" applyFont="0" applyFill="0" applyBorder="0" applyProtection="0"/>
    <xf numFmtId="43" fontId="24" fillId="0" borderId="0" applyFont="0" applyFill="0" applyBorder="0" applyProtection="0"/>
    <xf numFmtId="43" fontId="24" fillId="0" borderId="0" applyFont="0" applyFill="0" applyBorder="0" applyProtection="0"/>
    <xf numFmtId="43" fontId="24" fillId="0" borderId="0" applyFont="0" applyFill="0" applyBorder="0" applyProtection="0"/>
    <xf numFmtId="43" fontId="24" fillId="0" borderId="0" applyFont="0" applyFill="0" applyBorder="0" applyProtection="0"/>
    <xf numFmtId="43" fontId="24" fillId="0" borderId="0" applyFont="0" applyFill="0" applyBorder="0" applyProtection="0"/>
    <xf numFmtId="43" fontId="24" fillId="0" borderId="0" applyFont="0" applyFill="0" applyBorder="0" applyProtection="0"/>
    <xf numFmtId="43" fontId="24" fillId="0" borderId="0" applyFont="0" applyFill="0" applyBorder="0" applyProtection="0"/>
    <xf numFmtId="43" fontId="24" fillId="0" borderId="0" applyFont="0" applyFill="0" applyBorder="0" applyProtection="0"/>
    <xf numFmtId="43" fontId="24" fillId="0" borderId="0" applyFont="0" applyFill="0" applyBorder="0" applyProtection="0"/>
    <xf numFmtId="43" fontId="24" fillId="0" borderId="0" applyFont="0" applyFill="0" applyBorder="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Protection="0"/>
    <xf numFmtId="43" fontId="24" fillId="0" borderId="0" applyFont="0" applyFill="0" applyBorder="0" applyProtection="0"/>
    <xf numFmtId="43" fontId="24" fillId="0" borderId="0" applyFont="0" applyFill="0" applyBorder="0" applyProtection="0"/>
    <xf numFmtId="43" fontId="24" fillId="0" borderId="0" applyFont="0" applyFill="0" applyBorder="0" applyProtection="0"/>
    <xf numFmtId="43" fontId="24" fillId="0" borderId="0" applyFont="0" applyFill="0" applyBorder="0" applyProtection="0"/>
    <xf numFmtId="43" fontId="24" fillId="0" borderId="0" applyFont="0" applyFill="0" applyBorder="0" applyProtection="0"/>
    <xf numFmtId="43" fontId="24" fillId="0" borderId="0" applyFont="0" applyFill="0" applyBorder="0" applyProtection="0"/>
    <xf numFmtId="43" fontId="24" fillId="0" borderId="0" applyFont="0" applyFill="0" applyBorder="0" applyProtection="0"/>
    <xf numFmtId="43" fontId="24" fillId="0" borderId="0" applyFont="0" applyFill="0" applyBorder="0" applyProtection="0"/>
    <xf numFmtId="43" fontId="24" fillId="0" borderId="0" applyFont="0" applyFill="0" applyBorder="0" applyProtection="0"/>
    <xf numFmtId="43" fontId="24" fillId="0" borderId="0" applyFont="0" applyFill="0" applyBorder="0" applyProtection="0"/>
    <xf numFmtId="43" fontId="24" fillId="0" borderId="0" applyFont="0" applyFill="0" applyBorder="0" applyProtection="0"/>
    <xf numFmtId="43" fontId="24" fillId="0" borderId="0" applyFont="0" applyFill="0" applyBorder="0" applyProtection="0"/>
    <xf numFmtId="0" fontId="24" fillId="0" borderId="0" applyFont="0" applyFill="0" applyBorder="0" applyProtection="0"/>
    <xf numFmtId="0" fontId="24" fillId="0" borderId="0" applyFont="0" applyFill="0" applyBorder="0" applyProtection="0"/>
    <xf numFmtId="0" fontId="24" fillId="0" borderId="0" applyFont="0" applyFill="0" applyBorder="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Protection="0"/>
    <xf numFmtId="0" fontId="24" fillId="0" borderId="0" applyFont="0" applyFill="0" applyBorder="0" applyProtection="0"/>
    <xf numFmtId="0" fontId="24" fillId="0" borderId="0" applyFont="0" applyFill="0" applyBorder="0" applyProtection="0"/>
    <xf numFmtId="0" fontId="24" fillId="0" borderId="0" applyFont="0" applyFill="0" applyBorder="0" applyProtection="0"/>
    <xf numFmtId="0" fontId="24" fillId="0" borderId="0" applyFont="0" applyFill="0" applyBorder="0" applyProtection="0"/>
    <xf numFmtId="0" fontId="24" fillId="0" borderId="0" applyFont="0" applyFill="0" applyBorder="0" applyProtection="0"/>
    <xf numFmtId="0" fontId="24" fillId="0" borderId="0" applyFont="0" applyFill="0" applyBorder="0" applyProtection="0"/>
    <xf numFmtId="0" fontId="24" fillId="0" borderId="0" applyFont="0" applyFill="0" applyBorder="0" applyProtection="0"/>
    <xf numFmtId="0" fontId="24" fillId="0" borderId="0" applyFont="0" applyFill="0" applyBorder="0" applyProtection="0"/>
    <xf numFmtId="0" fontId="24" fillId="0" borderId="0" applyFont="0" applyFill="0" applyBorder="0" applyProtection="0"/>
    <xf numFmtId="0" fontId="24" fillId="0" borderId="0" applyFont="0" applyFill="0" applyBorder="0" applyProtection="0"/>
    <xf numFmtId="0" fontId="24" fillId="0" borderId="0" applyFont="0" applyFill="0" applyBorder="0" applyProtection="0"/>
    <xf numFmtId="0" fontId="24" fillId="0" borderId="0" applyFont="0" applyFill="0" applyBorder="0" applyProtection="0"/>
    <xf numFmtId="0" fontId="24" fillId="0" borderId="0" applyFont="0" applyFill="0" applyBorder="0" applyProtection="0"/>
    <xf numFmtId="0" fontId="24" fillId="0" borderId="0" applyFont="0" applyFill="0" applyBorder="0" applyProtection="0"/>
    <xf numFmtId="0" fontId="24" fillId="0" borderId="0" applyFont="0" applyFill="0" applyBorder="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Protection="0"/>
    <xf numFmtId="0" fontId="24" fillId="0" borderId="0" applyFont="0" applyFill="0" applyBorder="0" applyProtection="0"/>
    <xf numFmtId="0" fontId="24" fillId="0" borderId="0" applyFont="0" applyFill="0" applyBorder="0" applyProtection="0"/>
    <xf numFmtId="0" fontId="24" fillId="0" borderId="0" applyFont="0" applyFill="0" applyBorder="0" applyProtection="0"/>
    <xf numFmtId="0" fontId="24" fillId="0" borderId="0" applyFont="0" applyFill="0" applyBorder="0" applyProtection="0"/>
    <xf numFmtId="0" fontId="24" fillId="0" borderId="0" applyFont="0" applyFill="0" applyBorder="0" applyProtection="0"/>
    <xf numFmtId="0" fontId="24" fillId="0" borderId="0" applyFont="0" applyFill="0" applyBorder="0" applyProtection="0"/>
    <xf numFmtId="0" fontId="24" fillId="0" borderId="0" applyFont="0" applyFill="0" applyBorder="0" applyProtection="0"/>
    <xf numFmtId="0" fontId="24" fillId="0" borderId="0" applyFont="0" applyFill="0" applyBorder="0" applyProtection="0"/>
    <xf numFmtId="0" fontId="24" fillId="0" borderId="0" applyFont="0" applyFill="0" applyBorder="0" applyProtection="0"/>
    <xf numFmtId="0" fontId="24" fillId="0" borderId="0" applyFont="0" applyFill="0" applyBorder="0" applyProtection="0"/>
    <xf numFmtId="0" fontId="24" fillId="0" borderId="0" applyFont="0" applyFill="0" applyBorder="0" applyProtection="0"/>
    <xf numFmtId="0" fontId="24" fillId="0" borderId="0" applyFont="0" applyFill="0" applyBorder="0" applyProtection="0"/>
    <xf numFmtId="164" fontId="59" fillId="0" borderId="0" applyFont="0" applyFill="0" applyBorder="0" applyProtection="0"/>
    <xf numFmtId="164" fontId="59" fillId="0" borderId="0" applyFont="0" applyFill="0" applyBorder="0" applyProtection="0"/>
    <xf numFmtId="164" fontId="59" fillId="0" borderId="0" applyFont="0" applyFill="0" applyBorder="0" applyProtection="0"/>
    <xf numFmtId="164" fontId="59" fillId="0" borderId="0" applyFont="0" applyFill="0" applyBorder="0" applyProtection="0"/>
    <xf numFmtId="164" fontId="59" fillId="0" borderId="0" applyFont="0" applyFill="0" applyBorder="0" applyProtection="0"/>
    <xf numFmtId="164" fontId="59" fillId="0" borderId="0" applyFont="0" applyFill="0" applyBorder="0" applyProtection="0"/>
    <xf numFmtId="164" fontId="59" fillId="0" borderId="0" applyFont="0" applyFill="0" applyBorder="0" applyProtection="0"/>
    <xf numFmtId="164" fontId="59" fillId="0" borderId="0" applyFont="0" applyFill="0" applyBorder="0" applyProtection="0"/>
    <xf numFmtId="164" fontId="59" fillId="0" borderId="0" applyFont="0" applyFill="0" applyBorder="0" applyProtection="0"/>
    <xf numFmtId="164" fontId="59" fillId="0" borderId="0" applyFont="0" applyFill="0" applyBorder="0" applyProtection="0"/>
    <xf numFmtId="164" fontId="59" fillId="0" borderId="0" applyFont="0" applyFill="0" applyBorder="0" applyProtection="0"/>
    <xf numFmtId="164" fontId="59" fillId="0" borderId="0" applyFont="0" applyFill="0" applyBorder="0" applyProtection="0"/>
    <xf numFmtId="164" fontId="59" fillId="0" borderId="0" applyFont="0" applyFill="0" applyBorder="0" applyProtection="0"/>
    <xf numFmtId="164" fontId="59" fillId="0" borderId="0" applyFont="0" applyFill="0" applyBorder="0" applyProtection="0"/>
    <xf numFmtId="164" fontId="59" fillId="0" borderId="0" applyFont="0" applyFill="0" applyBorder="0" applyProtection="0"/>
    <xf numFmtId="164" fontId="59" fillId="0" borderId="0" applyFont="0" applyFill="0" applyBorder="0" applyProtection="0"/>
    <xf numFmtId="164" fontId="59" fillId="0" borderId="0" applyFont="0" applyFill="0" applyBorder="0" applyProtection="0"/>
    <xf numFmtId="164" fontId="59" fillId="0" borderId="0" applyFont="0" applyFill="0" applyBorder="0" applyProtection="0"/>
    <xf numFmtId="164" fontId="59" fillId="0" borderId="0" applyFont="0" applyFill="0" applyBorder="0" applyProtection="0"/>
    <xf numFmtId="164" fontId="59" fillId="0" borderId="0" applyFont="0" applyFill="0" applyBorder="0" applyProtection="0"/>
    <xf numFmtId="164" fontId="59" fillId="0" borderId="0" applyFont="0" applyFill="0" applyBorder="0" applyProtection="0"/>
    <xf numFmtId="164" fontId="59" fillId="0" borderId="0" applyFont="0" applyFill="0" applyBorder="0" applyProtection="0"/>
    <xf numFmtId="164" fontId="59" fillId="0" borderId="0" applyFont="0" applyFill="0" applyBorder="0" applyProtection="0"/>
    <xf numFmtId="164" fontId="59" fillId="0" borderId="0" applyFont="0" applyFill="0" applyBorder="0" applyProtection="0"/>
    <xf numFmtId="164" fontId="59" fillId="0" borderId="0" applyFont="0" applyFill="0" applyBorder="0" applyProtection="0"/>
    <xf numFmtId="164" fontId="59" fillId="0" borderId="0" applyFont="0" applyFill="0" applyBorder="0" applyProtection="0"/>
    <xf numFmtId="164" fontId="59" fillId="0" borderId="0" applyFont="0" applyFill="0" applyBorder="0" applyProtection="0"/>
    <xf numFmtId="164" fontId="59" fillId="0" borderId="0" applyFont="0" applyFill="0" applyBorder="0" applyProtection="0"/>
    <xf numFmtId="164" fontId="59" fillId="0" borderId="0" applyFont="0" applyFill="0" applyBorder="0" applyProtection="0"/>
    <xf numFmtId="164" fontId="59" fillId="0" borderId="0" applyFont="0" applyFill="0" applyBorder="0" applyProtection="0"/>
    <xf numFmtId="164" fontId="59" fillId="0" borderId="0" applyFont="0" applyFill="0" applyBorder="0" applyProtection="0"/>
    <xf numFmtId="164" fontId="59" fillId="0" borderId="0" applyFont="0" applyFill="0" applyBorder="0" applyProtection="0"/>
    <xf numFmtId="164" fontId="59" fillId="0" borderId="0" applyFont="0" applyFill="0" applyBorder="0" applyProtection="0"/>
    <xf numFmtId="164" fontId="59" fillId="0" borderId="0" applyFont="0" applyFill="0" applyBorder="0" applyProtection="0"/>
    <xf numFmtId="164" fontId="59" fillId="0" borderId="0" applyFont="0" applyFill="0" applyBorder="0" applyProtection="0"/>
    <xf numFmtId="164" fontId="59" fillId="0" borderId="0" applyFont="0" applyFill="0" applyBorder="0" applyProtection="0"/>
    <xf numFmtId="164" fontId="59" fillId="0" borderId="0" applyFont="0" applyFill="0" applyBorder="0" applyProtection="0"/>
    <xf numFmtId="164" fontId="59" fillId="0" borderId="0" applyFont="0" applyFill="0" applyBorder="0" applyProtection="0"/>
    <xf numFmtId="164" fontId="59" fillId="0" borderId="0" applyFont="0" applyFill="0" applyBorder="0" applyProtection="0"/>
    <xf numFmtId="164" fontId="59" fillId="0" borderId="0" applyFont="0" applyFill="0" applyBorder="0" applyProtection="0"/>
    <xf numFmtId="164" fontId="59" fillId="0" borderId="0" applyFont="0" applyFill="0" applyBorder="0" applyProtection="0"/>
    <xf numFmtId="164" fontId="59" fillId="0" borderId="0" applyFont="0" applyFill="0" applyBorder="0" applyProtection="0"/>
    <xf numFmtId="164" fontId="59" fillId="0" borderId="0" applyFont="0" applyFill="0" applyBorder="0" applyProtection="0"/>
    <xf numFmtId="164" fontId="59" fillId="0" borderId="0" applyFont="0" applyFill="0" applyBorder="0" applyProtection="0"/>
    <xf numFmtId="164" fontId="59" fillId="0" borderId="0" applyFont="0" applyFill="0" applyBorder="0" applyProtection="0"/>
    <xf numFmtId="164" fontId="59" fillId="0" borderId="0" applyFont="0" applyFill="0" applyBorder="0" applyProtection="0"/>
    <xf numFmtId="164" fontId="59" fillId="0" borderId="0" applyFont="0" applyFill="0" applyBorder="0" applyProtection="0"/>
    <xf numFmtId="164" fontId="59" fillId="0" borderId="0" applyFont="0" applyFill="0" applyBorder="0" applyProtection="0"/>
    <xf numFmtId="164" fontId="59" fillId="0" borderId="0" applyFont="0" applyFill="0" applyBorder="0" applyProtection="0"/>
    <xf numFmtId="164" fontId="59" fillId="0" borderId="0" applyFont="0" applyFill="0" applyBorder="0" applyProtection="0"/>
    <xf numFmtId="164" fontId="59" fillId="0" borderId="0" applyFont="0" applyFill="0" applyBorder="0" applyProtection="0"/>
    <xf numFmtId="164" fontId="59" fillId="0" borderId="0" applyFont="0" applyFill="0" applyBorder="0" applyProtection="0"/>
    <xf numFmtId="164" fontId="59" fillId="0" borderId="0" applyFont="0" applyFill="0" applyBorder="0" applyProtection="0"/>
    <xf numFmtId="164" fontId="59" fillId="0" borderId="0" applyFont="0" applyFill="0" applyBorder="0" applyProtection="0"/>
    <xf numFmtId="164" fontId="59" fillId="0" borderId="0" applyFont="0" applyFill="0" applyBorder="0" applyProtection="0"/>
    <xf numFmtId="164" fontId="59" fillId="0" borderId="0" applyFont="0" applyFill="0" applyBorder="0" applyProtection="0"/>
    <xf numFmtId="164" fontId="59" fillId="0" borderId="0" applyFont="0" applyFill="0" applyBorder="0" applyProtection="0"/>
    <xf numFmtId="164" fontId="59" fillId="0" borderId="0" applyFont="0" applyFill="0" applyBorder="0" applyProtection="0"/>
    <xf numFmtId="164" fontId="59" fillId="0" borderId="0" applyFont="0" applyFill="0" applyBorder="0" applyProtection="0"/>
    <xf numFmtId="164" fontId="59" fillId="0" borderId="0" applyFont="0" applyFill="0" applyBorder="0" applyProtection="0"/>
    <xf numFmtId="164" fontId="59" fillId="0" borderId="0" applyFont="0" applyFill="0" applyBorder="0" applyProtection="0"/>
    <xf numFmtId="164" fontId="59" fillId="0" borderId="0" applyFont="0" applyFill="0" applyBorder="0" applyProtection="0"/>
    <xf numFmtId="164" fontId="59" fillId="0" borderId="0" applyFont="0" applyFill="0" applyBorder="0" applyProtection="0"/>
    <xf numFmtId="164" fontId="59" fillId="0" borderId="0" applyFont="0" applyFill="0" applyBorder="0" applyProtection="0"/>
    <xf numFmtId="164" fontId="59" fillId="0" borderId="0" applyFont="0" applyFill="0" applyBorder="0" applyProtection="0"/>
    <xf numFmtId="164" fontId="59" fillId="0" borderId="0" applyFont="0" applyFill="0" applyBorder="0" applyProtection="0"/>
    <xf numFmtId="164" fontId="59" fillId="0" borderId="0" applyFont="0" applyFill="0" applyBorder="0" applyProtection="0"/>
    <xf numFmtId="164" fontId="59" fillId="0" borderId="0" applyFont="0" applyFill="0" applyBorder="0" applyProtection="0"/>
    <xf numFmtId="164" fontId="59" fillId="0" borderId="0" applyFont="0" applyFill="0" applyBorder="0" applyProtection="0"/>
    <xf numFmtId="164" fontId="59" fillId="0" borderId="0" applyFont="0" applyFill="0" applyBorder="0" applyProtection="0"/>
    <xf numFmtId="164" fontId="59" fillId="0" borderId="0" applyFont="0" applyFill="0" applyBorder="0" applyProtection="0"/>
    <xf numFmtId="164" fontId="59" fillId="0" borderId="0" applyFont="0" applyFill="0" applyBorder="0" applyProtection="0"/>
    <xf numFmtId="164" fontId="59" fillId="0" borderId="0" applyFont="0" applyFill="0" applyBorder="0" applyProtection="0"/>
    <xf numFmtId="164" fontId="59" fillId="0" borderId="0" applyFont="0" applyFill="0" applyBorder="0" applyProtection="0"/>
    <xf numFmtId="164" fontId="59" fillId="0" borderId="0" applyFont="0" applyFill="0" applyBorder="0" applyProtection="0"/>
    <xf numFmtId="164" fontId="59" fillId="0" borderId="0" applyFont="0" applyFill="0" applyBorder="0" applyProtection="0"/>
    <xf numFmtId="164" fontId="59" fillId="0" borderId="0" applyFont="0" applyFill="0" applyBorder="0" applyProtection="0"/>
    <xf numFmtId="164" fontId="59" fillId="0" borderId="0" applyFont="0" applyFill="0" applyBorder="0" applyProtection="0"/>
    <xf numFmtId="164" fontId="59" fillId="0" borderId="0" applyFont="0" applyFill="0" applyBorder="0" applyProtection="0"/>
    <xf numFmtId="164" fontId="59" fillId="0" borderId="0" applyFont="0" applyFill="0" applyBorder="0" applyProtection="0"/>
    <xf numFmtId="164" fontId="59" fillId="0" borderId="0" applyFont="0" applyFill="0" applyBorder="0" applyProtection="0"/>
    <xf numFmtId="164" fontId="59" fillId="0" borderId="0" applyFont="0" applyFill="0" applyBorder="0" applyProtection="0"/>
    <xf numFmtId="164" fontId="59" fillId="0" borderId="0" applyFont="0" applyFill="0" applyBorder="0" applyProtection="0"/>
    <xf numFmtId="164" fontId="59" fillId="0" borderId="0" applyFont="0" applyFill="0" applyBorder="0" applyProtection="0"/>
    <xf numFmtId="164" fontId="59" fillId="0" borderId="0" applyFont="0" applyFill="0" applyBorder="0" applyProtection="0"/>
    <xf numFmtId="164" fontId="59" fillId="0" borderId="0" applyFont="0" applyFill="0" applyBorder="0" applyProtection="0"/>
    <xf numFmtId="164" fontId="59" fillId="0" borderId="0" applyFont="0" applyFill="0" applyBorder="0" applyProtection="0"/>
    <xf numFmtId="164" fontId="59" fillId="0" borderId="0" applyFont="0" applyFill="0" applyBorder="0" applyProtection="0"/>
    <xf numFmtId="164" fontId="59" fillId="0" borderId="0" applyFont="0" applyFill="0" applyBorder="0" applyProtection="0"/>
    <xf numFmtId="164" fontId="59" fillId="0" borderId="0" applyFont="0" applyFill="0" applyBorder="0" applyProtection="0"/>
    <xf numFmtId="164" fontId="59" fillId="0" borderId="0" applyFont="0" applyFill="0" applyBorder="0" applyProtection="0"/>
    <xf numFmtId="164" fontId="59" fillId="0" borderId="0" applyFont="0" applyFill="0" applyBorder="0" applyProtection="0"/>
    <xf numFmtId="164" fontId="59" fillId="0" borderId="0" applyFont="0" applyFill="0" applyBorder="0" applyProtection="0"/>
    <xf numFmtId="164" fontId="59" fillId="0" borderId="0" applyFont="0" applyFill="0" applyBorder="0" applyProtection="0"/>
    <xf numFmtId="164" fontId="59" fillId="0" borderId="0" applyFont="0" applyFill="0" applyBorder="0" applyProtection="0"/>
    <xf numFmtId="164" fontId="59" fillId="0" borderId="0" applyFont="0" applyFill="0" applyBorder="0" applyProtection="0"/>
    <xf numFmtId="0" fontId="24" fillId="0" borderId="0" applyFont="0" applyFill="0" applyBorder="0" applyProtection="0"/>
    <xf numFmtId="0" fontId="24" fillId="0" borderId="0" applyFont="0" applyFill="0" applyBorder="0" applyProtection="0"/>
    <xf numFmtId="0" fontId="24" fillId="0" borderId="0" applyFont="0" applyFill="0" applyBorder="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Protection="0"/>
    <xf numFmtId="0" fontId="24" fillId="0" borderId="0" applyFont="0" applyFill="0" applyBorder="0" applyProtection="0"/>
    <xf numFmtId="0" fontId="24" fillId="0" borderId="0" applyFont="0" applyFill="0" applyBorder="0" applyProtection="0"/>
    <xf numFmtId="0" fontId="24" fillId="0" borderId="0" applyFont="0" applyFill="0" applyBorder="0" applyProtection="0"/>
    <xf numFmtId="0" fontId="24" fillId="0" borderId="0" applyFont="0" applyFill="0" applyBorder="0" applyProtection="0"/>
    <xf numFmtId="0" fontId="24" fillId="0" borderId="0" applyFont="0" applyFill="0" applyBorder="0" applyProtection="0"/>
    <xf numFmtId="0" fontId="24" fillId="0" borderId="0" applyFont="0" applyFill="0" applyBorder="0" applyProtection="0"/>
    <xf numFmtId="0" fontId="24" fillId="0" borderId="0" applyFont="0" applyFill="0" applyBorder="0" applyProtection="0"/>
    <xf numFmtId="0" fontId="24" fillId="0" borderId="0" applyFont="0" applyFill="0" applyBorder="0" applyProtection="0"/>
    <xf numFmtId="0" fontId="24" fillId="0" borderId="0" applyFont="0" applyFill="0" applyBorder="0" applyProtection="0"/>
    <xf numFmtId="0" fontId="24" fillId="0" borderId="0" applyFont="0" applyFill="0" applyBorder="0" applyProtection="0"/>
    <xf numFmtId="0" fontId="24" fillId="0" borderId="0" applyFont="0" applyFill="0" applyBorder="0" applyProtection="0"/>
    <xf numFmtId="0" fontId="24" fillId="0" borderId="0" applyFont="0" applyFill="0" applyBorder="0" applyProtection="0"/>
    <xf numFmtId="0" fontId="24" fillId="0" borderId="0" applyFont="0" applyFill="0" applyBorder="0" applyProtection="0"/>
    <xf numFmtId="0" fontId="24" fillId="0" borderId="0" applyFont="0" applyFill="0" applyBorder="0" applyProtection="0"/>
    <xf numFmtId="0" fontId="24" fillId="0" borderId="0" applyFont="0" applyFill="0" applyBorder="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Protection="0"/>
    <xf numFmtId="0" fontId="24" fillId="0" borderId="0" applyFont="0" applyFill="0" applyBorder="0" applyProtection="0"/>
    <xf numFmtId="0" fontId="24" fillId="0" borderId="0" applyFont="0" applyFill="0" applyBorder="0" applyProtection="0"/>
    <xf numFmtId="0" fontId="24" fillId="0" borderId="0" applyFont="0" applyFill="0" applyBorder="0" applyProtection="0"/>
    <xf numFmtId="0" fontId="24" fillId="0" borderId="0" applyFont="0" applyFill="0" applyBorder="0" applyProtection="0"/>
    <xf numFmtId="0" fontId="24" fillId="0" borderId="0" applyFont="0" applyFill="0" applyBorder="0" applyProtection="0"/>
    <xf numFmtId="0" fontId="24" fillId="0" borderId="0" applyFont="0" applyFill="0" applyBorder="0" applyProtection="0"/>
    <xf numFmtId="0" fontId="24" fillId="0" borderId="0" applyFont="0" applyFill="0" applyBorder="0" applyProtection="0"/>
    <xf numFmtId="0" fontId="24" fillId="0" borderId="0" applyFont="0" applyFill="0" applyBorder="0" applyProtection="0"/>
    <xf numFmtId="0" fontId="24" fillId="0" borderId="0" applyFont="0" applyFill="0" applyBorder="0" applyProtection="0"/>
    <xf numFmtId="0" fontId="24" fillId="0" borderId="0" applyFont="0" applyFill="0" applyBorder="0" applyProtection="0"/>
    <xf numFmtId="0" fontId="24" fillId="0" borderId="0" applyFont="0" applyFill="0" applyBorder="0" applyProtection="0"/>
    <xf numFmtId="0" fontId="24" fillId="0" borderId="0" applyFont="0" applyFill="0" applyBorder="0" applyProtection="0"/>
    <xf numFmtId="164" fontId="59" fillId="0" borderId="0" applyFont="0" applyFill="0" applyBorder="0" applyProtection="0"/>
    <xf numFmtId="164" fontId="59" fillId="0" borderId="0" applyFont="0" applyFill="0" applyBorder="0" applyProtection="0"/>
    <xf numFmtId="164" fontId="59" fillId="0" borderId="0" applyFont="0" applyFill="0" applyBorder="0" applyProtection="0"/>
    <xf numFmtId="164" fontId="59" fillId="0" borderId="0" applyFont="0" applyFill="0" applyBorder="0" applyProtection="0"/>
    <xf numFmtId="164" fontId="59" fillId="0" borderId="0" applyFont="0" applyFill="0" applyBorder="0" applyProtection="0"/>
    <xf numFmtId="164" fontId="59" fillId="0" borderId="0" applyFont="0" applyFill="0" applyBorder="0" applyProtection="0"/>
    <xf numFmtId="164" fontId="59" fillId="0" borderId="0" applyFont="0" applyFill="0" applyBorder="0" applyProtection="0"/>
    <xf numFmtId="164" fontId="59" fillId="0" borderId="0" applyFont="0" applyFill="0" applyBorder="0" applyProtection="0"/>
    <xf numFmtId="164" fontId="59" fillId="0" borderId="0" applyFont="0" applyFill="0" applyBorder="0" applyProtection="0"/>
    <xf numFmtId="164" fontId="59" fillId="0" borderId="0" applyFont="0" applyFill="0" applyBorder="0" applyProtection="0"/>
    <xf numFmtId="164" fontId="59" fillId="0" borderId="0" applyFont="0" applyFill="0" applyBorder="0" applyProtection="0"/>
    <xf numFmtId="164" fontId="59" fillId="0" borderId="0" applyFont="0" applyFill="0" applyBorder="0" applyProtection="0"/>
    <xf numFmtId="164" fontId="59" fillId="0" borderId="0" applyFont="0" applyFill="0" applyBorder="0" applyProtection="0"/>
    <xf numFmtId="164" fontId="59" fillId="0" borderId="0" applyFont="0" applyFill="0" applyBorder="0" applyProtection="0"/>
    <xf numFmtId="164" fontId="59" fillId="0" borderId="0" applyFont="0" applyFill="0" applyBorder="0" applyProtection="0"/>
    <xf numFmtId="164" fontId="59" fillId="0" borderId="0" applyFont="0" applyFill="0" applyBorder="0" applyProtection="0"/>
    <xf numFmtId="164" fontId="59" fillId="0" borderId="0" applyFont="0" applyFill="0" applyBorder="0" applyProtection="0"/>
    <xf numFmtId="164" fontId="59" fillId="0" borderId="0" applyFont="0" applyFill="0" applyBorder="0" applyProtection="0"/>
    <xf numFmtId="164" fontId="59" fillId="0" borderId="0" applyFont="0" applyFill="0" applyBorder="0" applyProtection="0"/>
    <xf numFmtId="164" fontId="59" fillId="0" borderId="0" applyFont="0" applyFill="0" applyBorder="0" applyProtection="0"/>
    <xf numFmtId="164" fontId="59" fillId="0" borderId="0" applyFont="0" applyFill="0" applyBorder="0" applyProtection="0"/>
    <xf numFmtId="164" fontId="59" fillId="0" borderId="0" applyFont="0" applyFill="0" applyBorder="0" applyProtection="0"/>
    <xf numFmtId="164" fontId="59" fillId="0" borderId="0" applyFont="0" applyFill="0" applyBorder="0" applyProtection="0"/>
    <xf numFmtId="164" fontId="59" fillId="0" borderId="0" applyFont="0" applyFill="0" applyBorder="0" applyProtection="0"/>
    <xf numFmtId="164" fontId="59" fillId="0" borderId="0" applyFont="0" applyFill="0" applyBorder="0" applyProtection="0"/>
    <xf numFmtId="164" fontId="59" fillId="0" borderId="0" applyFont="0" applyFill="0" applyBorder="0" applyProtection="0"/>
    <xf numFmtId="164" fontId="59" fillId="0" borderId="0" applyFont="0" applyFill="0" applyBorder="0" applyProtection="0"/>
    <xf numFmtId="164" fontId="59" fillId="0" borderId="0" applyFont="0" applyFill="0" applyBorder="0" applyProtection="0"/>
    <xf numFmtId="164" fontId="59" fillId="0" borderId="0" applyFont="0" applyFill="0" applyBorder="0" applyProtection="0"/>
    <xf numFmtId="164" fontId="59" fillId="0" borderId="0" applyFont="0" applyFill="0" applyBorder="0" applyProtection="0"/>
    <xf numFmtId="164" fontId="59" fillId="0" borderId="0" applyFont="0" applyFill="0" applyBorder="0" applyProtection="0"/>
    <xf numFmtId="164" fontId="59" fillId="0" borderId="0" applyFont="0" applyFill="0" applyBorder="0" applyProtection="0"/>
    <xf numFmtId="164" fontId="59" fillId="0" borderId="0" applyFont="0" applyFill="0" applyBorder="0" applyProtection="0"/>
    <xf numFmtId="164" fontId="59" fillId="0" borderId="0" applyFont="0" applyFill="0" applyBorder="0" applyProtection="0"/>
    <xf numFmtId="164" fontId="59" fillId="0" borderId="0" applyFont="0" applyFill="0" applyBorder="0" applyProtection="0"/>
    <xf numFmtId="164" fontId="59" fillId="0" borderId="0" applyFont="0" applyFill="0" applyBorder="0" applyProtection="0"/>
    <xf numFmtId="164" fontId="59" fillId="0" borderId="0" applyFont="0" applyFill="0" applyBorder="0" applyProtection="0"/>
    <xf numFmtId="164" fontId="59" fillId="0" borderId="0" applyFont="0" applyFill="0" applyBorder="0" applyProtection="0"/>
    <xf numFmtId="164" fontId="59" fillId="0" borderId="0" applyFont="0" applyFill="0" applyBorder="0" applyProtection="0"/>
    <xf numFmtId="164" fontId="59" fillId="0" borderId="0" applyFont="0" applyFill="0" applyBorder="0" applyProtection="0"/>
    <xf numFmtId="164" fontId="59" fillId="0" borderId="0" applyFont="0" applyFill="0" applyBorder="0" applyProtection="0"/>
    <xf numFmtId="164" fontId="59" fillId="0" borderId="0" applyFont="0" applyFill="0" applyBorder="0" applyProtection="0"/>
    <xf numFmtId="164" fontId="59" fillId="0" borderId="0" applyFont="0" applyFill="0" applyBorder="0" applyProtection="0"/>
    <xf numFmtId="164" fontId="59" fillId="0" borderId="0" applyFont="0" applyFill="0" applyBorder="0" applyProtection="0"/>
    <xf numFmtId="164" fontId="59" fillId="0" borderId="0" applyFont="0" applyFill="0" applyBorder="0" applyProtection="0"/>
    <xf numFmtId="43" fontId="24" fillId="0" borderId="0" applyFont="0" applyFill="0" applyBorder="0" applyProtection="0"/>
    <xf numFmtId="43" fontId="24" fillId="0" borderId="0" applyFont="0" applyFill="0" applyBorder="0" applyProtection="0"/>
    <xf numFmtId="43" fontId="24" fillId="0" borderId="0" applyFont="0" applyFill="0" applyBorder="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Protection="0"/>
    <xf numFmtId="43" fontId="24" fillId="0" borderId="0" applyFont="0" applyFill="0" applyBorder="0" applyProtection="0"/>
    <xf numFmtId="43" fontId="24" fillId="0" borderId="0" applyFont="0" applyFill="0" applyBorder="0" applyProtection="0"/>
    <xf numFmtId="43" fontId="24" fillId="0" borderId="0" applyFont="0" applyFill="0" applyBorder="0" applyProtection="0"/>
    <xf numFmtId="43" fontId="24" fillId="0" borderId="0" applyFont="0" applyFill="0" applyBorder="0" applyProtection="0"/>
    <xf numFmtId="43" fontId="24" fillId="0" borderId="0" applyFont="0" applyFill="0" applyBorder="0" applyProtection="0"/>
    <xf numFmtId="43" fontId="24" fillId="0" borderId="0" applyFont="0" applyFill="0" applyBorder="0" applyProtection="0"/>
    <xf numFmtId="43" fontId="24" fillId="0" borderId="0" applyFont="0" applyFill="0" applyBorder="0" applyProtection="0"/>
    <xf numFmtId="43" fontId="24" fillId="0" borderId="0" applyFont="0" applyFill="0" applyBorder="0" applyProtection="0"/>
    <xf numFmtId="43" fontId="24" fillId="0" borderId="0" applyFont="0" applyFill="0" applyBorder="0" applyProtection="0"/>
    <xf numFmtId="43" fontId="24" fillId="0" borderId="0" applyFont="0" applyFill="0" applyBorder="0" applyProtection="0"/>
    <xf numFmtId="43" fontId="24" fillId="0" borderId="0" applyFont="0" applyFill="0" applyBorder="0" applyProtection="0"/>
    <xf numFmtId="43" fontId="24" fillId="0" borderId="0" applyFont="0" applyFill="0" applyBorder="0" applyProtection="0"/>
    <xf numFmtId="43" fontId="24" fillId="0" borderId="0" applyFont="0" applyFill="0" applyBorder="0" applyProtection="0"/>
    <xf numFmtId="43" fontId="24" fillId="0" borderId="0" applyFont="0" applyFill="0" applyBorder="0" applyProtection="0"/>
    <xf numFmtId="43" fontId="24" fillId="0" borderId="0" applyFont="0" applyFill="0" applyBorder="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Protection="0"/>
    <xf numFmtId="43" fontId="24" fillId="0" borderId="0" applyFont="0" applyFill="0" applyBorder="0" applyProtection="0"/>
    <xf numFmtId="43" fontId="24" fillId="0" borderId="0" applyFont="0" applyFill="0" applyBorder="0" applyProtection="0"/>
    <xf numFmtId="43" fontId="24" fillId="0" borderId="0" applyFont="0" applyFill="0" applyBorder="0" applyProtection="0"/>
    <xf numFmtId="43" fontId="24" fillId="0" borderId="0" applyFont="0" applyFill="0" applyBorder="0" applyProtection="0"/>
    <xf numFmtId="43" fontId="24" fillId="0" borderId="0" applyFont="0" applyFill="0" applyBorder="0" applyProtection="0"/>
    <xf numFmtId="43" fontId="24" fillId="0" borderId="0" applyFont="0" applyFill="0" applyBorder="0" applyProtection="0"/>
    <xf numFmtId="43" fontId="24" fillId="0" borderId="0" applyFont="0" applyFill="0" applyBorder="0" applyProtection="0"/>
    <xf numFmtId="43" fontId="24" fillId="0" borderId="0" applyFont="0" applyFill="0" applyBorder="0" applyProtection="0"/>
    <xf numFmtId="43" fontId="24" fillId="0" borderId="0" applyFont="0" applyFill="0" applyBorder="0" applyProtection="0"/>
    <xf numFmtId="43" fontId="24" fillId="0" borderId="0" applyFont="0" applyFill="0" applyBorder="0" applyProtection="0"/>
    <xf numFmtId="43" fontId="24" fillId="0" borderId="0" applyFont="0" applyFill="0" applyBorder="0" applyProtection="0"/>
    <xf numFmtId="43" fontId="24" fillId="0" borderId="0" applyFont="0" applyFill="0" applyBorder="0" applyProtection="0"/>
    <xf numFmtId="43" fontId="24" fillId="0" borderId="0" applyFont="0" applyFill="0" applyBorder="0" applyProtection="0"/>
    <xf numFmtId="43" fontId="24" fillId="0" borderId="0" applyFont="0" applyFill="0" applyBorder="0" applyProtection="0"/>
    <xf numFmtId="43" fontId="24" fillId="0" borderId="0" applyFont="0" applyFill="0" applyBorder="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Protection="0"/>
    <xf numFmtId="43" fontId="24" fillId="0" borderId="0" applyFont="0" applyFill="0" applyBorder="0" applyProtection="0"/>
    <xf numFmtId="43" fontId="24" fillId="0" borderId="0" applyFont="0" applyFill="0" applyBorder="0" applyProtection="0"/>
    <xf numFmtId="43" fontId="24" fillId="0" borderId="0" applyFont="0" applyFill="0" applyBorder="0" applyProtection="0"/>
    <xf numFmtId="43" fontId="24" fillId="0" borderId="0" applyFont="0" applyFill="0" applyBorder="0" applyProtection="0"/>
    <xf numFmtId="43" fontId="24" fillId="0" borderId="0" applyFont="0" applyFill="0" applyBorder="0" applyProtection="0"/>
    <xf numFmtId="43" fontId="24" fillId="0" borderId="0" applyFont="0" applyFill="0" applyBorder="0" applyProtection="0"/>
    <xf numFmtId="43" fontId="24" fillId="0" borderId="0" applyFont="0" applyFill="0" applyBorder="0" applyProtection="0"/>
    <xf numFmtId="43" fontId="24" fillId="0" borderId="0" applyFont="0" applyFill="0" applyBorder="0" applyProtection="0"/>
    <xf numFmtId="43" fontId="24" fillId="0" borderId="0" applyFont="0" applyFill="0" applyBorder="0" applyProtection="0"/>
    <xf numFmtId="43" fontId="24" fillId="0" borderId="0" applyFont="0" applyFill="0" applyBorder="0" applyProtection="0"/>
    <xf numFmtId="43" fontId="24" fillId="0" borderId="0" applyFont="0" applyFill="0" applyBorder="0" applyProtection="0"/>
    <xf numFmtId="43" fontId="24" fillId="0" borderId="0" applyFont="0" applyFill="0" applyBorder="0" applyProtection="0"/>
    <xf numFmtId="164" fontId="59" fillId="0" borderId="0" applyFont="0" applyFill="0" applyBorder="0" applyProtection="0"/>
    <xf numFmtId="164" fontId="59" fillId="0" borderId="0" applyFont="0" applyFill="0" applyBorder="0" applyProtection="0"/>
    <xf numFmtId="164" fontId="59" fillId="0" borderId="0" applyFont="0" applyFill="0" applyBorder="0" applyProtection="0"/>
    <xf numFmtId="164" fontId="59" fillId="0" borderId="0" applyFont="0" applyFill="0" applyBorder="0" applyProtection="0"/>
    <xf numFmtId="164" fontId="59" fillId="0" borderId="0" applyFont="0" applyFill="0" applyBorder="0" applyProtection="0"/>
    <xf numFmtId="164" fontId="59" fillId="0" borderId="0" applyFont="0" applyFill="0" applyBorder="0" applyProtection="0"/>
    <xf numFmtId="164" fontId="59" fillId="0" borderId="0" applyFont="0" applyFill="0" applyBorder="0" applyProtection="0"/>
    <xf numFmtId="164" fontId="59" fillId="0" borderId="0" applyFont="0" applyFill="0" applyBorder="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Protection="0"/>
    <xf numFmtId="43" fontId="24" fillId="0" borderId="0" applyFont="0" applyFill="0" applyBorder="0" applyProtection="0"/>
    <xf numFmtId="43" fontId="24" fillId="0" borderId="0" applyFont="0" applyFill="0" applyBorder="0" applyProtection="0"/>
    <xf numFmtId="43" fontId="24" fillId="0" borderId="0" applyFont="0" applyFill="0" applyBorder="0" applyProtection="0"/>
    <xf numFmtId="43" fontId="24" fillId="0" borderId="0" applyFont="0" applyFill="0" applyBorder="0" applyProtection="0"/>
    <xf numFmtId="43" fontId="24" fillId="0" borderId="0" applyFont="0" applyFill="0" applyBorder="0" applyProtection="0"/>
    <xf numFmtId="43" fontId="24" fillId="0" borderId="0" applyFont="0" applyFill="0" applyBorder="0" applyProtection="0"/>
    <xf numFmtId="43" fontId="24" fillId="0" borderId="0" applyFont="0" applyFill="0" applyBorder="0" applyProtection="0"/>
    <xf numFmtId="43" fontId="24" fillId="0" borderId="0" applyFont="0" applyFill="0" applyBorder="0" applyProtection="0"/>
    <xf numFmtId="43" fontId="24" fillId="0" borderId="0" applyFont="0" applyFill="0" applyBorder="0" applyProtection="0"/>
    <xf numFmtId="43" fontId="24" fillId="0" borderId="0" applyFont="0" applyFill="0" applyBorder="0" applyProtection="0"/>
    <xf numFmtId="43" fontId="24" fillId="0" borderId="0" applyFont="0" applyFill="0" applyBorder="0" applyProtection="0"/>
    <xf numFmtId="43" fontId="24" fillId="0" borderId="0" applyFont="0" applyFill="0" applyBorder="0" applyProtection="0"/>
    <xf numFmtId="43" fontId="24" fillId="0" borderId="0" applyFont="0" applyFill="0" applyBorder="0" applyProtection="0"/>
    <xf numFmtId="164" fontId="59" fillId="0" borderId="0" applyFont="0" applyFill="0" applyBorder="0" applyProtection="0"/>
    <xf numFmtId="164" fontId="59" fillId="0" borderId="0" applyFont="0" applyFill="0" applyBorder="0" applyProtection="0"/>
    <xf numFmtId="164" fontId="59" fillId="0" borderId="0" applyFont="0" applyFill="0" applyBorder="0" applyProtection="0"/>
    <xf numFmtId="164" fontId="59" fillId="0" borderId="0" applyFont="0" applyFill="0" applyBorder="0" applyProtection="0"/>
    <xf numFmtId="164" fontId="59" fillId="0" borderId="0" applyFont="0" applyFill="0" applyBorder="0" applyProtection="0"/>
    <xf numFmtId="164" fontId="59" fillId="0" borderId="0" applyFont="0" applyFill="0" applyBorder="0" applyProtection="0"/>
    <xf numFmtId="164" fontId="59" fillId="0" borderId="0" applyFont="0" applyFill="0" applyBorder="0" applyProtection="0"/>
    <xf numFmtId="164" fontId="59" fillId="0" borderId="0" applyFont="0" applyFill="0" applyBorder="0" applyProtection="0"/>
    <xf numFmtId="43" fontId="24" fillId="0" borderId="0" applyFont="0" applyFill="0" applyBorder="0" applyProtection="0"/>
    <xf numFmtId="43" fontId="24" fillId="0" borderId="0" applyFont="0" applyFill="0" applyBorder="0" applyProtection="0"/>
    <xf numFmtId="164" fontId="59" fillId="0" borderId="0" applyFont="0" applyFill="0" applyBorder="0" applyProtection="0"/>
    <xf numFmtId="164" fontId="59" fillId="0" borderId="0" applyFont="0" applyFill="0" applyBorder="0" applyProtection="0"/>
    <xf numFmtId="164" fontId="59" fillId="0" borderId="0" applyFont="0" applyFill="0" applyBorder="0" applyProtection="0"/>
    <xf numFmtId="164" fontId="59" fillId="0" borderId="0" applyFont="0" applyFill="0" applyBorder="0" applyProtection="0"/>
    <xf numFmtId="164" fontId="59" fillId="0" borderId="0" applyFont="0" applyFill="0" applyBorder="0" applyProtection="0"/>
    <xf numFmtId="164" fontId="59" fillId="0" borderId="0" applyFont="0" applyFill="0" applyBorder="0" applyProtection="0"/>
    <xf numFmtId="164" fontId="59" fillId="0" borderId="0" applyFont="0" applyFill="0" applyBorder="0" applyProtection="0"/>
    <xf numFmtId="164" fontId="59" fillId="0" borderId="0" applyFont="0" applyFill="0" applyBorder="0" applyProtection="0"/>
    <xf numFmtId="164" fontId="59" fillId="0" borderId="0" applyFont="0" applyFill="0" applyBorder="0" applyProtection="0"/>
    <xf numFmtId="164" fontId="59" fillId="0" borderId="0" applyFont="0" applyFill="0" applyBorder="0" applyProtection="0"/>
    <xf numFmtId="164" fontId="59" fillId="0" borderId="0" applyFont="0" applyFill="0" applyBorder="0" applyProtection="0"/>
    <xf numFmtId="164" fontId="59" fillId="0" borderId="0" applyFont="0" applyFill="0" applyBorder="0" applyProtection="0"/>
    <xf numFmtId="164" fontId="59" fillId="0" borderId="0" applyFont="0" applyFill="0" applyBorder="0" applyProtection="0"/>
    <xf numFmtId="164" fontId="59" fillId="0" borderId="0" applyFont="0" applyFill="0" applyBorder="0" applyProtection="0"/>
    <xf numFmtId="164" fontId="59" fillId="0" borderId="0" applyFont="0" applyFill="0" applyBorder="0" applyProtection="0"/>
    <xf numFmtId="164" fontId="59" fillId="0" borderId="0" applyFont="0" applyFill="0" applyBorder="0" applyProtection="0"/>
    <xf numFmtId="164" fontId="59" fillId="0" borderId="0" applyFont="0" applyFill="0" applyBorder="0" applyProtection="0"/>
    <xf numFmtId="164" fontId="59" fillId="0" borderId="0" applyFont="0" applyFill="0" applyBorder="0" applyProtection="0"/>
    <xf numFmtId="164" fontId="59" fillId="0" borderId="0" applyFont="0" applyFill="0" applyBorder="0" applyProtection="0"/>
    <xf numFmtId="164" fontId="59" fillId="0" borderId="0" applyFont="0" applyFill="0" applyBorder="0" applyProtection="0"/>
    <xf numFmtId="164" fontId="59" fillId="0" borderId="0" applyFont="0" applyFill="0" applyBorder="0" applyProtection="0"/>
    <xf numFmtId="164" fontId="59" fillId="0" borderId="0" applyFont="0" applyFill="0" applyBorder="0" applyProtection="0"/>
    <xf numFmtId="164" fontId="59" fillId="0" borderId="0" applyFont="0" applyFill="0" applyBorder="0" applyProtection="0"/>
    <xf numFmtId="164" fontId="59" fillId="0" borderId="0" applyFont="0" applyFill="0" applyBorder="0" applyProtection="0"/>
    <xf numFmtId="164" fontId="59" fillId="0" borderId="0" applyFont="0" applyFill="0" applyBorder="0" applyProtection="0"/>
    <xf numFmtId="164" fontId="59" fillId="0" borderId="0" applyFont="0" applyFill="0" applyBorder="0" applyProtection="0"/>
    <xf numFmtId="164" fontId="59" fillId="0" borderId="0" applyFont="0" applyFill="0" applyBorder="0" applyProtection="0"/>
    <xf numFmtId="164" fontId="59" fillId="0" borderId="0" applyFont="0" applyFill="0" applyBorder="0" applyProtection="0"/>
    <xf numFmtId="164" fontId="59" fillId="0" borderId="0" applyFont="0" applyFill="0" applyBorder="0" applyProtection="0"/>
    <xf numFmtId="164" fontId="59" fillId="0" borderId="0" applyFont="0" applyFill="0" applyBorder="0" applyProtection="0"/>
    <xf numFmtId="164" fontId="59" fillId="0" borderId="0" applyFont="0" applyFill="0" applyBorder="0" applyProtection="0"/>
    <xf numFmtId="164" fontId="59" fillId="0" borderId="0" applyFont="0" applyFill="0" applyBorder="0" applyProtection="0"/>
    <xf numFmtId="164" fontId="59" fillId="0" borderId="0" applyFont="0" applyFill="0" applyBorder="0" applyProtection="0"/>
    <xf numFmtId="164" fontId="59" fillId="0" borderId="0" applyFont="0" applyFill="0" applyBorder="0" applyProtection="0"/>
    <xf numFmtId="164" fontId="59" fillId="0" borderId="0" applyFont="0" applyFill="0" applyBorder="0" applyProtection="0"/>
    <xf numFmtId="164" fontId="59" fillId="0" borderId="0" applyFont="0" applyFill="0" applyBorder="0" applyProtection="0"/>
    <xf numFmtId="164" fontId="59" fillId="0" borderId="0" applyFont="0" applyFill="0" applyBorder="0" applyProtection="0"/>
    <xf numFmtId="164" fontId="59" fillId="0" borderId="0" applyFont="0" applyFill="0" applyBorder="0" applyProtection="0"/>
    <xf numFmtId="164" fontId="59" fillId="0" borderId="0" applyFont="0" applyFill="0" applyBorder="0" applyProtection="0"/>
    <xf numFmtId="164" fontId="59" fillId="0" borderId="0" applyFont="0" applyFill="0" applyBorder="0" applyProtection="0"/>
    <xf numFmtId="164" fontId="59" fillId="0" borderId="0" applyFont="0" applyFill="0" applyBorder="0" applyProtection="0"/>
    <xf numFmtId="164" fontId="59" fillId="0" borderId="0" applyFont="0" applyFill="0" applyBorder="0" applyProtection="0"/>
    <xf numFmtId="164" fontId="59" fillId="0" borderId="0" applyFont="0" applyFill="0" applyBorder="0" applyProtection="0"/>
    <xf numFmtId="164" fontId="59" fillId="0" borderId="0" applyFont="0" applyFill="0" applyBorder="0" applyProtection="0"/>
    <xf numFmtId="164" fontId="59" fillId="0" borderId="0" applyFont="0" applyFill="0" applyBorder="0" applyProtection="0"/>
    <xf numFmtId="164" fontId="59" fillId="0" borderId="0" applyFont="0" applyFill="0" applyBorder="0" applyProtection="0"/>
    <xf numFmtId="164" fontId="59" fillId="0" borderId="0" applyFont="0" applyFill="0" applyBorder="0" applyProtection="0"/>
    <xf numFmtId="164" fontId="59" fillId="0" borderId="0" applyFont="0" applyFill="0" applyBorder="0" applyProtection="0"/>
    <xf numFmtId="164" fontId="59" fillId="0" borderId="0" applyFont="0" applyFill="0" applyBorder="0" applyProtection="0"/>
    <xf numFmtId="164" fontId="59" fillId="0" borderId="0" applyFont="0" applyFill="0" applyBorder="0" applyProtection="0"/>
    <xf numFmtId="164" fontId="59" fillId="0" borderId="0" applyFont="0" applyFill="0" applyBorder="0" applyProtection="0"/>
    <xf numFmtId="164" fontId="59" fillId="0" borderId="0" applyFont="0" applyFill="0" applyBorder="0" applyProtection="0"/>
    <xf numFmtId="164" fontId="59" fillId="0" borderId="0" applyFont="0" applyFill="0" applyBorder="0" applyProtection="0"/>
    <xf numFmtId="164" fontId="59" fillId="0" borderId="0" applyFont="0" applyFill="0" applyBorder="0" applyProtection="0"/>
    <xf numFmtId="164" fontId="59" fillId="0" borderId="0" applyFont="0" applyFill="0" applyBorder="0" applyProtection="0"/>
    <xf numFmtId="164" fontId="59" fillId="0" borderId="0" applyFont="0" applyFill="0" applyBorder="0" applyProtection="0"/>
    <xf numFmtId="43" fontId="24" fillId="0" borderId="0" applyFont="0" applyFill="0" applyBorder="0" applyProtection="0"/>
    <xf numFmtId="43" fontId="24" fillId="0" borderId="0" applyFont="0" applyFill="0" applyBorder="0" applyProtection="0"/>
    <xf numFmtId="43" fontId="24" fillId="0" borderId="0" applyFont="0" applyFill="0" applyBorder="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Protection="0"/>
    <xf numFmtId="43" fontId="24" fillId="0" borderId="0" applyFont="0" applyFill="0" applyBorder="0" applyProtection="0"/>
    <xf numFmtId="43" fontId="24" fillId="0" borderId="0" applyFont="0" applyFill="0" applyBorder="0" applyProtection="0"/>
    <xf numFmtId="43" fontId="24" fillId="0" borderId="0" applyFont="0" applyFill="0" applyBorder="0" applyProtection="0"/>
    <xf numFmtId="43" fontId="24" fillId="0" borderId="0" applyFont="0" applyFill="0" applyBorder="0" applyProtection="0"/>
    <xf numFmtId="43" fontId="24" fillId="0" borderId="0" applyFont="0" applyFill="0" applyBorder="0" applyProtection="0"/>
    <xf numFmtId="43" fontId="24" fillId="0" borderId="0" applyFont="0" applyFill="0" applyBorder="0" applyProtection="0"/>
    <xf numFmtId="43" fontId="24" fillId="0" borderId="0" applyFont="0" applyFill="0" applyBorder="0" applyProtection="0"/>
    <xf numFmtId="43" fontId="24" fillId="0" borderId="0" applyFont="0" applyFill="0" applyBorder="0" applyProtection="0"/>
    <xf numFmtId="43" fontId="24" fillId="0" borderId="0" applyFont="0" applyFill="0" applyBorder="0" applyProtection="0"/>
    <xf numFmtId="43" fontId="24" fillId="0" borderId="0" applyFont="0" applyFill="0" applyBorder="0" applyProtection="0"/>
    <xf numFmtId="43" fontId="24" fillId="0" borderId="0" applyFont="0" applyFill="0" applyBorder="0" applyProtection="0"/>
    <xf numFmtId="43" fontId="24" fillId="0" borderId="0" applyFont="0" applyFill="0" applyBorder="0" applyProtection="0"/>
    <xf numFmtId="43" fontId="24" fillId="0" borderId="0" applyFont="0" applyFill="0" applyBorder="0" applyProtection="0"/>
    <xf numFmtId="43" fontId="24" fillId="0" borderId="0" applyFont="0" applyFill="0" applyBorder="0" applyProtection="0"/>
    <xf numFmtId="43" fontId="24" fillId="0" borderId="0" applyFont="0" applyFill="0" applyBorder="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Protection="0"/>
    <xf numFmtId="43" fontId="24" fillId="0" borderId="0" applyFont="0" applyFill="0" applyBorder="0" applyProtection="0"/>
    <xf numFmtId="43" fontId="24" fillId="0" borderId="0" applyFont="0" applyFill="0" applyBorder="0" applyProtection="0"/>
    <xf numFmtId="43" fontId="24" fillId="0" borderId="0" applyFont="0" applyFill="0" applyBorder="0" applyProtection="0"/>
    <xf numFmtId="43" fontId="24" fillId="0" borderId="0" applyFont="0" applyFill="0" applyBorder="0" applyProtection="0"/>
    <xf numFmtId="43" fontId="24" fillId="0" borderId="0" applyFont="0" applyFill="0" applyBorder="0" applyProtection="0"/>
    <xf numFmtId="43" fontId="24" fillId="0" borderId="0" applyFont="0" applyFill="0" applyBorder="0" applyProtection="0"/>
    <xf numFmtId="43" fontId="24" fillId="0" borderId="0" applyFont="0" applyFill="0" applyBorder="0" applyProtection="0"/>
    <xf numFmtId="43" fontId="24" fillId="0" borderId="0" applyFont="0" applyFill="0" applyBorder="0" applyProtection="0"/>
    <xf numFmtId="43" fontId="24" fillId="0" borderId="0" applyFont="0" applyFill="0" applyBorder="0" applyProtection="0"/>
    <xf numFmtId="43" fontId="24" fillId="0" borderId="0" applyFont="0" applyFill="0" applyBorder="0" applyProtection="0"/>
    <xf numFmtId="43" fontId="24" fillId="0" borderId="0" applyFont="0" applyFill="0" applyBorder="0" applyProtection="0"/>
    <xf numFmtId="43" fontId="24" fillId="0" borderId="0" applyFont="0" applyFill="0" applyBorder="0" applyProtection="0"/>
    <xf numFmtId="43" fontId="24" fillId="0" borderId="0" applyFont="0" applyFill="0" applyBorder="0" applyProtection="0"/>
    <xf numFmtId="43" fontId="24" fillId="0" borderId="0" applyFont="0" applyFill="0" applyBorder="0" applyProtection="0"/>
    <xf numFmtId="43" fontId="24" fillId="0" borderId="0" applyFont="0" applyFill="0" applyBorder="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Protection="0"/>
    <xf numFmtId="43" fontId="24" fillId="0" borderId="0" applyFont="0" applyFill="0" applyBorder="0" applyProtection="0"/>
    <xf numFmtId="43" fontId="24" fillId="0" borderId="0" applyFont="0" applyFill="0" applyBorder="0" applyProtection="0"/>
    <xf numFmtId="43" fontId="24" fillId="0" borderId="0" applyFont="0" applyFill="0" applyBorder="0" applyProtection="0"/>
    <xf numFmtId="43" fontId="24" fillId="0" borderId="0" applyFont="0" applyFill="0" applyBorder="0" applyProtection="0"/>
    <xf numFmtId="43" fontId="24" fillId="0" borderId="0" applyFont="0" applyFill="0" applyBorder="0" applyProtection="0"/>
    <xf numFmtId="43" fontId="24" fillId="0" borderId="0" applyFont="0" applyFill="0" applyBorder="0" applyProtection="0"/>
    <xf numFmtId="43" fontId="24" fillId="0" borderId="0" applyFont="0" applyFill="0" applyBorder="0" applyProtection="0"/>
    <xf numFmtId="43" fontId="24" fillId="0" borderId="0" applyFont="0" applyFill="0" applyBorder="0" applyProtection="0"/>
    <xf numFmtId="43" fontId="24" fillId="0" borderId="0" applyFont="0" applyFill="0" applyBorder="0" applyProtection="0"/>
    <xf numFmtId="43" fontId="24" fillId="0" borderId="0" applyFont="0" applyFill="0" applyBorder="0" applyProtection="0"/>
    <xf numFmtId="43" fontId="24" fillId="0" borderId="0" applyFont="0" applyFill="0" applyBorder="0" applyProtection="0"/>
    <xf numFmtId="43" fontId="24" fillId="0" borderId="0" applyFont="0" applyFill="0" applyBorder="0" applyProtection="0"/>
    <xf numFmtId="43" fontId="24" fillId="0" borderId="0" applyFont="0" applyFill="0" applyBorder="0" applyProtection="0"/>
    <xf numFmtId="43" fontId="24" fillId="0" borderId="0" applyFont="0" applyFill="0" applyBorder="0" applyProtection="0"/>
    <xf numFmtId="43" fontId="24" fillId="0" borderId="0" applyFont="0" applyFill="0" applyBorder="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Protection="0"/>
    <xf numFmtId="43" fontId="24" fillId="0" borderId="0" applyFont="0" applyFill="0" applyBorder="0" applyProtection="0"/>
    <xf numFmtId="43" fontId="24" fillId="0" borderId="0" applyFont="0" applyFill="0" applyBorder="0" applyProtection="0"/>
    <xf numFmtId="43" fontId="24" fillId="0" borderId="0" applyFont="0" applyFill="0" applyBorder="0" applyProtection="0"/>
    <xf numFmtId="43" fontId="24" fillId="0" borderId="0" applyFont="0" applyFill="0" applyBorder="0" applyProtection="0"/>
    <xf numFmtId="43" fontId="24" fillId="0" borderId="0" applyFont="0" applyFill="0" applyBorder="0" applyProtection="0"/>
    <xf numFmtId="43" fontId="24" fillId="0" borderId="0" applyFont="0" applyFill="0" applyBorder="0" applyProtection="0"/>
    <xf numFmtId="43" fontId="24" fillId="0" borderId="0" applyFont="0" applyFill="0" applyBorder="0" applyProtection="0"/>
    <xf numFmtId="43" fontId="24" fillId="0" borderId="0" applyFont="0" applyFill="0" applyBorder="0" applyProtection="0"/>
    <xf numFmtId="43" fontId="24" fillId="0" borderId="0" applyFont="0" applyFill="0" applyBorder="0" applyProtection="0"/>
    <xf numFmtId="43" fontId="24" fillId="0" borderId="0" applyFont="0" applyFill="0" applyBorder="0" applyProtection="0"/>
    <xf numFmtId="43" fontId="24" fillId="0" borderId="0" applyFont="0" applyFill="0" applyBorder="0" applyProtection="0"/>
    <xf numFmtId="43" fontId="24" fillId="0" borderId="0" applyFont="0" applyFill="0" applyBorder="0" applyProtection="0"/>
    <xf numFmtId="43" fontId="24" fillId="0" borderId="0" applyFont="0" applyFill="0" applyBorder="0" applyProtection="0"/>
    <xf numFmtId="43" fontId="24" fillId="0" borderId="0" applyFont="0" applyFill="0" applyBorder="0" applyProtection="0"/>
    <xf numFmtId="43" fontId="24" fillId="0" borderId="0" applyFont="0" applyFill="0" applyBorder="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Protection="0"/>
    <xf numFmtId="43" fontId="24" fillId="0" borderId="0" applyFont="0" applyFill="0" applyBorder="0" applyProtection="0"/>
    <xf numFmtId="43" fontId="24" fillId="0" borderId="0" applyFont="0" applyFill="0" applyBorder="0" applyProtection="0"/>
    <xf numFmtId="43" fontId="24" fillId="0" borderId="0" applyFont="0" applyFill="0" applyBorder="0" applyProtection="0"/>
    <xf numFmtId="43" fontId="24" fillId="0" borderId="0" applyFont="0" applyFill="0" applyBorder="0" applyProtection="0"/>
    <xf numFmtId="43" fontId="24" fillId="0" borderId="0" applyFont="0" applyFill="0" applyBorder="0" applyProtection="0"/>
    <xf numFmtId="43" fontId="24" fillId="0" borderId="0" applyFont="0" applyFill="0" applyBorder="0" applyProtection="0"/>
    <xf numFmtId="43" fontId="24" fillId="0" borderId="0" applyFont="0" applyFill="0" applyBorder="0" applyProtection="0"/>
    <xf numFmtId="43" fontId="24" fillId="0" borderId="0" applyFont="0" applyFill="0" applyBorder="0" applyProtection="0"/>
    <xf numFmtId="43" fontId="24" fillId="0" borderId="0" applyFont="0" applyFill="0" applyBorder="0" applyProtection="0"/>
    <xf numFmtId="43" fontId="24" fillId="0" borderId="0" applyFont="0" applyFill="0" applyBorder="0" applyProtection="0"/>
    <xf numFmtId="43" fontId="24" fillId="0" borderId="0" applyFont="0" applyFill="0" applyBorder="0" applyProtection="0"/>
    <xf numFmtId="43" fontId="24" fillId="0" borderId="0" applyFont="0" applyFill="0" applyBorder="0" applyProtection="0"/>
    <xf numFmtId="0" fontId="170" fillId="35" borderId="0" applyNumberFormat="0" applyBorder="0" applyProtection="0"/>
    <xf numFmtId="0" fontId="170" fillId="35" borderId="0" applyNumberFormat="0" applyBorder="0" applyProtection="0"/>
    <xf numFmtId="0" fontId="170" fillId="35" borderId="0" applyNumberFormat="0" applyBorder="0" applyProtection="0"/>
    <xf numFmtId="0" fontId="170" fillId="35" borderId="0" applyNumberFormat="0" applyBorder="0" applyProtection="0"/>
    <xf numFmtId="0" fontId="170" fillId="35" borderId="0" applyNumberFormat="0" applyBorder="0" applyProtection="0"/>
    <xf numFmtId="0" fontId="170" fillId="35" borderId="0" applyNumberFormat="0" applyBorder="0" applyProtection="0"/>
    <xf numFmtId="0" fontId="170" fillId="35" borderId="0" applyNumberFormat="0" applyBorder="0" applyProtection="0"/>
    <xf numFmtId="0" fontId="170" fillId="35" borderId="0" applyNumberFormat="0" applyBorder="0" applyProtection="0"/>
    <xf numFmtId="0" fontId="170" fillId="36" borderId="0" applyNumberFormat="0" applyBorder="0" applyAlignment="0" applyProtection="0"/>
    <xf numFmtId="0" fontId="170" fillId="36" borderId="0" applyNumberFormat="0" applyBorder="0" applyAlignment="0" applyProtection="0"/>
    <xf numFmtId="0" fontId="170" fillId="36" borderId="0" applyNumberFormat="0" applyBorder="0" applyAlignment="0" applyProtection="0"/>
    <xf numFmtId="0" fontId="170" fillId="36" borderId="0" applyNumberFormat="0" applyBorder="0" applyAlignment="0" applyProtection="0"/>
    <xf numFmtId="0" fontId="170" fillId="36" borderId="0" applyNumberFormat="0" applyBorder="0" applyAlignment="0" applyProtection="0"/>
    <xf numFmtId="0" fontId="170" fillId="36" borderId="0" applyNumberFormat="0" applyBorder="0" applyAlignment="0" applyProtection="0"/>
    <xf numFmtId="0" fontId="170" fillId="36" borderId="0" applyNumberFormat="0" applyBorder="0" applyAlignment="0" applyProtection="0"/>
    <xf numFmtId="0" fontId="170" fillId="36" borderId="0" applyNumberFormat="0" applyBorder="0" applyAlignment="0" applyProtection="0"/>
    <xf numFmtId="0" fontId="170" fillId="36" borderId="0" applyNumberFormat="0" applyBorder="0" applyAlignment="0" applyProtection="0"/>
    <xf numFmtId="0" fontId="170" fillId="36" borderId="0" applyNumberFormat="0" applyBorder="0" applyAlignment="0" applyProtection="0"/>
    <xf numFmtId="0" fontId="170" fillId="36" borderId="0" applyNumberFormat="0" applyBorder="0" applyAlignment="0" applyProtection="0"/>
    <xf numFmtId="0" fontId="170" fillId="36" borderId="0" applyNumberFormat="0" applyBorder="0" applyAlignment="0" applyProtection="0"/>
    <xf numFmtId="0" fontId="170" fillId="36" borderId="0" applyNumberFormat="0" applyBorder="0" applyAlignment="0" applyProtection="0"/>
    <xf numFmtId="0" fontId="170" fillId="36" borderId="0" applyNumberFormat="0" applyBorder="0" applyAlignment="0" applyProtection="0"/>
    <xf numFmtId="0" fontId="170" fillId="36" borderId="0" applyNumberFormat="0" applyBorder="0" applyAlignment="0" applyProtection="0"/>
    <xf numFmtId="0" fontId="170" fillId="36" borderId="0" applyNumberFormat="0" applyBorder="0" applyAlignment="0" applyProtection="0"/>
    <xf numFmtId="0" fontId="170" fillId="36" borderId="0" applyNumberFormat="0" applyBorder="0" applyAlignment="0" applyProtection="0"/>
    <xf numFmtId="0" fontId="170" fillId="36" borderId="0" applyNumberFormat="0" applyBorder="0" applyAlignment="0" applyProtection="0"/>
    <xf numFmtId="0" fontId="170" fillId="36" borderId="0" applyNumberFormat="0" applyBorder="0" applyAlignment="0" applyProtection="0"/>
    <xf numFmtId="0" fontId="170" fillId="36" borderId="0" applyNumberFormat="0" applyBorder="0" applyAlignment="0" applyProtection="0"/>
    <xf numFmtId="0" fontId="170" fillId="35" borderId="0" applyNumberFormat="0" applyBorder="0" applyProtection="0"/>
    <xf numFmtId="0" fontId="170" fillId="35" borderId="0" applyNumberFormat="0" applyBorder="0" applyProtection="0"/>
    <xf numFmtId="0" fontId="170" fillId="35" borderId="0" applyNumberFormat="0" applyBorder="0" applyProtection="0"/>
    <xf numFmtId="0" fontId="170" fillId="35" borderId="0" applyNumberFormat="0" applyBorder="0" applyProtection="0"/>
    <xf numFmtId="0" fontId="170" fillId="35" borderId="0" applyNumberFormat="0" applyBorder="0" applyProtection="0"/>
    <xf numFmtId="0" fontId="170" fillId="35" borderId="0" applyNumberFormat="0" applyBorder="0" applyProtection="0"/>
    <xf numFmtId="0" fontId="170" fillId="35" borderId="0" applyNumberFormat="0" applyBorder="0" applyProtection="0"/>
    <xf numFmtId="0" fontId="170" fillId="35" borderId="0" applyNumberFormat="0" applyBorder="0" applyProtection="0"/>
    <xf numFmtId="0" fontId="170" fillId="36" borderId="0" applyNumberFormat="0" applyBorder="0" applyAlignment="0" applyProtection="0"/>
    <xf numFmtId="0" fontId="170" fillId="36" borderId="0" applyNumberFormat="0" applyBorder="0" applyAlignment="0" applyProtection="0"/>
    <xf numFmtId="0" fontId="170" fillId="36" borderId="0" applyNumberFormat="0" applyBorder="0" applyAlignment="0" applyProtection="0"/>
    <xf numFmtId="0" fontId="170" fillId="36" borderId="0" applyNumberFormat="0" applyBorder="0" applyAlignment="0" applyProtection="0"/>
    <xf numFmtId="0" fontId="170" fillId="36" borderId="0" applyNumberFormat="0" applyBorder="0" applyAlignment="0" applyProtection="0"/>
    <xf numFmtId="0" fontId="170" fillId="36" borderId="0" applyNumberFormat="0" applyBorder="0" applyAlignment="0" applyProtection="0"/>
    <xf numFmtId="0" fontId="170" fillId="36" borderId="0" applyNumberFormat="0" applyBorder="0" applyAlignment="0" applyProtection="0"/>
    <xf numFmtId="0" fontId="170" fillId="36" borderId="0" applyNumberFormat="0" applyBorder="0" applyAlignment="0" applyProtection="0"/>
    <xf numFmtId="0" fontId="170" fillId="36" borderId="0" applyNumberFormat="0" applyBorder="0" applyAlignment="0" applyProtection="0"/>
    <xf numFmtId="0" fontId="170" fillId="36" borderId="0" applyNumberFormat="0" applyBorder="0" applyAlignment="0" applyProtection="0"/>
    <xf numFmtId="0" fontId="170" fillId="36" borderId="0" applyNumberFormat="0" applyBorder="0" applyAlignment="0" applyProtection="0"/>
    <xf numFmtId="0" fontId="170" fillId="36" borderId="0" applyNumberFormat="0" applyBorder="0" applyAlignment="0" applyProtection="0"/>
    <xf numFmtId="0" fontId="170" fillId="36" borderId="0" applyNumberFormat="0" applyBorder="0" applyAlignment="0" applyProtection="0"/>
    <xf numFmtId="0" fontId="170" fillId="36" borderId="0" applyNumberFormat="0" applyBorder="0" applyAlignment="0" applyProtection="0"/>
    <xf numFmtId="0" fontId="170" fillId="36" borderId="0" applyNumberFormat="0" applyBorder="0" applyAlignment="0" applyProtection="0"/>
    <xf numFmtId="0" fontId="170" fillId="36" borderId="0" applyNumberFormat="0" applyBorder="0" applyAlignment="0" applyProtection="0"/>
    <xf numFmtId="0" fontId="170" fillId="36" borderId="0" applyNumberFormat="0" applyBorder="0" applyAlignment="0" applyProtection="0"/>
    <xf numFmtId="0" fontId="170" fillId="36" borderId="0" applyNumberFormat="0" applyBorder="0" applyAlignment="0" applyProtection="0"/>
    <xf numFmtId="0" fontId="170" fillId="36" borderId="0" applyNumberFormat="0" applyBorder="0" applyAlignment="0" applyProtection="0"/>
    <xf numFmtId="0" fontId="170" fillId="36" borderId="0" applyNumberFormat="0" applyBorder="0" applyAlignment="0" applyProtection="0"/>
    <xf numFmtId="0" fontId="170" fillId="35" borderId="0" applyNumberFormat="0" applyBorder="0" applyProtection="0"/>
    <xf numFmtId="0" fontId="170" fillId="35" borderId="0" applyNumberFormat="0" applyBorder="0" applyProtection="0"/>
    <xf numFmtId="0" fontId="170" fillId="35" borderId="0" applyNumberFormat="0" applyBorder="0" applyProtection="0"/>
    <xf numFmtId="0" fontId="170" fillId="35" borderId="0" applyNumberFormat="0" applyBorder="0" applyProtection="0"/>
    <xf numFmtId="0" fontId="170" fillId="35" borderId="0" applyNumberFormat="0" applyBorder="0" applyProtection="0"/>
    <xf numFmtId="0" fontId="170" fillId="35" borderId="0" applyNumberFormat="0" applyBorder="0" applyProtection="0"/>
    <xf numFmtId="0" fontId="170" fillId="35" borderId="0" applyNumberFormat="0" applyBorder="0" applyProtection="0"/>
    <xf numFmtId="0" fontId="170" fillId="35" borderId="0" applyNumberFormat="0" applyBorder="0" applyProtection="0"/>
    <xf numFmtId="0" fontId="170" fillId="36" borderId="0" applyNumberFormat="0" applyBorder="0" applyAlignment="0" applyProtection="0"/>
    <xf numFmtId="0" fontId="170" fillId="36" borderId="0" applyNumberFormat="0" applyBorder="0" applyAlignment="0" applyProtection="0"/>
    <xf numFmtId="0" fontId="170" fillId="36" borderId="0" applyNumberFormat="0" applyBorder="0" applyAlignment="0" applyProtection="0"/>
    <xf numFmtId="0" fontId="170" fillId="36" borderId="0" applyNumberFormat="0" applyBorder="0" applyAlignment="0" applyProtection="0"/>
    <xf numFmtId="0" fontId="170" fillId="36" borderId="0" applyNumberFormat="0" applyBorder="0" applyAlignment="0" applyProtection="0"/>
    <xf numFmtId="0" fontId="170" fillId="36" borderId="0" applyNumberFormat="0" applyBorder="0" applyAlignment="0" applyProtection="0"/>
    <xf numFmtId="0" fontId="170" fillId="36" borderId="0" applyNumberFormat="0" applyBorder="0" applyAlignment="0" applyProtection="0"/>
    <xf numFmtId="0" fontId="170" fillId="36" borderId="0" applyNumberFormat="0" applyBorder="0" applyAlignment="0" applyProtection="0"/>
    <xf numFmtId="0" fontId="170" fillId="36" borderId="0" applyNumberFormat="0" applyBorder="0" applyAlignment="0" applyProtection="0"/>
    <xf numFmtId="0" fontId="170" fillId="36" borderId="0" applyNumberFormat="0" applyBorder="0" applyAlignment="0" applyProtection="0"/>
    <xf numFmtId="0" fontId="170" fillId="36" borderId="0" applyNumberFormat="0" applyBorder="0" applyAlignment="0" applyProtection="0"/>
    <xf numFmtId="0" fontId="170" fillId="36" borderId="0" applyNumberFormat="0" applyBorder="0" applyAlignment="0" applyProtection="0"/>
    <xf numFmtId="0" fontId="170" fillId="36" borderId="0" applyNumberFormat="0" applyBorder="0" applyAlignment="0" applyProtection="0"/>
    <xf numFmtId="0" fontId="170" fillId="36" borderId="0" applyNumberFormat="0" applyBorder="0" applyAlignment="0" applyProtection="0"/>
    <xf numFmtId="0" fontId="170" fillId="36" borderId="0" applyNumberFormat="0" applyBorder="0" applyAlignment="0" applyProtection="0"/>
    <xf numFmtId="0" fontId="170" fillId="36" borderId="0" applyNumberFormat="0" applyBorder="0" applyAlignment="0" applyProtection="0"/>
    <xf numFmtId="0" fontId="170" fillId="36" borderId="0" applyNumberFormat="0" applyBorder="0" applyAlignment="0" applyProtection="0"/>
    <xf numFmtId="0" fontId="170" fillId="36" borderId="0" applyNumberFormat="0" applyBorder="0" applyAlignment="0" applyProtection="0"/>
    <xf numFmtId="0" fontId="170" fillId="36" borderId="0" applyNumberFormat="0" applyBorder="0" applyAlignment="0" applyProtection="0"/>
    <xf numFmtId="0" fontId="170" fillId="36" borderId="0" applyNumberFormat="0" applyBorder="0" applyAlignment="0" applyProtection="0"/>
    <xf numFmtId="0" fontId="170" fillId="35" borderId="0" applyNumberFormat="0" applyBorder="0" applyProtection="0"/>
    <xf numFmtId="0" fontId="170" fillId="35" borderId="0" applyNumberFormat="0" applyBorder="0" applyProtection="0"/>
    <xf numFmtId="0" fontId="170" fillId="35" borderId="0" applyNumberFormat="0" applyBorder="0" applyProtection="0"/>
    <xf numFmtId="0" fontId="170" fillId="35" borderId="0" applyNumberFormat="0" applyBorder="0" applyProtection="0"/>
    <xf numFmtId="0" fontId="170" fillId="35" borderId="0" applyNumberFormat="0" applyBorder="0" applyProtection="0"/>
    <xf numFmtId="0" fontId="170" fillId="35" borderId="0" applyNumberFormat="0" applyBorder="0" applyProtection="0"/>
    <xf numFmtId="0" fontId="170" fillId="35" borderId="0" applyNumberFormat="0" applyBorder="0" applyProtection="0"/>
    <xf numFmtId="0" fontId="170" fillId="35" borderId="0" applyNumberFormat="0" applyBorder="0" applyProtection="0"/>
    <xf numFmtId="0" fontId="170" fillId="36" borderId="0" applyNumberFormat="0" applyBorder="0" applyAlignment="0" applyProtection="0"/>
    <xf numFmtId="0" fontId="170" fillId="36" borderId="0" applyNumberFormat="0" applyBorder="0" applyAlignment="0" applyProtection="0"/>
    <xf numFmtId="0" fontId="170" fillId="36" borderId="0" applyNumberFormat="0" applyBorder="0" applyAlignment="0" applyProtection="0"/>
    <xf numFmtId="0" fontId="170" fillId="36" borderId="0" applyNumberFormat="0" applyBorder="0" applyAlignment="0" applyProtection="0"/>
    <xf numFmtId="0" fontId="170" fillId="36" borderId="0" applyNumberFormat="0" applyBorder="0" applyAlignment="0" applyProtection="0"/>
    <xf numFmtId="0" fontId="170" fillId="36" borderId="0" applyNumberFormat="0" applyBorder="0" applyAlignment="0" applyProtection="0"/>
    <xf numFmtId="0" fontId="170" fillId="36" borderId="0" applyNumberFormat="0" applyBorder="0" applyAlignment="0" applyProtection="0"/>
    <xf numFmtId="0" fontId="170" fillId="36" borderId="0" applyNumberFormat="0" applyBorder="0" applyAlignment="0" applyProtection="0"/>
    <xf numFmtId="0" fontId="170" fillId="36" borderId="0" applyNumberFormat="0" applyBorder="0" applyAlignment="0" applyProtection="0"/>
    <xf numFmtId="0" fontId="170" fillId="36" borderId="0" applyNumberFormat="0" applyBorder="0" applyAlignment="0" applyProtection="0"/>
    <xf numFmtId="0" fontId="170" fillId="36" borderId="0" applyNumberFormat="0" applyBorder="0" applyAlignment="0" applyProtection="0"/>
    <xf numFmtId="0" fontId="170" fillId="36" borderId="0" applyNumberFormat="0" applyBorder="0" applyAlignment="0" applyProtection="0"/>
    <xf numFmtId="0" fontId="170" fillId="36" borderId="0" applyNumberFormat="0" applyBorder="0" applyAlignment="0" applyProtection="0"/>
    <xf numFmtId="0" fontId="170" fillId="36" borderId="0" applyNumberFormat="0" applyBorder="0" applyAlignment="0" applyProtection="0"/>
    <xf numFmtId="0" fontId="170" fillId="36" borderId="0" applyNumberFormat="0" applyBorder="0" applyAlignment="0" applyProtection="0"/>
    <xf numFmtId="0" fontId="170" fillId="36" borderId="0" applyNumberFormat="0" applyBorder="0" applyAlignment="0" applyProtection="0"/>
    <xf numFmtId="0" fontId="170" fillId="36" borderId="0" applyNumberFormat="0" applyBorder="0" applyAlignment="0" applyProtection="0"/>
    <xf numFmtId="0" fontId="170" fillId="36" borderId="0" applyNumberFormat="0" applyBorder="0" applyAlignment="0" applyProtection="0"/>
    <xf numFmtId="0" fontId="170" fillId="36" borderId="0" applyNumberFormat="0" applyBorder="0" applyAlignment="0" applyProtection="0"/>
    <xf numFmtId="0" fontId="170" fillId="36" borderId="0" applyNumberFormat="0" applyBorder="0" applyAlignment="0" applyProtection="0"/>
    <xf numFmtId="0" fontId="170" fillId="35" borderId="0" applyNumberFormat="0" applyBorder="0" applyProtection="0"/>
    <xf numFmtId="0" fontId="170" fillId="35" borderId="0" applyNumberFormat="0" applyBorder="0" applyProtection="0"/>
    <xf numFmtId="0" fontId="170" fillId="35" borderId="0" applyNumberFormat="0" applyBorder="0" applyProtection="0"/>
    <xf numFmtId="0" fontId="170" fillId="35" borderId="0" applyNumberFormat="0" applyBorder="0" applyProtection="0"/>
    <xf numFmtId="0" fontId="170" fillId="35" borderId="0" applyNumberFormat="0" applyBorder="0" applyProtection="0"/>
    <xf numFmtId="0" fontId="170" fillId="35" borderId="0" applyNumberFormat="0" applyBorder="0" applyProtection="0"/>
    <xf numFmtId="0" fontId="170" fillId="35" borderId="0" applyNumberFormat="0" applyBorder="0" applyProtection="0"/>
    <xf numFmtId="0" fontId="170" fillId="35" borderId="0" applyNumberFormat="0" applyBorder="0" applyProtection="0"/>
    <xf numFmtId="0" fontId="170" fillId="36" borderId="0" applyNumberFormat="0" applyBorder="0" applyAlignment="0" applyProtection="0"/>
    <xf numFmtId="0" fontId="170" fillId="36" borderId="0" applyNumberFormat="0" applyBorder="0" applyAlignment="0" applyProtection="0"/>
    <xf numFmtId="0" fontId="170" fillId="36" borderId="0" applyNumberFormat="0" applyBorder="0" applyAlignment="0" applyProtection="0"/>
    <xf numFmtId="0" fontId="170" fillId="36" borderId="0" applyNumberFormat="0" applyBorder="0" applyAlignment="0" applyProtection="0"/>
    <xf numFmtId="0" fontId="170" fillId="36" borderId="0" applyNumberFormat="0" applyBorder="0" applyAlignment="0" applyProtection="0"/>
    <xf numFmtId="0" fontId="170" fillId="36" borderId="0" applyNumberFormat="0" applyBorder="0" applyAlignment="0" applyProtection="0"/>
    <xf numFmtId="0" fontId="170" fillId="36" borderId="0" applyNumberFormat="0" applyBorder="0" applyAlignment="0" applyProtection="0"/>
    <xf numFmtId="0" fontId="170" fillId="36" borderId="0" applyNumberFormat="0" applyBorder="0" applyAlignment="0" applyProtection="0"/>
    <xf numFmtId="0" fontId="170" fillId="36" borderId="0" applyNumberFormat="0" applyBorder="0" applyAlignment="0" applyProtection="0"/>
    <xf numFmtId="0" fontId="170" fillId="36" borderId="0" applyNumberFormat="0" applyBorder="0" applyAlignment="0" applyProtection="0"/>
    <xf numFmtId="0" fontId="170" fillId="36" borderId="0" applyNumberFormat="0" applyBorder="0" applyAlignment="0" applyProtection="0"/>
    <xf numFmtId="0" fontId="170" fillId="36" borderId="0" applyNumberFormat="0" applyBorder="0" applyAlignment="0" applyProtection="0"/>
    <xf numFmtId="0" fontId="170" fillId="36" borderId="0" applyNumberFormat="0" applyBorder="0" applyAlignment="0" applyProtection="0"/>
    <xf numFmtId="0" fontId="170" fillId="36" borderId="0" applyNumberFormat="0" applyBorder="0" applyAlignment="0" applyProtection="0"/>
    <xf numFmtId="0" fontId="170" fillId="36" borderId="0" applyNumberFormat="0" applyBorder="0" applyAlignment="0" applyProtection="0"/>
    <xf numFmtId="0" fontId="170" fillId="36" borderId="0" applyNumberFormat="0" applyBorder="0" applyAlignment="0" applyProtection="0"/>
    <xf numFmtId="0" fontId="170" fillId="36" borderId="0" applyNumberFormat="0" applyBorder="0" applyAlignment="0" applyProtection="0"/>
    <xf numFmtId="0" fontId="170" fillId="36" borderId="0" applyNumberFormat="0" applyBorder="0" applyAlignment="0" applyProtection="0"/>
    <xf numFmtId="0" fontId="170" fillId="36" borderId="0" applyNumberFormat="0" applyBorder="0" applyAlignment="0" applyProtection="0"/>
    <xf numFmtId="0" fontId="170" fillId="36" borderId="0" applyNumberFormat="0" applyBorder="0" applyAlignment="0" applyProtection="0"/>
    <xf numFmtId="0" fontId="170" fillId="35" borderId="0" applyNumberFormat="0" applyBorder="0" applyProtection="0"/>
    <xf numFmtId="0" fontId="170" fillId="35" borderId="0" applyNumberFormat="0" applyBorder="0" applyProtection="0"/>
    <xf numFmtId="0" fontId="170" fillId="35" borderId="0" applyNumberFormat="0" applyBorder="0" applyProtection="0"/>
    <xf numFmtId="0" fontId="170" fillId="35" borderId="0" applyNumberFormat="0" applyBorder="0" applyProtection="0"/>
    <xf numFmtId="0" fontId="170" fillId="35" borderId="0" applyNumberFormat="0" applyBorder="0" applyProtection="0"/>
    <xf numFmtId="0" fontId="170" fillId="35" borderId="0" applyNumberFormat="0" applyBorder="0" applyProtection="0"/>
    <xf numFmtId="0" fontId="170" fillId="35" borderId="0" applyNumberFormat="0" applyBorder="0" applyProtection="0"/>
    <xf numFmtId="0" fontId="170" fillId="35" borderId="0" applyNumberFormat="0" applyBorder="0" applyProtection="0"/>
    <xf numFmtId="0" fontId="172" fillId="139" borderId="0" applyNumberFormat="0" applyBorder="0" applyProtection="0"/>
    <xf numFmtId="0" fontId="172" fillId="139" borderId="0" applyNumberFormat="0" applyBorder="0" applyProtection="0"/>
    <xf numFmtId="0" fontId="172" fillId="139" borderId="0" applyNumberFormat="0" applyBorder="0" applyProtection="0"/>
    <xf numFmtId="0" fontId="172" fillId="139" borderId="0" applyNumberFormat="0" applyBorder="0" applyProtection="0"/>
    <xf numFmtId="0" fontId="172" fillId="139" borderId="0" applyNumberFormat="0" applyBorder="0" applyProtection="0"/>
    <xf numFmtId="0" fontId="172" fillId="139" borderId="0" applyNumberFormat="0" applyBorder="0" applyProtection="0"/>
    <xf numFmtId="0" fontId="172" fillId="139" borderId="0" applyNumberFormat="0" applyBorder="0" applyProtection="0"/>
    <xf numFmtId="0" fontId="172" fillId="139" borderId="0" applyNumberFormat="0" applyBorder="0" applyProtection="0"/>
    <xf numFmtId="0" fontId="170" fillId="36" borderId="0" applyNumberFormat="0" applyBorder="0" applyAlignment="0" applyProtection="0"/>
    <xf numFmtId="0" fontId="170" fillId="36" borderId="0" applyNumberFormat="0" applyBorder="0" applyAlignment="0" applyProtection="0"/>
    <xf numFmtId="0" fontId="170" fillId="36" borderId="0" applyNumberFormat="0" applyBorder="0" applyAlignment="0" applyProtection="0"/>
    <xf numFmtId="0" fontId="170" fillId="36" borderId="0" applyNumberFormat="0" applyBorder="0" applyAlignment="0" applyProtection="0"/>
    <xf numFmtId="0" fontId="170" fillId="36" borderId="0" applyNumberFormat="0" applyBorder="0" applyAlignment="0" applyProtection="0"/>
    <xf numFmtId="0" fontId="170" fillId="36" borderId="0" applyNumberFormat="0" applyBorder="0" applyAlignment="0" applyProtection="0"/>
    <xf numFmtId="0" fontId="170" fillId="36" borderId="0" applyNumberFormat="0" applyBorder="0" applyAlignment="0" applyProtection="0"/>
    <xf numFmtId="0" fontId="170" fillId="36" borderId="0" applyNumberFormat="0" applyBorder="0" applyAlignment="0" applyProtection="0"/>
    <xf numFmtId="0" fontId="170" fillId="36" borderId="0" applyNumberFormat="0" applyBorder="0" applyAlignment="0" applyProtection="0"/>
    <xf numFmtId="0" fontId="170" fillId="36" borderId="0" applyNumberFormat="0" applyBorder="0" applyAlignment="0" applyProtection="0"/>
    <xf numFmtId="0" fontId="170" fillId="36" borderId="0" applyNumberFormat="0" applyBorder="0" applyAlignment="0" applyProtection="0"/>
    <xf numFmtId="0" fontId="170" fillId="36" borderId="0" applyNumberFormat="0" applyBorder="0" applyAlignment="0" applyProtection="0"/>
    <xf numFmtId="0" fontId="170" fillId="36" borderId="0" applyNumberFormat="0" applyBorder="0" applyAlignment="0" applyProtection="0"/>
    <xf numFmtId="0" fontId="170" fillId="36" borderId="0" applyNumberFormat="0" applyBorder="0" applyAlignment="0" applyProtection="0"/>
    <xf numFmtId="0" fontId="170" fillId="36" borderId="0" applyNumberFormat="0" applyBorder="0" applyAlignment="0" applyProtection="0"/>
    <xf numFmtId="0" fontId="170" fillId="36" borderId="0" applyNumberFormat="0" applyBorder="0" applyAlignment="0" applyProtection="0"/>
    <xf numFmtId="0" fontId="170" fillId="36" borderId="0" applyNumberFormat="0" applyBorder="0" applyAlignment="0" applyProtection="0"/>
    <xf numFmtId="0" fontId="170" fillId="36" borderId="0" applyNumberFormat="0" applyBorder="0" applyAlignment="0" applyProtection="0"/>
    <xf numFmtId="0" fontId="170" fillId="36" borderId="0" applyNumberFormat="0" applyBorder="0" applyAlignment="0" applyProtection="0"/>
    <xf numFmtId="0" fontId="170" fillId="36" borderId="0" applyNumberFormat="0" applyBorder="0" applyAlignment="0" applyProtection="0"/>
    <xf numFmtId="0" fontId="170" fillId="36" borderId="0" applyNumberFormat="0" applyBorder="0" applyAlignment="0" applyProtection="0"/>
    <xf numFmtId="0" fontId="170" fillId="36" borderId="0" applyNumberFormat="0" applyBorder="0" applyAlignment="0" applyProtection="0"/>
    <xf numFmtId="0" fontId="170" fillId="36" borderId="0" applyNumberFormat="0" applyBorder="0" applyAlignment="0" applyProtection="0"/>
    <xf numFmtId="0" fontId="170" fillId="36" borderId="0" applyNumberFormat="0" applyBorder="0" applyAlignment="0" applyProtection="0"/>
    <xf numFmtId="0" fontId="170" fillId="36" borderId="0" applyNumberFormat="0" applyBorder="0" applyAlignment="0" applyProtection="0"/>
    <xf numFmtId="0" fontId="170" fillId="36" borderId="0" applyNumberFormat="0" applyBorder="0" applyAlignment="0" applyProtection="0"/>
    <xf numFmtId="0" fontId="170" fillId="36" borderId="0" applyNumberFormat="0" applyBorder="0" applyAlignment="0" applyProtection="0"/>
    <xf numFmtId="0" fontId="170" fillId="36" borderId="0" applyNumberFormat="0" applyBorder="0" applyAlignment="0" applyProtection="0"/>
    <xf numFmtId="0" fontId="170" fillId="36" borderId="0" applyNumberFormat="0" applyBorder="0" applyAlignment="0" applyProtection="0"/>
    <xf numFmtId="0" fontId="170" fillId="36" borderId="0" applyNumberFormat="0" applyBorder="0" applyAlignment="0" applyProtection="0"/>
    <xf numFmtId="0" fontId="170" fillId="36" borderId="0" applyNumberFormat="0" applyBorder="0" applyAlignment="0" applyProtection="0"/>
    <xf numFmtId="0" fontId="170" fillId="36" borderId="0" applyNumberFormat="0" applyBorder="0" applyAlignment="0" applyProtection="0"/>
    <xf numFmtId="0" fontId="170" fillId="36" borderId="0" applyNumberFormat="0" applyBorder="0" applyAlignment="0" applyProtection="0"/>
    <xf numFmtId="0" fontId="170" fillId="36" borderId="0" applyNumberFormat="0" applyBorder="0" applyAlignment="0" applyProtection="0"/>
    <xf numFmtId="0" fontId="170" fillId="36" borderId="0" applyNumberFormat="0" applyBorder="0" applyAlignment="0" applyProtection="0"/>
    <xf numFmtId="0" fontId="170" fillId="36" borderId="0" applyNumberFormat="0" applyBorder="0" applyAlignment="0" applyProtection="0"/>
    <xf numFmtId="0" fontId="170" fillId="36" borderId="0" applyNumberFormat="0" applyBorder="0" applyAlignment="0" applyProtection="0"/>
    <xf numFmtId="0" fontId="170" fillId="36" borderId="0" applyNumberFormat="0" applyBorder="0" applyAlignment="0" applyProtection="0"/>
    <xf numFmtId="0" fontId="170" fillId="36" borderId="0" applyNumberFormat="0" applyBorder="0" applyAlignment="0" applyProtection="0"/>
    <xf numFmtId="0" fontId="170" fillId="36" borderId="0" applyNumberFormat="0" applyBorder="0" applyAlignment="0" applyProtection="0"/>
    <xf numFmtId="0" fontId="170" fillId="35" borderId="0" applyNumberFormat="0" applyBorder="0" applyProtection="0"/>
    <xf numFmtId="0" fontId="170" fillId="35" borderId="0" applyNumberFormat="0" applyBorder="0" applyProtection="0"/>
    <xf numFmtId="0" fontId="170" fillId="35" borderId="0" applyNumberFormat="0" applyBorder="0" applyProtection="0"/>
    <xf numFmtId="0" fontId="170" fillId="35" borderId="0" applyNumberFormat="0" applyBorder="0" applyProtection="0"/>
    <xf numFmtId="0" fontId="170" fillId="35" borderId="0" applyNumberFormat="0" applyBorder="0" applyProtection="0"/>
    <xf numFmtId="0" fontId="170" fillId="35" borderId="0" applyNumberFormat="0" applyBorder="0" applyProtection="0"/>
    <xf numFmtId="0" fontId="170" fillId="35" borderId="0" applyNumberFormat="0" applyBorder="0" applyProtection="0"/>
    <xf numFmtId="0" fontId="170" fillId="35" borderId="0" applyNumberFormat="0" applyBorder="0" applyProtection="0"/>
    <xf numFmtId="0" fontId="170" fillId="36" borderId="0" applyNumberFormat="0" applyBorder="0" applyAlignment="0" applyProtection="0"/>
    <xf numFmtId="0" fontId="170" fillId="36" borderId="0" applyNumberFormat="0" applyBorder="0" applyAlignment="0" applyProtection="0"/>
    <xf numFmtId="0" fontId="170" fillId="36" borderId="0" applyNumberFormat="0" applyBorder="0" applyAlignment="0" applyProtection="0"/>
    <xf numFmtId="0" fontId="170" fillId="36" borderId="0" applyNumberFormat="0" applyBorder="0" applyAlignment="0" applyProtection="0"/>
    <xf numFmtId="0" fontId="170" fillId="36" borderId="0" applyNumberFormat="0" applyBorder="0" applyAlignment="0" applyProtection="0"/>
    <xf numFmtId="0" fontId="170" fillId="36" borderId="0" applyNumberFormat="0" applyBorder="0" applyAlignment="0" applyProtection="0"/>
    <xf numFmtId="0" fontId="170" fillId="36" borderId="0" applyNumberFormat="0" applyBorder="0" applyAlignment="0" applyProtection="0"/>
    <xf numFmtId="0" fontId="170" fillId="36" borderId="0" applyNumberFormat="0" applyBorder="0" applyAlignment="0" applyProtection="0"/>
    <xf numFmtId="0" fontId="170" fillId="36" borderId="0" applyNumberFormat="0" applyBorder="0" applyAlignment="0" applyProtection="0"/>
    <xf numFmtId="0" fontId="170" fillId="36" borderId="0" applyNumberFormat="0" applyBorder="0" applyAlignment="0" applyProtection="0"/>
    <xf numFmtId="0" fontId="170" fillId="36" borderId="0" applyNumberFormat="0" applyBorder="0" applyAlignment="0" applyProtection="0"/>
    <xf numFmtId="0" fontId="170" fillId="36" borderId="0" applyNumberFormat="0" applyBorder="0" applyAlignment="0" applyProtection="0"/>
    <xf numFmtId="0" fontId="170" fillId="36" borderId="0" applyNumberFormat="0" applyBorder="0" applyAlignment="0" applyProtection="0"/>
    <xf numFmtId="0" fontId="170" fillId="36" borderId="0" applyNumberFormat="0" applyBorder="0" applyAlignment="0" applyProtection="0"/>
    <xf numFmtId="0" fontId="170" fillId="36" borderId="0" applyNumberFormat="0" applyBorder="0" applyAlignment="0" applyProtection="0"/>
    <xf numFmtId="0" fontId="170" fillId="36" borderId="0" applyNumberFormat="0" applyBorder="0" applyAlignment="0" applyProtection="0"/>
    <xf numFmtId="0" fontId="170" fillId="36" borderId="0" applyNumberFormat="0" applyBorder="0" applyAlignment="0" applyProtection="0"/>
    <xf numFmtId="0" fontId="170" fillId="36" borderId="0" applyNumberFormat="0" applyBorder="0" applyAlignment="0" applyProtection="0"/>
    <xf numFmtId="0" fontId="170" fillId="36" borderId="0" applyNumberFormat="0" applyBorder="0" applyAlignment="0" applyProtection="0"/>
    <xf numFmtId="0" fontId="170" fillId="36" borderId="0" applyNumberFormat="0" applyBorder="0" applyAlignment="0" applyProtection="0"/>
    <xf numFmtId="0" fontId="170" fillId="35" borderId="0" applyNumberFormat="0" applyBorder="0" applyProtection="0"/>
    <xf numFmtId="0" fontId="170" fillId="35" borderId="0" applyNumberFormat="0" applyBorder="0" applyProtection="0"/>
    <xf numFmtId="0" fontId="170" fillId="35" borderId="0" applyNumberFormat="0" applyBorder="0" applyProtection="0"/>
    <xf numFmtId="0" fontId="170" fillId="35" borderId="0" applyNumberFormat="0" applyBorder="0" applyProtection="0"/>
    <xf numFmtId="0" fontId="170" fillId="35" borderId="0" applyNumberFormat="0" applyBorder="0" applyProtection="0"/>
    <xf numFmtId="0" fontId="170" fillId="35" borderId="0" applyNumberFormat="0" applyBorder="0" applyProtection="0"/>
    <xf numFmtId="0" fontId="170" fillId="35" borderId="0" applyNumberFormat="0" applyBorder="0" applyProtection="0"/>
    <xf numFmtId="0" fontId="170" fillId="35" borderId="0" applyNumberFormat="0" applyBorder="0" applyProtection="0"/>
    <xf numFmtId="0" fontId="170" fillId="36" borderId="0" applyNumberFormat="0" applyBorder="0" applyAlignment="0" applyProtection="0"/>
    <xf numFmtId="0" fontId="170" fillId="36" borderId="0" applyNumberFormat="0" applyBorder="0" applyAlignment="0" applyProtection="0"/>
    <xf numFmtId="0" fontId="170" fillId="36" borderId="0" applyNumberFormat="0" applyBorder="0" applyAlignment="0" applyProtection="0"/>
    <xf numFmtId="0" fontId="170" fillId="36" borderId="0" applyNumberFormat="0" applyBorder="0" applyAlignment="0" applyProtection="0"/>
    <xf numFmtId="0" fontId="170" fillId="36" borderId="0" applyNumberFormat="0" applyBorder="0" applyAlignment="0" applyProtection="0"/>
    <xf numFmtId="0" fontId="170" fillId="36" borderId="0" applyNumberFormat="0" applyBorder="0" applyAlignment="0" applyProtection="0"/>
    <xf numFmtId="0" fontId="170" fillId="36" borderId="0" applyNumberFormat="0" applyBorder="0" applyAlignment="0" applyProtection="0"/>
    <xf numFmtId="0" fontId="170" fillId="36" borderId="0" applyNumberFormat="0" applyBorder="0" applyAlignment="0" applyProtection="0"/>
    <xf numFmtId="0" fontId="170" fillId="36" borderId="0" applyNumberFormat="0" applyBorder="0" applyAlignment="0" applyProtection="0"/>
    <xf numFmtId="0" fontId="170" fillId="36" borderId="0" applyNumberFormat="0" applyBorder="0" applyAlignment="0" applyProtection="0"/>
    <xf numFmtId="0" fontId="170" fillId="36" borderId="0" applyNumberFormat="0" applyBorder="0" applyAlignment="0" applyProtection="0"/>
    <xf numFmtId="0" fontId="170" fillId="36" borderId="0" applyNumberFormat="0" applyBorder="0" applyAlignment="0" applyProtection="0"/>
    <xf numFmtId="0" fontId="170" fillId="36" borderId="0" applyNumberFormat="0" applyBorder="0" applyAlignment="0" applyProtection="0"/>
    <xf numFmtId="0" fontId="170" fillId="36" borderId="0" applyNumberFormat="0" applyBorder="0" applyAlignment="0" applyProtection="0"/>
    <xf numFmtId="0" fontId="170" fillId="36" borderId="0" applyNumberFormat="0" applyBorder="0" applyAlignment="0" applyProtection="0"/>
    <xf numFmtId="0" fontId="170" fillId="36" borderId="0" applyNumberFormat="0" applyBorder="0" applyAlignment="0" applyProtection="0"/>
    <xf numFmtId="0" fontId="170" fillId="36" borderId="0" applyNumberFormat="0" applyBorder="0" applyAlignment="0" applyProtection="0"/>
    <xf numFmtId="0" fontId="170" fillId="36" borderId="0" applyNumberFormat="0" applyBorder="0" applyAlignment="0" applyProtection="0"/>
    <xf numFmtId="0" fontId="170" fillId="36" borderId="0" applyNumberFormat="0" applyBorder="0" applyAlignment="0" applyProtection="0"/>
    <xf numFmtId="0" fontId="170" fillId="36" borderId="0" applyNumberFormat="0" applyBorder="0" applyAlignment="0" applyProtection="0"/>
    <xf numFmtId="0" fontId="170" fillId="35" borderId="0" applyNumberFormat="0" applyBorder="0" applyProtection="0"/>
    <xf numFmtId="0" fontId="170" fillId="35" borderId="0" applyNumberFormat="0" applyBorder="0" applyProtection="0"/>
    <xf numFmtId="0" fontId="170" fillId="35" borderId="0" applyNumberFormat="0" applyBorder="0" applyProtection="0"/>
    <xf numFmtId="0" fontId="170" fillId="35" borderId="0" applyNumberFormat="0" applyBorder="0" applyProtection="0"/>
    <xf numFmtId="0" fontId="170" fillId="35" borderId="0" applyNumberFormat="0" applyBorder="0" applyProtection="0"/>
    <xf numFmtId="0" fontId="170" fillId="35" borderId="0" applyNumberFormat="0" applyBorder="0" applyProtection="0"/>
    <xf numFmtId="0" fontId="170" fillId="35" borderId="0" applyNumberFormat="0" applyBorder="0" applyProtection="0"/>
    <xf numFmtId="0" fontId="170" fillId="35" borderId="0" applyNumberFormat="0" applyBorder="0" applyProtection="0"/>
    <xf numFmtId="9" fontId="59" fillId="0" borderId="0" applyFont="0" applyFill="0" applyBorder="0" applyProtection="0"/>
    <xf numFmtId="0" fontId="14" fillId="0" borderId="0"/>
    <xf numFmtId="0" fontId="148" fillId="0" borderId="0"/>
    <xf numFmtId="4" fontId="33" fillId="13" borderId="24">
      <alignment horizontal="right" shrinkToFit="1"/>
    </xf>
    <xf numFmtId="4" fontId="33" fillId="13" borderId="25">
      <alignment horizontal="right" shrinkToFit="1"/>
    </xf>
    <xf numFmtId="49" fontId="33" fillId="10" borderId="15">
      <alignment horizontal="center" vertical="top" shrinkToFit="1"/>
    </xf>
    <xf numFmtId="49" fontId="33" fillId="10" borderId="16">
      <alignment horizontal="center" vertical="top" shrinkToFit="1"/>
    </xf>
    <xf numFmtId="0" fontId="33" fillId="10" borderId="16">
      <alignment horizontal="left" vertical="top" wrapText="1"/>
    </xf>
    <xf numFmtId="4" fontId="33" fillId="10" borderId="16">
      <alignment horizontal="right" vertical="top" shrinkToFit="1"/>
    </xf>
    <xf numFmtId="4" fontId="33" fillId="10" borderId="17">
      <alignment horizontal="right" vertical="top" shrinkToFit="1"/>
    </xf>
    <xf numFmtId="49" fontId="32" fillId="11" borderId="18">
      <alignment horizontal="center" vertical="top" shrinkToFit="1"/>
    </xf>
    <xf numFmtId="49" fontId="32" fillId="11" borderId="19">
      <alignment horizontal="center" vertical="top" shrinkToFit="1"/>
    </xf>
    <xf numFmtId="0" fontId="32" fillId="11" borderId="19">
      <alignment horizontal="left" vertical="top" wrapText="1"/>
    </xf>
    <xf numFmtId="4" fontId="32" fillId="11" borderId="19">
      <alignment horizontal="right" vertical="top" shrinkToFit="1"/>
    </xf>
    <xf numFmtId="4" fontId="32" fillId="11" borderId="20">
      <alignment horizontal="right" vertical="top" shrinkToFit="1"/>
    </xf>
    <xf numFmtId="49" fontId="32" fillId="12" borderId="21">
      <alignment horizontal="center" vertical="top" shrinkToFit="1"/>
    </xf>
    <xf numFmtId="49" fontId="32" fillId="12" borderId="22">
      <alignment horizontal="center" vertical="top" shrinkToFit="1"/>
    </xf>
    <xf numFmtId="0" fontId="32" fillId="12" borderId="22">
      <alignment horizontal="left" vertical="top" wrapText="1"/>
    </xf>
    <xf numFmtId="4" fontId="32" fillId="12" borderId="22">
      <alignment horizontal="right" vertical="top" shrinkToFit="1"/>
    </xf>
    <xf numFmtId="4" fontId="32" fillId="12" borderId="23">
      <alignment horizontal="right" vertical="top" shrinkToFit="1"/>
    </xf>
    <xf numFmtId="49" fontId="31" fillId="0" borderId="22">
      <alignment horizontal="center" vertical="top" shrinkToFit="1"/>
    </xf>
    <xf numFmtId="0" fontId="31" fillId="0" borderId="22">
      <alignment horizontal="left" vertical="top" wrapText="1"/>
    </xf>
    <xf numFmtId="4" fontId="31" fillId="0" borderId="22">
      <alignment horizontal="right" vertical="top" shrinkToFit="1"/>
    </xf>
    <xf numFmtId="4" fontId="31" fillId="0" borderId="23">
      <alignment horizontal="right" vertical="top" shrinkToFit="1"/>
    </xf>
    <xf numFmtId="49" fontId="31" fillId="0" borderId="22">
      <alignment horizontal="center" vertical="top" shrinkToFit="1"/>
    </xf>
    <xf numFmtId="0" fontId="31" fillId="0" borderId="22">
      <alignment horizontal="left" vertical="top" wrapText="1"/>
    </xf>
    <xf numFmtId="4" fontId="31" fillId="0" borderId="22">
      <alignment horizontal="right" vertical="top" shrinkToFit="1"/>
    </xf>
    <xf numFmtId="4" fontId="31" fillId="0" borderId="23">
      <alignment horizontal="right" vertical="top" shrinkToFit="1"/>
    </xf>
    <xf numFmtId="49" fontId="31" fillId="0" borderId="22">
      <alignment horizontal="center" vertical="top" shrinkToFit="1"/>
    </xf>
    <xf numFmtId="0" fontId="31" fillId="0" borderId="22">
      <alignment horizontal="left" vertical="top" wrapText="1"/>
    </xf>
    <xf numFmtId="4" fontId="31" fillId="0" borderId="22">
      <alignment horizontal="right" vertical="top" shrinkToFit="1"/>
    </xf>
    <xf numFmtId="4" fontId="31" fillId="0" borderId="23">
      <alignment horizontal="right" vertical="top" shrinkToFit="1"/>
    </xf>
    <xf numFmtId="0" fontId="31" fillId="0" borderId="0">
      <alignment horizontal="right" vertical="top" wrapText="1"/>
    </xf>
    <xf numFmtId="0" fontId="14" fillId="0" borderId="0"/>
    <xf numFmtId="0" fontId="24" fillId="0" borderId="0"/>
    <xf numFmtId="0" fontId="148" fillId="0" borderId="0"/>
    <xf numFmtId="168" fontId="14" fillId="0" borderId="0" applyFont="0" applyFill="0" applyBorder="0" applyAlignment="0" applyProtection="0"/>
    <xf numFmtId="0" fontId="179" fillId="0" borderId="0"/>
    <xf numFmtId="168" fontId="179" fillId="0" borderId="0" applyFont="0" applyFill="0" applyBorder="0" applyAlignment="0" applyProtection="0"/>
    <xf numFmtId="0" fontId="182" fillId="0" borderId="0"/>
    <xf numFmtId="0" fontId="183" fillId="0" borderId="0">
      <alignment horizontal="right" vertical="top" wrapText="1"/>
    </xf>
    <xf numFmtId="0" fontId="185" fillId="10" borderId="15">
      <alignment horizontal="left" vertical="top" wrapText="1"/>
    </xf>
    <xf numFmtId="49" fontId="185" fillId="10" borderId="16">
      <alignment horizontal="center" vertical="top" shrinkToFit="1"/>
    </xf>
    <xf numFmtId="0" fontId="185" fillId="10" borderId="16">
      <alignment horizontal="left" vertical="top" wrapText="1"/>
    </xf>
    <xf numFmtId="4" fontId="185" fillId="10" borderId="16">
      <alignment horizontal="right" vertical="top" shrinkToFit="1"/>
    </xf>
    <xf numFmtId="0" fontId="185" fillId="10" borderId="17">
      <alignment horizontal="right" vertical="top" shrinkToFit="1"/>
    </xf>
    <xf numFmtId="0" fontId="184" fillId="11" borderId="18">
      <alignment horizontal="left" vertical="top" wrapText="1"/>
    </xf>
    <xf numFmtId="49" fontId="184" fillId="11" borderId="19">
      <alignment horizontal="center" vertical="top" shrinkToFit="1"/>
    </xf>
    <xf numFmtId="0" fontId="184" fillId="11" borderId="19">
      <alignment horizontal="left" vertical="top" wrapText="1"/>
    </xf>
    <xf numFmtId="4" fontId="184" fillId="11" borderId="19">
      <alignment horizontal="right" vertical="top" shrinkToFit="1"/>
    </xf>
    <xf numFmtId="0" fontId="184" fillId="11" borderId="20">
      <alignment horizontal="right" vertical="top" shrinkToFit="1"/>
    </xf>
    <xf numFmtId="0" fontId="184" fillId="12" borderId="21">
      <alignment horizontal="left" vertical="top" wrapText="1"/>
    </xf>
    <xf numFmtId="49" fontId="184" fillId="12" borderId="22">
      <alignment horizontal="center" vertical="top" shrinkToFit="1"/>
    </xf>
    <xf numFmtId="0" fontId="184" fillId="12" borderId="22">
      <alignment horizontal="left" vertical="top" wrapText="1"/>
    </xf>
    <xf numFmtId="4" fontId="184" fillId="12" borderId="22">
      <alignment horizontal="right" vertical="top" shrinkToFit="1"/>
    </xf>
    <xf numFmtId="0" fontId="184" fillId="12" borderId="23">
      <alignment horizontal="right" vertical="top" shrinkToFit="1"/>
    </xf>
    <xf numFmtId="49" fontId="183" fillId="0" borderId="22">
      <alignment horizontal="center" vertical="top" shrinkToFit="1"/>
    </xf>
    <xf numFmtId="0" fontId="183" fillId="0" borderId="22">
      <alignment horizontal="left" vertical="top" wrapText="1"/>
    </xf>
    <xf numFmtId="4" fontId="183" fillId="0" borderId="22">
      <alignment horizontal="right" vertical="top" shrinkToFit="1"/>
    </xf>
    <xf numFmtId="0" fontId="183" fillId="0" borderId="23">
      <alignment horizontal="right" vertical="top" shrinkToFit="1"/>
    </xf>
    <xf numFmtId="49" fontId="183" fillId="0" borderId="22">
      <alignment horizontal="center" vertical="top" shrinkToFit="1"/>
    </xf>
    <xf numFmtId="0" fontId="183" fillId="0" borderId="22">
      <alignment horizontal="left" vertical="top" wrapText="1"/>
    </xf>
    <xf numFmtId="4" fontId="183" fillId="0" borderId="22">
      <alignment horizontal="right" vertical="top" shrinkToFit="1"/>
    </xf>
    <xf numFmtId="4" fontId="185" fillId="13" borderId="24">
      <alignment horizontal="right" shrinkToFit="1"/>
    </xf>
    <xf numFmtId="9" fontId="187" fillId="0" borderId="0" applyFont="0" applyFill="0" applyBorder="0"/>
    <xf numFmtId="0" fontId="182" fillId="0" borderId="0"/>
    <xf numFmtId="0" fontId="179" fillId="0" borderId="0"/>
    <xf numFmtId="0" fontId="190" fillId="0" borderId="0"/>
    <xf numFmtId="0" fontId="191" fillId="0" borderId="0"/>
    <xf numFmtId="164" fontId="194" fillId="0" borderId="0" applyFont="0" applyFill="0" applyBorder="0"/>
    <xf numFmtId="9" fontId="24" fillId="0" borderId="0" applyFont="0" applyFill="0" applyBorder="0" applyAlignment="0" applyProtection="0"/>
    <xf numFmtId="0" fontId="223" fillId="0" borderId="0">
      <alignment horizontal="center" vertical="top" wrapText="1"/>
    </xf>
    <xf numFmtId="0" fontId="183" fillId="0" borderId="0">
      <alignment horizontal="right" vertical="top" wrapText="1"/>
    </xf>
    <xf numFmtId="49" fontId="184" fillId="0" borderId="56">
      <alignment horizontal="center" vertical="center" wrapText="1"/>
    </xf>
    <xf numFmtId="49" fontId="184" fillId="0" borderId="57">
      <alignment horizontal="center" vertical="center" wrapText="1"/>
    </xf>
    <xf numFmtId="49" fontId="184" fillId="0" borderId="58">
      <alignment horizontal="center" vertical="center" wrapText="1"/>
    </xf>
    <xf numFmtId="49" fontId="184" fillId="0" borderId="59">
      <alignment horizontal="center" vertical="center" wrapText="1"/>
    </xf>
    <xf numFmtId="49" fontId="184" fillId="0" borderId="13">
      <alignment horizontal="center" vertical="center" wrapText="1"/>
    </xf>
    <xf numFmtId="49" fontId="184" fillId="0" borderId="14">
      <alignment horizontal="center" vertical="center" wrapText="1"/>
    </xf>
    <xf numFmtId="49" fontId="185" fillId="10" borderId="15">
      <alignment horizontal="center" vertical="top" shrinkToFit="1"/>
    </xf>
    <xf numFmtId="4" fontId="185" fillId="10" borderId="17">
      <alignment horizontal="right" vertical="top" shrinkToFit="1"/>
    </xf>
    <xf numFmtId="49" fontId="184" fillId="11" borderId="18">
      <alignment horizontal="center" vertical="top" shrinkToFit="1"/>
    </xf>
    <xf numFmtId="4" fontId="184" fillId="11" borderId="20">
      <alignment horizontal="right" vertical="top" shrinkToFit="1"/>
    </xf>
    <xf numFmtId="49" fontId="184" fillId="12" borderId="21">
      <alignment horizontal="center" vertical="top" shrinkToFit="1"/>
    </xf>
    <xf numFmtId="4" fontId="184" fillId="12" borderId="23">
      <alignment horizontal="right" vertical="top" shrinkToFit="1"/>
    </xf>
    <xf numFmtId="4" fontId="183" fillId="0" borderId="23">
      <alignment horizontal="right" vertical="top" shrinkToFit="1"/>
    </xf>
    <xf numFmtId="4" fontId="183" fillId="0" borderId="23">
      <alignment horizontal="right" vertical="top" shrinkToFit="1"/>
    </xf>
    <xf numFmtId="49" fontId="183" fillId="0" borderId="22">
      <alignment horizontal="center" vertical="top" shrinkToFit="1"/>
    </xf>
    <xf numFmtId="0" fontId="183" fillId="0" borderId="22">
      <alignment horizontal="left" vertical="top" wrapText="1"/>
    </xf>
    <xf numFmtId="4" fontId="183" fillId="0" borderId="22">
      <alignment horizontal="right" vertical="top" shrinkToFit="1"/>
    </xf>
    <xf numFmtId="4" fontId="183" fillId="0" borderId="23">
      <alignment horizontal="right" vertical="top" shrinkToFit="1"/>
    </xf>
    <xf numFmtId="0" fontId="183" fillId="0" borderId="60"/>
    <xf numFmtId="0" fontId="183" fillId="0" borderId="61"/>
    <xf numFmtId="0" fontId="183" fillId="0" borderId="62"/>
    <xf numFmtId="0" fontId="185" fillId="13" borderId="63"/>
    <xf numFmtId="0" fontId="185" fillId="13" borderId="24"/>
    <xf numFmtId="4" fontId="185" fillId="13" borderId="24">
      <alignment horizontal="right" shrinkToFit="1"/>
    </xf>
    <xf numFmtId="4" fontId="185" fillId="13" borderId="25">
      <alignment horizontal="right" shrinkToFit="1"/>
    </xf>
    <xf numFmtId="0" fontId="183" fillId="0" borderId="26"/>
  </cellStyleXfs>
  <cellXfs count="1567">
    <xf numFmtId="0" fontId="0" fillId="0" borderId="0" xfId="0"/>
    <xf numFmtId="0" fontId="5" fillId="2" borderId="0" xfId="0" applyFont="1" applyFill="1"/>
    <xf numFmtId="0" fontId="0" fillId="0" borderId="0" xfId="0" applyFill="1"/>
    <xf numFmtId="165" fontId="7" fillId="0" borderId="0" xfId="0" applyNumberFormat="1" applyFont="1" applyFill="1" applyBorder="1" applyAlignment="1"/>
    <xf numFmtId="166" fontId="2" fillId="2" borderId="12" xfId="0" applyNumberFormat="1" applyFont="1" applyFill="1" applyBorder="1" applyAlignment="1">
      <alignment horizontal="center" vertical="center" wrapText="1"/>
    </xf>
    <xf numFmtId="0" fontId="0" fillId="2" borderId="0" xfId="0" applyFont="1" applyFill="1"/>
    <xf numFmtId="0" fontId="2" fillId="2" borderId="2" xfId="0" applyFont="1" applyFill="1" applyBorder="1" applyAlignment="1">
      <alignment horizontal="center" vertical="center" wrapText="1"/>
    </xf>
    <xf numFmtId="4" fontId="2" fillId="2" borderId="1" xfId="0" applyNumberFormat="1" applyFont="1" applyFill="1" applyBorder="1" applyAlignment="1">
      <alignment horizontal="center" vertical="center" wrapText="1"/>
    </xf>
    <xf numFmtId="0" fontId="8" fillId="2" borderId="0" xfId="0" applyFont="1" applyFill="1"/>
    <xf numFmtId="4" fontId="8" fillId="2" borderId="0" xfId="0" applyNumberFormat="1" applyFont="1" applyFill="1" applyBorder="1" applyAlignment="1"/>
    <xf numFmtId="0" fontId="0" fillId="9" borderId="0" xfId="0" applyFill="1"/>
    <xf numFmtId="4" fontId="2" fillId="2" borderId="12" xfId="0" applyNumberFormat="1" applyFont="1" applyFill="1" applyBorder="1" applyAlignment="1">
      <alignment horizontal="center" vertical="center" wrapText="1"/>
    </xf>
    <xf numFmtId="4" fontId="8" fillId="2" borderId="0" xfId="0" applyNumberFormat="1" applyFont="1" applyFill="1" applyBorder="1" applyAlignment="1">
      <alignment horizontal="right"/>
    </xf>
    <xf numFmtId="4" fontId="8" fillId="2" borderId="1" xfId="0" applyNumberFormat="1" applyFont="1" applyFill="1" applyBorder="1" applyAlignment="1">
      <alignment horizontal="right"/>
    </xf>
    <xf numFmtId="0" fontId="10" fillId="9" borderId="0" xfId="0" applyFont="1" applyFill="1"/>
    <xf numFmtId="0" fontId="6" fillId="2" borderId="2" xfId="0" applyFont="1" applyFill="1" applyBorder="1" applyAlignment="1">
      <alignment horizontal="center" vertical="center" wrapText="1"/>
    </xf>
    <xf numFmtId="0" fontId="8" fillId="2" borderId="0" xfId="0" applyFont="1" applyFill="1" applyAlignment="1">
      <alignment vertical="center"/>
    </xf>
    <xf numFmtId="0" fontId="1" fillId="0" borderId="4" xfId="0" applyFont="1" applyFill="1" applyBorder="1" applyAlignment="1">
      <alignment horizontal="center" vertical="center" wrapText="1"/>
    </xf>
    <xf numFmtId="0" fontId="15" fillId="6" borderId="1" xfId="0" applyFont="1" applyFill="1" applyBorder="1" applyAlignment="1">
      <alignment horizontal="left" vertical="top" wrapText="1"/>
    </xf>
    <xf numFmtId="0" fontId="15" fillId="6" borderId="1" xfId="0" applyFont="1" applyFill="1" applyBorder="1" applyAlignment="1">
      <alignment horizontal="center" vertical="top" wrapText="1"/>
    </xf>
    <xf numFmtId="167" fontId="15" fillId="6" borderId="1" xfId="0" applyNumberFormat="1" applyFont="1" applyFill="1" applyBorder="1" applyAlignment="1">
      <alignment horizontal="center" vertical="top" wrapText="1"/>
    </xf>
    <xf numFmtId="0" fontId="15" fillId="6" borderId="4" xfId="0" applyFont="1" applyFill="1" applyBorder="1" applyAlignment="1">
      <alignment horizontal="left" vertical="top" wrapText="1"/>
    </xf>
    <xf numFmtId="167" fontId="15" fillId="6" borderId="4" xfId="0" applyNumberFormat="1" applyFont="1" applyFill="1" applyBorder="1" applyAlignment="1">
      <alignment horizontal="center" vertical="top" wrapText="1"/>
    </xf>
    <xf numFmtId="4" fontId="8" fillId="4" borderId="0" xfId="0" applyNumberFormat="1" applyFont="1" applyFill="1" applyBorder="1" applyAlignment="1"/>
    <xf numFmtId="4" fontId="8" fillId="4" borderId="1" xfId="0" applyNumberFormat="1" applyFont="1" applyFill="1" applyBorder="1" applyAlignment="1"/>
    <xf numFmtId="4" fontId="11" fillId="0" borderId="1" xfId="1" applyNumberFormat="1" applyFont="1" applyFill="1" applyBorder="1" applyAlignment="1">
      <alignment horizontal="right" vertical="center" wrapText="1"/>
    </xf>
    <xf numFmtId="4" fontId="6" fillId="0" borderId="1" xfId="1" applyNumberFormat="1" applyFont="1" applyFill="1" applyBorder="1" applyAlignment="1">
      <alignment horizontal="right" vertical="center" wrapText="1"/>
    </xf>
    <xf numFmtId="4" fontId="9" fillId="0" borderId="1" xfId="1" applyNumberFormat="1" applyFont="1" applyFill="1" applyBorder="1" applyAlignment="1">
      <alignment vertical="center" wrapText="1"/>
    </xf>
    <xf numFmtId="4" fontId="9" fillId="0" borderId="1" xfId="1" applyNumberFormat="1" applyFont="1" applyFill="1" applyBorder="1" applyAlignment="1">
      <alignment horizontal="right" vertical="center" wrapText="1"/>
    </xf>
    <xf numFmtId="4" fontId="8" fillId="0" borderId="0" xfId="0" applyNumberFormat="1" applyFont="1" applyFill="1" applyBorder="1" applyAlignment="1">
      <alignment horizontal="right"/>
    </xf>
    <xf numFmtId="4" fontId="8" fillId="0" borderId="0" xfId="0" applyNumberFormat="1" applyFont="1" applyFill="1" applyBorder="1" applyAlignment="1"/>
    <xf numFmtId="0" fontId="0" fillId="0" borderId="0" xfId="0" applyFont="1" applyFill="1"/>
    <xf numFmtId="0" fontId="21" fillId="6" borderId="1" xfId="0" applyFont="1" applyFill="1" applyBorder="1" applyAlignment="1">
      <alignment horizontal="center" vertical="top" wrapText="1"/>
    </xf>
    <xf numFmtId="0" fontId="27" fillId="6" borderId="1" xfId="0" applyFont="1" applyFill="1" applyBorder="1" applyAlignment="1">
      <alignment horizontal="left" vertical="top" wrapText="1"/>
    </xf>
    <xf numFmtId="0" fontId="21" fillId="6" borderId="1" xfId="0" applyNumberFormat="1" applyFont="1" applyFill="1" applyBorder="1" applyAlignment="1">
      <alignment horizontal="center" vertical="top" wrapText="1"/>
    </xf>
    <xf numFmtId="4" fontId="19" fillId="7" borderId="1" xfId="1" applyNumberFormat="1" applyFont="1" applyFill="1" applyBorder="1" applyAlignment="1">
      <alignment horizontal="right" vertical="center" wrapText="1"/>
    </xf>
    <xf numFmtId="4" fontId="16" fillId="7" borderId="1" xfId="1" applyNumberFormat="1" applyFont="1" applyFill="1" applyBorder="1" applyAlignment="1">
      <alignment horizontal="right" vertical="center" wrapText="1"/>
    </xf>
    <xf numFmtId="167" fontId="11" fillId="7" borderId="11" xfId="1" applyNumberFormat="1" applyFont="1" applyFill="1" applyBorder="1" applyAlignment="1">
      <alignment vertical="center" wrapText="1"/>
    </xf>
    <xf numFmtId="4" fontId="9" fillId="7" borderId="1" xfId="0" applyNumberFormat="1" applyFont="1" applyFill="1" applyBorder="1" applyAlignment="1">
      <alignment vertical="center" wrapText="1"/>
    </xf>
    <xf numFmtId="0" fontId="6" fillId="7" borderId="9" xfId="0" applyFont="1" applyFill="1" applyBorder="1" applyAlignment="1">
      <alignment horizontal="center" vertical="center" wrapText="1"/>
    </xf>
    <xf numFmtId="4" fontId="11" fillId="7" borderId="1" xfId="1" applyNumberFormat="1" applyFont="1" applyFill="1" applyBorder="1" applyAlignment="1">
      <alignment horizontal="right" vertical="center" wrapText="1"/>
    </xf>
    <xf numFmtId="4" fontId="6" fillId="7" borderId="1" xfId="0" applyNumberFormat="1" applyFont="1" applyFill="1" applyBorder="1" applyAlignment="1">
      <alignment vertical="center" wrapText="1"/>
    </xf>
    <xf numFmtId="0" fontId="19" fillId="14" borderId="9" xfId="0" applyFont="1" applyFill="1" applyBorder="1" applyAlignment="1">
      <alignment horizontal="center" vertical="center" wrapText="1"/>
    </xf>
    <xf numFmtId="4" fontId="40" fillId="14" borderId="1" xfId="1" applyNumberFormat="1" applyFont="1" applyFill="1" applyBorder="1" applyAlignment="1">
      <alignment horizontal="right" vertical="center" wrapText="1"/>
    </xf>
    <xf numFmtId="0" fontId="11" fillId="14" borderId="9" xfId="0" applyFont="1" applyFill="1" applyBorder="1" applyAlignment="1">
      <alignment horizontal="center" vertical="center" wrapText="1"/>
    </xf>
    <xf numFmtId="4" fontId="16" fillId="14" borderId="1" xfId="1" applyNumberFormat="1" applyFont="1" applyFill="1" applyBorder="1" applyAlignment="1">
      <alignment horizontal="right" vertical="center" wrapText="1"/>
    </xf>
    <xf numFmtId="167" fontId="16" fillId="14" borderId="11" xfId="1" applyNumberFormat="1" applyFont="1" applyFill="1" applyBorder="1" applyAlignment="1">
      <alignment vertical="center" wrapText="1"/>
    </xf>
    <xf numFmtId="4" fontId="11" fillId="14" borderId="1" xfId="1" applyNumberFormat="1" applyFont="1" applyFill="1" applyBorder="1" applyAlignment="1">
      <alignment horizontal="right" vertical="center" wrapText="1"/>
    </xf>
    <xf numFmtId="167" fontId="11" fillId="14" borderId="11" xfId="1" applyNumberFormat="1" applyFont="1" applyFill="1" applyBorder="1" applyAlignment="1">
      <alignment vertical="center" wrapText="1"/>
    </xf>
    <xf numFmtId="0" fontId="6" fillId="14" borderId="9" xfId="0" applyFont="1" applyFill="1" applyBorder="1" applyAlignment="1">
      <alignment horizontal="center" vertical="center" wrapText="1"/>
    </xf>
    <xf numFmtId="4" fontId="9" fillId="14" borderId="1" xfId="1" applyNumberFormat="1" applyFont="1" applyFill="1" applyBorder="1" applyAlignment="1">
      <alignment horizontal="right" vertical="center" wrapText="1"/>
    </xf>
    <xf numFmtId="4" fontId="9" fillId="14" borderId="1" xfId="1" applyNumberFormat="1" applyFont="1" applyFill="1" applyBorder="1" applyAlignment="1">
      <alignment vertical="center" wrapText="1"/>
    </xf>
    <xf numFmtId="4" fontId="6" fillId="14" borderId="1" xfId="1" applyNumberFormat="1" applyFont="1" applyFill="1" applyBorder="1" applyAlignment="1">
      <alignment vertical="center" wrapText="1"/>
    </xf>
    <xf numFmtId="4" fontId="11" fillId="14" borderId="1" xfId="1" applyNumberFormat="1" applyFont="1" applyFill="1" applyBorder="1" applyAlignment="1">
      <alignment vertical="center" wrapText="1"/>
    </xf>
    <xf numFmtId="4" fontId="40" fillId="14" borderId="1" xfId="1" applyNumberFormat="1" applyFont="1" applyFill="1" applyBorder="1" applyAlignment="1">
      <alignment vertical="center" wrapText="1"/>
    </xf>
    <xf numFmtId="4" fontId="6" fillId="7" borderId="1" xfId="1" applyNumberFormat="1" applyFont="1" applyFill="1" applyBorder="1" applyAlignment="1">
      <alignment horizontal="right" vertical="center" wrapText="1"/>
    </xf>
    <xf numFmtId="4" fontId="6" fillId="7" borderId="1" xfId="0" applyNumberFormat="1" applyFont="1" applyFill="1" applyBorder="1" applyAlignment="1">
      <alignment horizontal="right" vertical="center" wrapText="1"/>
    </xf>
    <xf numFmtId="4" fontId="6" fillId="7" borderId="6" xfId="0" applyNumberFormat="1" applyFont="1" applyFill="1" applyBorder="1" applyAlignment="1">
      <alignment horizontal="right" vertical="center" wrapText="1"/>
    </xf>
    <xf numFmtId="165" fontId="6" fillId="7" borderId="1" xfId="0" applyNumberFormat="1" applyFont="1" applyFill="1" applyBorder="1" applyAlignment="1">
      <alignment horizontal="center" vertical="top" wrapText="1"/>
    </xf>
    <xf numFmtId="4" fontId="9" fillId="7" borderId="1" xfId="1" applyNumberFormat="1" applyFont="1" applyFill="1" applyBorder="1" applyAlignment="1">
      <alignment horizontal="right" vertical="center" wrapText="1"/>
    </xf>
    <xf numFmtId="0" fontId="15" fillId="7" borderId="1" xfId="0" applyFont="1" applyFill="1" applyBorder="1" applyAlignment="1">
      <alignment horizontal="left" vertical="top" wrapText="1"/>
    </xf>
    <xf numFmtId="0" fontId="15" fillId="7" borderId="1" xfId="0" applyFont="1" applyFill="1" applyBorder="1" applyAlignment="1">
      <alignment horizontal="center" vertical="top" wrapText="1"/>
    </xf>
    <xf numFmtId="167" fontId="15" fillId="7" borderId="1" xfId="0" applyNumberFormat="1" applyFont="1" applyFill="1" applyBorder="1" applyAlignment="1">
      <alignment horizontal="center" vertical="top" wrapText="1"/>
    </xf>
    <xf numFmtId="167" fontId="40" fillId="14" borderId="11" xfId="1" applyNumberFormat="1" applyFont="1" applyFill="1" applyBorder="1" applyAlignment="1">
      <alignment vertical="center" wrapText="1"/>
    </xf>
    <xf numFmtId="4" fontId="19" fillId="14" borderId="1" xfId="1" applyNumberFormat="1" applyFont="1" applyFill="1" applyBorder="1" applyAlignment="1">
      <alignment horizontal="right" vertical="center" wrapText="1"/>
    </xf>
    <xf numFmtId="0" fontId="15" fillId="14" borderId="1" xfId="0" applyFont="1" applyFill="1" applyBorder="1" applyAlignment="1">
      <alignment horizontal="left" vertical="top" wrapText="1"/>
    </xf>
    <xf numFmtId="0" fontId="15" fillId="14" borderId="1" xfId="0" applyFont="1" applyFill="1" applyBorder="1" applyAlignment="1">
      <alignment horizontal="center" vertical="top" wrapText="1"/>
    </xf>
    <xf numFmtId="0" fontId="15" fillId="14" borderId="4" xfId="0" applyFont="1" applyFill="1" applyBorder="1" applyAlignment="1">
      <alignment horizontal="left" vertical="top" wrapText="1"/>
    </xf>
    <xf numFmtId="167" fontId="15" fillId="14" borderId="4" xfId="0" applyNumberFormat="1" applyFont="1" applyFill="1" applyBorder="1" applyAlignment="1">
      <alignment horizontal="center" vertical="top" wrapText="1"/>
    </xf>
    <xf numFmtId="0" fontId="1" fillId="0" borderId="0" xfId="0" applyFont="1" applyFill="1" applyAlignment="1">
      <alignment vertical="center"/>
    </xf>
    <xf numFmtId="167" fontId="1" fillId="0" borderId="0" xfId="0" applyNumberFormat="1" applyFont="1" applyFill="1" applyAlignment="1">
      <alignment horizontal="right" vertical="center"/>
    </xf>
    <xf numFmtId="0" fontId="1" fillId="2" borderId="0" xfId="0" applyFont="1" applyFill="1"/>
    <xf numFmtId="0" fontId="11" fillId="7" borderId="9" xfId="0" applyFont="1" applyFill="1" applyBorder="1" applyAlignment="1">
      <alignment horizontal="center" vertical="center" wrapText="1"/>
    </xf>
    <xf numFmtId="4" fontId="8" fillId="2" borderId="8" xfId="0" applyNumberFormat="1" applyFont="1" applyFill="1" applyBorder="1" applyAlignment="1">
      <alignment horizontal="right"/>
    </xf>
    <xf numFmtId="4" fontId="8" fillId="4" borderId="8" xfId="0" applyNumberFormat="1" applyFont="1" applyFill="1" applyBorder="1" applyAlignment="1"/>
    <xf numFmtId="0" fontId="6" fillId="0" borderId="9" xfId="0" applyFont="1" applyFill="1" applyBorder="1" applyAlignment="1">
      <alignment horizontal="center" vertical="center" wrapText="1"/>
    </xf>
    <xf numFmtId="167" fontId="11" fillId="0" borderId="11" xfId="1" applyNumberFormat="1" applyFont="1" applyFill="1" applyBorder="1" applyAlignment="1">
      <alignment vertical="center" wrapText="1"/>
    </xf>
    <xf numFmtId="0" fontId="27" fillId="14" borderId="1" xfId="0" applyFont="1" applyFill="1" applyBorder="1" applyAlignment="1">
      <alignment horizontal="center" vertical="top" wrapText="1"/>
    </xf>
    <xf numFmtId="0" fontId="27" fillId="14" borderId="1" xfId="0" applyNumberFormat="1" applyFont="1" applyFill="1" applyBorder="1" applyAlignment="1">
      <alignment horizontal="center" vertical="top" wrapText="1"/>
    </xf>
    <xf numFmtId="167" fontId="27" fillId="14" borderId="1" xfId="0" applyNumberFormat="1" applyFont="1" applyFill="1" applyBorder="1" applyAlignment="1">
      <alignment horizontal="center" vertical="top" wrapText="1"/>
    </xf>
    <xf numFmtId="0" fontId="15" fillId="7" borderId="1" xfId="0" applyNumberFormat="1" applyFont="1" applyFill="1" applyBorder="1" applyAlignment="1">
      <alignment horizontal="center" vertical="top" wrapText="1"/>
    </xf>
    <xf numFmtId="167" fontId="16" fillId="7" borderId="11" xfId="1" applyNumberFormat="1" applyFont="1" applyFill="1" applyBorder="1" applyAlignment="1">
      <alignment wrapText="1"/>
    </xf>
    <xf numFmtId="0" fontId="21" fillId="7" borderId="1" xfId="0" applyFont="1" applyFill="1" applyBorder="1" applyAlignment="1">
      <alignment horizontal="center" vertical="top" wrapText="1"/>
    </xf>
    <xf numFmtId="0" fontId="9" fillId="0" borderId="9" xfId="0" applyFont="1" applyFill="1" applyBorder="1" applyAlignment="1">
      <alignment horizontal="center" vertical="center" wrapText="1"/>
    </xf>
    <xf numFmtId="0" fontId="9" fillId="7" borderId="9" xfId="0" applyFont="1" applyFill="1" applyBorder="1" applyAlignment="1">
      <alignment horizontal="center" vertical="center" wrapText="1"/>
    </xf>
    <xf numFmtId="165" fontId="9" fillId="7" borderId="1" xfId="0" applyNumberFormat="1" applyFont="1" applyFill="1" applyBorder="1" applyAlignment="1">
      <alignment horizontal="right" wrapText="1"/>
    </xf>
    <xf numFmtId="4" fontId="16" fillId="7" borderId="1" xfId="1" applyNumberFormat="1" applyFont="1" applyFill="1" applyBorder="1" applyAlignment="1">
      <alignment horizontal="right" wrapText="1"/>
    </xf>
    <xf numFmtId="165" fontId="9" fillId="7" borderId="1" xfId="0" applyNumberFormat="1" applyFont="1" applyFill="1" applyBorder="1" applyAlignment="1">
      <alignment wrapText="1"/>
    </xf>
    <xf numFmtId="165" fontId="9" fillId="7" borderId="1" xfId="0" applyNumberFormat="1" applyFont="1" applyFill="1" applyBorder="1" applyAlignment="1">
      <alignment horizontal="center" vertical="top" wrapText="1"/>
    </xf>
    <xf numFmtId="4" fontId="16" fillId="0" borderId="1" xfId="1" applyNumberFormat="1" applyFont="1" applyFill="1" applyBorder="1" applyAlignment="1">
      <alignment horizontal="right" vertical="center" wrapText="1"/>
    </xf>
    <xf numFmtId="167" fontId="16" fillId="0" borderId="11" xfId="1" applyNumberFormat="1" applyFont="1" applyFill="1" applyBorder="1" applyAlignment="1">
      <alignment vertical="center" wrapText="1"/>
    </xf>
    <xf numFmtId="0" fontId="15" fillId="0" borderId="1" xfId="0" applyFont="1" applyFill="1" applyBorder="1" applyAlignment="1">
      <alignment horizontal="left" vertical="top" wrapText="1"/>
    </xf>
    <xf numFmtId="0" fontId="21" fillId="0" borderId="1" xfId="0" applyFont="1" applyFill="1" applyBorder="1" applyAlignment="1">
      <alignment horizontal="center" vertical="top" wrapText="1"/>
    </xf>
    <xf numFmtId="167" fontId="21" fillId="0" borderId="1" xfId="0" applyNumberFormat="1" applyFont="1" applyFill="1" applyBorder="1" applyAlignment="1">
      <alignment horizontal="center" vertical="top" wrapText="1"/>
    </xf>
    <xf numFmtId="167" fontId="21" fillId="0" borderId="4" xfId="0" applyNumberFormat="1" applyFont="1" applyFill="1" applyBorder="1" applyAlignment="1">
      <alignment horizontal="center" vertical="top" wrapText="1"/>
    </xf>
    <xf numFmtId="0" fontId="21" fillId="0" borderId="1" xfId="0" applyNumberFormat="1" applyFont="1" applyFill="1" applyBorder="1" applyAlignment="1">
      <alignment horizontal="center" vertical="top" wrapText="1"/>
    </xf>
    <xf numFmtId="0" fontId="0" fillId="7" borderId="5" xfId="0" applyFont="1" applyFill="1" applyBorder="1" applyAlignment="1">
      <alignment horizontal="center" vertical="center"/>
    </xf>
    <xf numFmtId="0" fontId="1" fillId="7" borderId="5" xfId="0" applyFont="1" applyFill="1" applyBorder="1" applyAlignment="1">
      <alignment horizontal="center" vertical="center" wrapText="1"/>
    </xf>
    <xf numFmtId="0" fontId="19" fillId="0" borderId="0" xfId="5512" applyFont="1"/>
    <xf numFmtId="0" fontId="177" fillId="0" borderId="0" xfId="5512" applyFont="1"/>
    <xf numFmtId="0" fontId="4" fillId="0" borderId="46" xfId="5512" applyFont="1" applyFill="1" applyBorder="1"/>
    <xf numFmtId="165" fontId="9" fillId="0" borderId="0" xfId="5512" applyNumberFormat="1" applyFont="1"/>
    <xf numFmtId="165" fontId="4" fillId="0" borderId="46" xfId="5512" applyNumberFormat="1" applyFont="1" applyFill="1" applyBorder="1"/>
    <xf numFmtId="165" fontId="177" fillId="0" borderId="0" xfId="5512" applyNumberFormat="1" applyFont="1"/>
    <xf numFmtId="0" fontId="9" fillId="0" borderId="0" xfId="5512" applyFont="1"/>
    <xf numFmtId="0" fontId="4" fillId="0" borderId="0" xfId="5512" applyFont="1" applyFill="1" applyAlignment="1">
      <alignment horizontal="center" vertical="center"/>
    </xf>
    <xf numFmtId="0" fontId="4" fillId="0" borderId="0" xfId="5512" applyFont="1" applyFill="1" applyAlignment="1">
      <alignment vertical="center"/>
    </xf>
    <xf numFmtId="0" fontId="4" fillId="0" borderId="0" xfId="5512" applyFont="1" applyFill="1"/>
    <xf numFmtId="0" fontId="4" fillId="141" borderId="46" xfId="5512" applyFont="1" applyFill="1" applyBorder="1"/>
    <xf numFmtId="165" fontId="4" fillId="141" borderId="46" xfId="5512" applyNumberFormat="1" applyFont="1" applyFill="1" applyBorder="1"/>
    <xf numFmtId="0" fontId="9" fillId="142" borderId="0" xfId="3485" applyFont="1" applyFill="1"/>
    <xf numFmtId="0" fontId="9" fillId="142" borderId="0" xfId="3485" applyFont="1" applyFill="1" applyAlignment="1">
      <alignment horizontal="center"/>
    </xf>
    <xf numFmtId="165" fontId="9" fillId="142" borderId="0" xfId="3485" applyNumberFormat="1" applyFont="1" applyFill="1" applyAlignment="1">
      <alignment horizontal="center"/>
    </xf>
    <xf numFmtId="165" fontId="9" fillId="142" borderId="0" xfId="3485" applyNumberFormat="1" applyFont="1" applyFill="1"/>
    <xf numFmtId="165" fontId="9" fillId="142" borderId="0" xfId="3485" applyNumberFormat="1" applyFont="1" applyFill="1" applyAlignment="1">
      <alignment horizontal="right" vertical="center"/>
    </xf>
    <xf numFmtId="165" fontId="9" fillId="142" borderId="0" xfId="3485" applyNumberFormat="1" applyFont="1" applyFill="1" applyAlignment="1">
      <alignment horizontal="center" vertical="center"/>
    </xf>
    <xf numFmtId="167" fontId="9" fillId="143" borderId="0" xfId="23837" applyNumberFormat="1" applyFont="1" applyFill="1" applyAlignment="1">
      <alignment horizontal="center"/>
    </xf>
    <xf numFmtId="9" fontId="9" fillId="143" borderId="0" xfId="23837" applyNumberFormat="1" applyFont="1" applyFill="1" applyAlignment="1">
      <alignment horizontal="center"/>
    </xf>
    <xf numFmtId="165" fontId="9" fillId="143" borderId="0" xfId="23837" applyNumberFormat="1" applyFont="1" applyFill="1" applyAlignment="1">
      <alignment horizontal="center"/>
    </xf>
    <xf numFmtId="0" fontId="9" fillId="142" borderId="0" xfId="3485" applyFont="1" applyFill="1" applyAlignment="1">
      <alignment horizontal="right" vertical="center"/>
    </xf>
    <xf numFmtId="0" fontId="57" fillId="142" borderId="0" xfId="3485" applyFont="1" applyFill="1"/>
    <xf numFmtId="0" fontId="57" fillId="142" borderId="0" xfId="3485" applyFont="1" applyFill="1" applyAlignment="1">
      <alignment horizontal="center"/>
    </xf>
    <xf numFmtId="165" fontId="57" fillId="142" borderId="0" xfId="3485" applyNumberFormat="1" applyFont="1" applyFill="1" applyAlignment="1">
      <alignment horizontal="center"/>
    </xf>
    <xf numFmtId="165" fontId="57" fillId="142" borderId="0" xfId="3485" applyNumberFormat="1" applyFont="1" applyFill="1"/>
    <xf numFmtId="165" fontId="57" fillId="142" borderId="0" xfId="3485" applyNumberFormat="1" applyFont="1" applyFill="1" applyAlignment="1">
      <alignment horizontal="right"/>
    </xf>
    <xf numFmtId="167" fontId="10" fillId="143" borderId="0" xfId="23837" applyNumberFormat="1" applyFont="1" applyFill="1" applyAlignment="1">
      <alignment horizontal="center"/>
    </xf>
    <xf numFmtId="9" fontId="10" fillId="143" borderId="0" xfId="23837" applyNumberFormat="1" applyFont="1" applyFill="1" applyAlignment="1">
      <alignment horizontal="center"/>
    </xf>
    <xf numFmtId="165" fontId="10" fillId="143" borderId="0" xfId="23837" applyNumberFormat="1" applyFont="1" applyFill="1" applyAlignment="1">
      <alignment horizontal="center"/>
    </xf>
    <xf numFmtId="4" fontId="17" fillId="142" borderId="47" xfId="14103" applyNumberFormat="1" applyFont="1" applyFill="1" applyBorder="1" applyAlignment="1" applyProtection="1">
      <alignment horizontal="center" vertical="center" wrapText="1"/>
      <protection locked="0"/>
    </xf>
    <xf numFmtId="4" fontId="17" fillId="142" borderId="46" xfId="14103" applyNumberFormat="1" applyFont="1" applyFill="1" applyBorder="1" applyAlignment="1" applyProtection="1">
      <alignment horizontal="center" vertical="center" wrapText="1"/>
      <protection locked="0"/>
    </xf>
    <xf numFmtId="165" fontId="17" fillId="142" borderId="46" xfId="3485" applyNumberFormat="1" applyFont="1" applyFill="1" applyBorder="1" applyAlignment="1" applyProtection="1">
      <alignment horizontal="center" vertical="center" wrapText="1"/>
      <protection locked="0"/>
    </xf>
    <xf numFmtId="167" fontId="17" fillId="143" borderId="46" xfId="23837" applyNumberFormat="1" applyFont="1" applyFill="1" applyBorder="1" applyAlignment="1" applyProtection="1">
      <alignment horizontal="center" vertical="center" wrapText="1"/>
      <protection locked="0"/>
    </xf>
    <xf numFmtId="165" fontId="17" fillId="142" borderId="46" xfId="23838" applyNumberFormat="1" applyFont="1" applyFill="1" applyBorder="1" applyAlignment="1">
      <alignment horizontal="right" vertical="center" wrapText="1"/>
    </xf>
    <xf numFmtId="167" fontId="17" fillId="143" borderId="46" xfId="23838" applyNumberFormat="1" applyFont="1" applyFill="1" applyBorder="1" applyAlignment="1">
      <alignment horizontal="right" vertical="center" wrapText="1"/>
    </xf>
    <xf numFmtId="0" fontId="17" fillId="142" borderId="46" xfId="23838" applyFont="1" applyFill="1" applyBorder="1" applyAlignment="1">
      <alignment horizontal="center" vertical="center" wrapText="1"/>
    </xf>
    <xf numFmtId="0" fontId="17" fillId="142" borderId="46" xfId="23838" applyFont="1" applyFill="1" applyBorder="1" applyAlignment="1">
      <alignment horizontal="left" vertical="center" wrapText="1"/>
    </xf>
    <xf numFmtId="0" fontId="17" fillId="142" borderId="46" xfId="23838" applyFont="1" applyFill="1" applyBorder="1" applyAlignment="1">
      <alignment horizontal="left" vertical="center"/>
    </xf>
    <xf numFmtId="165" fontId="17" fillId="142" borderId="46" xfId="23838" applyNumberFormat="1" applyFont="1" applyFill="1" applyBorder="1" applyAlignment="1">
      <alignment horizontal="center" vertical="center" wrapText="1"/>
    </xf>
    <xf numFmtId="165" fontId="17" fillId="142" borderId="46" xfId="23838" applyNumberFormat="1" applyFont="1" applyFill="1" applyBorder="1" applyAlignment="1">
      <alignment horizontal="left" vertical="center" wrapText="1"/>
    </xf>
    <xf numFmtId="167" fontId="17" fillId="143" borderId="46" xfId="23838" applyNumberFormat="1" applyFont="1" applyFill="1" applyBorder="1" applyAlignment="1">
      <alignment horizontal="center" vertical="center" wrapText="1"/>
    </xf>
    <xf numFmtId="0" fontId="17" fillId="143" borderId="46" xfId="23838" applyFont="1" applyFill="1" applyBorder="1" applyAlignment="1">
      <alignment horizontal="left" vertical="center" wrapText="1"/>
    </xf>
    <xf numFmtId="165" fontId="17" fillId="143" borderId="46" xfId="23838" applyNumberFormat="1" applyFont="1" applyFill="1" applyBorder="1" applyAlignment="1">
      <alignment horizontal="left" vertical="center" wrapText="1"/>
    </xf>
    <xf numFmtId="0" fontId="175" fillId="142" borderId="46" xfId="23838" applyFont="1" applyFill="1" applyBorder="1" applyAlignment="1">
      <alignment horizontal="center" vertical="center" wrapText="1"/>
    </xf>
    <xf numFmtId="165" fontId="18" fillId="142" borderId="6" xfId="23838" applyNumberFormat="1" applyFont="1" applyFill="1" applyBorder="1" applyAlignment="1">
      <alignment horizontal="right" wrapText="1"/>
    </xf>
    <xf numFmtId="165" fontId="18" fillId="144" borderId="6" xfId="23838" applyNumberFormat="1" applyFont="1" applyFill="1" applyBorder="1" applyAlignment="1">
      <alignment horizontal="right" wrapText="1"/>
    </xf>
    <xf numFmtId="0" fontId="18" fillId="142" borderId="46" xfId="23838" applyFont="1" applyFill="1" applyBorder="1" applyAlignment="1">
      <alignment horizontal="center" vertical="center" wrapText="1"/>
    </xf>
    <xf numFmtId="165" fontId="18" fillId="142" borderId="46" xfId="23838" applyNumberFormat="1" applyFont="1" applyFill="1" applyBorder="1" applyAlignment="1">
      <alignment horizontal="right" wrapText="1"/>
    </xf>
    <xf numFmtId="165" fontId="18" fillId="144" borderId="46" xfId="23838" applyNumberFormat="1" applyFont="1" applyFill="1" applyBorder="1" applyAlignment="1">
      <alignment horizontal="right" wrapText="1"/>
    </xf>
    <xf numFmtId="165" fontId="18" fillId="142" borderId="47" xfId="23838" applyNumberFormat="1" applyFont="1" applyFill="1" applyBorder="1" applyAlignment="1">
      <alignment horizontal="right" wrapText="1"/>
    </xf>
    <xf numFmtId="165" fontId="18" fillId="144" borderId="5" xfId="23838" applyNumberFormat="1" applyFont="1" applyFill="1" applyBorder="1" applyAlignment="1">
      <alignment horizontal="right" wrapText="1"/>
    </xf>
    <xf numFmtId="165" fontId="18" fillId="144" borderId="47" xfId="23838" applyNumberFormat="1" applyFont="1" applyFill="1" applyBorder="1" applyAlignment="1">
      <alignment horizontal="right" wrapText="1"/>
    </xf>
    <xf numFmtId="165" fontId="18" fillId="142" borderId="46" xfId="23839" applyNumberFormat="1" applyFont="1" applyFill="1" applyBorder="1" applyAlignment="1">
      <alignment horizontal="right" wrapText="1"/>
    </xf>
    <xf numFmtId="165" fontId="18" fillId="143" borderId="46" xfId="23839" applyNumberFormat="1" applyFont="1" applyFill="1" applyBorder="1" applyAlignment="1">
      <alignment horizontal="right" wrapText="1"/>
    </xf>
    <xf numFmtId="165" fontId="18" fillId="144" borderId="46" xfId="23839" applyNumberFormat="1" applyFont="1" applyFill="1" applyBorder="1" applyAlignment="1">
      <alignment horizontal="right" wrapText="1"/>
    </xf>
    <xf numFmtId="165" fontId="18" fillId="142" borderId="47" xfId="23839" applyNumberFormat="1" applyFont="1" applyFill="1" applyBorder="1" applyAlignment="1">
      <alignment horizontal="right"/>
    </xf>
    <xf numFmtId="165" fontId="18" fillId="142" borderId="46" xfId="23839" applyNumberFormat="1" applyFont="1" applyFill="1" applyBorder="1" applyAlignment="1">
      <alignment horizontal="right"/>
    </xf>
    <xf numFmtId="0" fontId="18" fillId="142" borderId="46" xfId="5" applyFont="1" applyFill="1" applyBorder="1" applyAlignment="1">
      <alignment horizontal="center" vertical="center" wrapText="1"/>
    </xf>
    <xf numFmtId="165" fontId="18" fillId="142" borderId="46" xfId="4" applyNumberFormat="1" applyFont="1" applyFill="1" applyBorder="1" applyAlignment="1">
      <alignment horizontal="right" wrapText="1"/>
    </xf>
    <xf numFmtId="165" fontId="9" fillId="7" borderId="46" xfId="0" applyNumberFormat="1" applyFont="1" applyFill="1" applyBorder="1" applyAlignment="1">
      <alignment horizontal="right" wrapText="1"/>
    </xf>
    <xf numFmtId="4" fontId="16" fillId="7" borderId="46" xfId="1" applyNumberFormat="1" applyFont="1" applyFill="1" applyBorder="1" applyAlignment="1">
      <alignment horizontal="right" wrapText="1"/>
    </xf>
    <xf numFmtId="167" fontId="16" fillId="7" borderId="49" xfId="1" applyNumberFormat="1" applyFont="1" applyFill="1" applyBorder="1" applyAlignment="1">
      <alignment wrapText="1"/>
    </xf>
    <xf numFmtId="0" fontId="28" fillId="142" borderId="46" xfId="23838" applyFont="1" applyFill="1" applyBorder="1" applyAlignment="1">
      <alignment horizontal="center" vertical="center" wrapText="1"/>
    </xf>
    <xf numFmtId="0" fontId="0" fillId="7" borderId="5" xfId="0" applyFont="1" applyFill="1" applyBorder="1" applyAlignment="1">
      <alignment horizontal="center" vertical="center"/>
    </xf>
    <xf numFmtId="0" fontId="0" fillId="2" borderId="5" xfId="0" applyFont="1" applyFill="1" applyBorder="1" applyAlignment="1">
      <alignment horizontal="center" vertical="center"/>
    </xf>
    <xf numFmtId="165" fontId="9" fillId="7" borderId="48" xfId="0" applyNumberFormat="1" applyFont="1" applyFill="1" applyBorder="1" applyAlignment="1">
      <alignment horizontal="center" vertical="top" wrapText="1"/>
    </xf>
    <xf numFmtId="167" fontId="11" fillId="7" borderId="49" xfId="1" applyNumberFormat="1" applyFont="1" applyFill="1" applyBorder="1" applyAlignment="1">
      <alignment vertical="center" wrapText="1"/>
    </xf>
    <xf numFmtId="0" fontId="1" fillId="7" borderId="5" xfId="0" applyFont="1" applyFill="1" applyBorder="1" applyAlignment="1">
      <alignment vertical="center" wrapText="1"/>
    </xf>
    <xf numFmtId="165" fontId="4" fillId="4" borderId="46" xfId="5512" applyNumberFormat="1" applyFont="1" applyFill="1" applyBorder="1"/>
    <xf numFmtId="0" fontId="4" fillId="4" borderId="46" xfId="5512" applyFont="1" applyFill="1" applyBorder="1"/>
    <xf numFmtId="0" fontId="15" fillId="6" borderId="4" xfId="0" applyNumberFormat="1" applyFont="1" applyFill="1" applyBorder="1" applyAlignment="1">
      <alignment horizontal="center" vertical="top" wrapText="1"/>
    </xf>
    <xf numFmtId="165" fontId="18" fillId="147" borderId="6" xfId="23838" applyNumberFormat="1" applyFont="1" applyFill="1" applyBorder="1" applyAlignment="1">
      <alignment horizontal="right" wrapText="1"/>
    </xf>
    <xf numFmtId="0" fontId="0" fillId="145" borderId="0" xfId="0" applyFill="1"/>
    <xf numFmtId="0" fontId="11" fillId="2" borderId="9" xfId="0" applyFont="1" applyFill="1" applyBorder="1" applyAlignment="1">
      <alignment horizontal="center" vertical="center" wrapText="1"/>
    </xf>
    <xf numFmtId="4" fontId="11" fillId="2" borderId="1" xfId="0" applyNumberFormat="1" applyFont="1" applyFill="1" applyBorder="1" applyAlignment="1">
      <alignment vertical="center" wrapText="1"/>
    </xf>
    <xf numFmtId="167" fontId="11" fillId="2" borderId="11" xfId="1" applyNumberFormat="1" applyFont="1" applyFill="1" applyBorder="1" applyAlignment="1">
      <alignment vertical="center" wrapText="1"/>
    </xf>
    <xf numFmtId="0" fontId="6" fillId="2" borderId="9" xfId="0" applyFont="1" applyFill="1" applyBorder="1" applyAlignment="1">
      <alignment horizontal="center" vertical="center" wrapText="1"/>
    </xf>
    <xf numFmtId="4" fontId="6" fillId="2" borderId="1" xfId="0" applyNumberFormat="1" applyFont="1" applyFill="1" applyBorder="1" applyAlignment="1">
      <alignment vertical="center" wrapText="1"/>
    </xf>
    <xf numFmtId="4" fontId="6" fillId="2" borderId="4" xfId="0" applyNumberFormat="1" applyFont="1" applyFill="1" applyBorder="1" applyAlignment="1">
      <alignment vertical="center" wrapText="1"/>
    </xf>
    <xf numFmtId="4" fontId="11" fillId="2" borderId="4" xfId="0" applyNumberFormat="1" applyFont="1" applyFill="1" applyBorder="1" applyAlignment="1">
      <alignment vertical="center" wrapText="1"/>
    </xf>
    <xf numFmtId="0" fontId="16" fillId="2" borderId="9" xfId="0" applyFont="1" applyFill="1" applyBorder="1" applyAlignment="1">
      <alignment horizontal="center" vertical="center" wrapText="1"/>
    </xf>
    <xf numFmtId="4" fontId="11" fillId="2" borderId="1" xfId="1" applyNumberFormat="1" applyFont="1" applyFill="1" applyBorder="1" applyAlignment="1">
      <alignment horizontal="right" vertical="center" wrapText="1"/>
    </xf>
    <xf numFmtId="0" fontId="9" fillId="2" borderId="9" xfId="0" applyFont="1" applyFill="1" applyBorder="1" applyAlignment="1">
      <alignment horizontal="center" vertical="center" wrapText="1"/>
    </xf>
    <xf numFmtId="4" fontId="6" fillId="2" borderId="1" xfId="1" applyNumberFormat="1" applyFont="1" applyFill="1" applyBorder="1" applyAlignment="1">
      <alignment vertical="center" wrapText="1"/>
    </xf>
    <xf numFmtId="4" fontId="6" fillId="2" borderId="1" xfId="1" applyNumberFormat="1" applyFont="1" applyFill="1" applyBorder="1" applyAlignment="1">
      <alignment horizontal="right" vertical="center" wrapText="1"/>
    </xf>
    <xf numFmtId="4" fontId="11" fillId="2" borderId="1" xfId="1" applyNumberFormat="1" applyFont="1" applyFill="1" applyBorder="1" applyAlignment="1">
      <alignment vertical="center" wrapText="1"/>
    </xf>
    <xf numFmtId="4" fontId="16" fillId="2" borderId="1" xfId="1" applyNumberFormat="1" applyFont="1" applyFill="1" applyBorder="1" applyAlignment="1">
      <alignment horizontal="right" vertical="center" wrapText="1"/>
    </xf>
    <xf numFmtId="4" fontId="16" fillId="2" borderId="1" xfId="1" applyNumberFormat="1" applyFont="1" applyFill="1" applyBorder="1" applyAlignment="1">
      <alignment vertical="center" wrapText="1"/>
    </xf>
    <xf numFmtId="4" fontId="9" fillId="2" borderId="1" xfId="1" applyNumberFormat="1" applyFont="1" applyFill="1" applyBorder="1" applyAlignment="1">
      <alignment horizontal="right" vertical="center" wrapText="1"/>
    </xf>
    <xf numFmtId="4" fontId="9" fillId="2" borderId="1" xfId="1" applyNumberFormat="1" applyFont="1" applyFill="1" applyBorder="1" applyAlignment="1">
      <alignment vertical="center" wrapText="1"/>
    </xf>
    <xf numFmtId="4" fontId="6" fillId="2" borderId="1" xfId="0" applyNumberFormat="1" applyFont="1" applyFill="1" applyBorder="1" applyAlignment="1">
      <alignment horizontal="right" vertical="center" wrapText="1"/>
    </xf>
    <xf numFmtId="0" fontId="19" fillId="2" borderId="1" xfId="0" applyFont="1" applyFill="1" applyBorder="1" applyAlignment="1">
      <alignment horizontal="center" vertical="center" wrapText="1"/>
    </xf>
    <xf numFmtId="4" fontId="19" fillId="2" borderId="1" xfId="0" applyNumberFormat="1" applyFont="1" applyFill="1" applyBorder="1" applyAlignment="1">
      <alignment horizontal="right" vertical="center" wrapText="1"/>
    </xf>
    <xf numFmtId="4" fontId="19" fillId="2" borderId="1" xfId="1" applyNumberFormat="1" applyFont="1" applyFill="1" applyBorder="1" applyAlignment="1">
      <alignment horizontal="right" vertical="center" wrapText="1"/>
    </xf>
    <xf numFmtId="4" fontId="1" fillId="2" borderId="1" xfId="0" applyNumberFormat="1" applyFont="1" applyFill="1" applyBorder="1" applyAlignment="1">
      <alignment vertical="center" wrapText="1"/>
    </xf>
    <xf numFmtId="0" fontId="0" fillId="2" borderId="0" xfId="0" applyFill="1"/>
    <xf numFmtId="4" fontId="9" fillId="2" borderId="1" xfId="0" applyNumberFormat="1" applyFont="1" applyFill="1" applyBorder="1" applyAlignment="1">
      <alignment horizontal="right" vertical="center" wrapText="1"/>
    </xf>
    <xf numFmtId="4" fontId="9" fillId="2" borderId="1" xfId="0" applyNumberFormat="1" applyFont="1" applyFill="1" applyBorder="1" applyAlignment="1">
      <alignment horizontal="right" wrapText="1"/>
    </xf>
    <xf numFmtId="4" fontId="16" fillId="2" borderId="1" xfId="1" applyNumberFormat="1" applyFont="1" applyFill="1" applyBorder="1" applyAlignment="1">
      <alignment horizontal="right" wrapText="1"/>
    </xf>
    <xf numFmtId="165" fontId="9" fillId="2" borderId="1" xfId="0" applyNumberFormat="1" applyFont="1" applyFill="1" applyBorder="1" applyAlignment="1">
      <alignment horizontal="right"/>
    </xf>
    <xf numFmtId="2" fontId="9" fillId="2" borderId="9" xfId="0" applyNumberFormat="1" applyFont="1" applyFill="1" applyBorder="1" applyAlignment="1">
      <alignment horizontal="right" wrapText="1"/>
    </xf>
    <xf numFmtId="165" fontId="9" fillId="2" borderId="1" xfId="0" applyNumberFormat="1" applyFont="1" applyFill="1" applyBorder="1" applyAlignment="1">
      <alignment horizontal="right" wrapText="1"/>
    </xf>
    <xf numFmtId="165" fontId="9" fillId="2" borderId="1" xfId="0" applyNumberFormat="1" applyFont="1" applyFill="1" applyBorder="1" applyAlignment="1">
      <alignment horizontal="center" vertical="top" wrapText="1"/>
    </xf>
    <xf numFmtId="0" fontId="7" fillId="2" borderId="0" xfId="0" applyFont="1" applyFill="1"/>
    <xf numFmtId="165" fontId="9" fillId="2" borderId="46" xfId="0" applyNumberFormat="1" applyFont="1" applyFill="1" applyBorder="1" applyAlignment="1">
      <alignment horizontal="right" wrapText="1"/>
    </xf>
    <xf numFmtId="4" fontId="16" fillId="2" borderId="46" xfId="1" applyNumberFormat="1" applyFont="1" applyFill="1" applyBorder="1" applyAlignment="1">
      <alignment horizontal="right" wrapText="1"/>
    </xf>
    <xf numFmtId="167" fontId="11" fillId="2" borderId="49" xfId="1" applyNumberFormat="1" applyFont="1" applyFill="1" applyBorder="1" applyAlignment="1">
      <alignment vertical="center" wrapText="1"/>
    </xf>
    <xf numFmtId="167" fontId="16" fillId="2" borderId="11" xfId="1" applyNumberFormat="1" applyFont="1" applyFill="1" applyBorder="1" applyAlignment="1">
      <alignment wrapText="1"/>
    </xf>
    <xf numFmtId="167" fontId="16" fillId="2" borderId="49" xfId="1" applyNumberFormat="1" applyFont="1" applyFill="1" applyBorder="1" applyAlignment="1">
      <alignment wrapText="1"/>
    </xf>
    <xf numFmtId="4" fontId="11" fillId="2" borderId="1" xfId="0" applyNumberFormat="1" applyFont="1" applyFill="1" applyBorder="1" applyAlignment="1">
      <alignment horizontal="right" vertical="center" wrapText="1"/>
    </xf>
    <xf numFmtId="4" fontId="6" fillId="2" borderId="1" xfId="0" applyNumberFormat="1" applyFont="1" applyFill="1" applyBorder="1" applyAlignment="1">
      <alignment horizontal="right" vertical="top" wrapText="1"/>
    </xf>
    <xf numFmtId="165" fontId="6" fillId="2" borderId="1" xfId="0" applyNumberFormat="1" applyFont="1" applyFill="1" applyBorder="1" applyAlignment="1">
      <alignment horizontal="center" vertical="top" wrapText="1"/>
    </xf>
    <xf numFmtId="4" fontId="19" fillId="2" borderId="0" xfId="0" applyNumberFormat="1" applyFont="1" applyFill="1"/>
    <xf numFmtId="4" fontId="9" fillId="2" borderId="1" xfId="0" applyNumberFormat="1" applyFont="1" applyFill="1" applyBorder="1" applyAlignment="1">
      <alignment horizontal="right" vertical="top" wrapText="1"/>
    </xf>
    <xf numFmtId="165" fontId="6" fillId="2" borderId="9" xfId="0" applyNumberFormat="1" applyFont="1" applyFill="1" applyBorder="1" applyAlignment="1">
      <alignment horizontal="center" vertical="top" wrapText="1"/>
    </xf>
    <xf numFmtId="0" fontId="1" fillId="7" borderId="5" xfId="0" applyFont="1" applyFill="1" applyBorder="1" applyAlignment="1">
      <alignment horizontal="center" vertical="center" wrapText="1"/>
    </xf>
    <xf numFmtId="0" fontId="0" fillId="7" borderId="5" xfId="0" applyFont="1" applyFill="1" applyBorder="1" applyAlignment="1">
      <alignment horizontal="center" vertical="center"/>
    </xf>
    <xf numFmtId="0" fontId="1" fillId="0" borderId="4" xfId="0" applyFont="1" applyFill="1" applyBorder="1" applyAlignment="1">
      <alignment horizontal="center" vertical="center" wrapText="1"/>
    </xf>
    <xf numFmtId="0" fontId="6" fillId="0" borderId="9" xfId="0" applyFont="1" applyFill="1" applyBorder="1" applyAlignment="1">
      <alignment horizontal="center" vertical="center" wrapText="1"/>
    </xf>
    <xf numFmtId="165" fontId="9" fillId="7" borderId="9" xfId="0" applyNumberFormat="1" applyFont="1" applyFill="1" applyBorder="1" applyAlignment="1">
      <alignment horizontal="center" vertical="top" wrapText="1"/>
    </xf>
    <xf numFmtId="0" fontId="182" fillId="0" borderId="0" xfId="23876"/>
    <xf numFmtId="0" fontId="10" fillId="0" borderId="0" xfId="0" applyFont="1" applyFill="1"/>
    <xf numFmtId="0" fontId="7" fillId="0" borderId="0" xfId="0" applyFont="1" applyFill="1"/>
    <xf numFmtId="4" fontId="8" fillId="2" borderId="0" xfId="0" applyNumberFormat="1" applyFont="1" applyFill="1"/>
    <xf numFmtId="0" fontId="186" fillId="142" borderId="0" xfId="23902" applyFont="1" applyFill="1"/>
    <xf numFmtId="0" fontId="195" fillId="142" borderId="46" xfId="23902" applyFont="1" applyFill="1" applyBorder="1" applyAlignment="1">
      <alignment vertical="center" wrapText="1"/>
    </xf>
    <xf numFmtId="165" fontId="186" fillId="142" borderId="0" xfId="23902" applyNumberFormat="1" applyFont="1" applyFill="1"/>
    <xf numFmtId="0" fontId="195" fillId="142" borderId="46" xfId="23902" applyFont="1" applyFill="1" applyBorder="1"/>
    <xf numFmtId="0" fontId="195" fillId="0" borderId="46" xfId="23902" applyFont="1" applyBorder="1"/>
    <xf numFmtId="0" fontId="186" fillId="0" borderId="0" xfId="23902" applyFont="1"/>
    <xf numFmtId="0" fontId="188" fillId="142" borderId="0" xfId="23902" applyFont="1" applyFill="1"/>
    <xf numFmtId="165" fontId="186" fillId="0" borderId="0" xfId="23902" applyNumberFormat="1" applyFont="1"/>
    <xf numFmtId="0" fontId="195" fillId="142" borderId="0" xfId="23902" applyFont="1" applyFill="1" applyAlignment="1">
      <alignment vertical="center"/>
    </xf>
    <xf numFmtId="0" fontId="195" fillId="142" borderId="0" xfId="23902" applyFont="1" applyFill="1" applyAlignment="1">
      <alignment horizontal="left" vertical="center"/>
    </xf>
    <xf numFmtId="0" fontId="195" fillId="142" borderId="0" xfId="23902" applyFont="1" applyFill="1" applyAlignment="1">
      <alignment horizontal="center" vertical="center"/>
    </xf>
    <xf numFmtId="0" fontId="195" fillId="142" borderId="0" xfId="23902" applyFont="1" applyFill="1"/>
    <xf numFmtId="0" fontId="195" fillId="0" borderId="0" xfId="23902" applyFont="1" applyAlignment="1">
      <alignment horizontal="center" vertical="center"/>
    </xf>
    <xf numFmtId="0" fontId="6" fillId="149" borderId="48" xfId="0" applyFont="1" applyFill="1" applyBorder="1" applyAlignment="1">
      <alignment horizontal="center" vertical="center" wrapText="1"/>
    </xf>
    <xf numFmtId="0" fontId="21" fillId="2" borderId="1" xfId="0" applyFont="1" applyFill="1" applyBorder="1" applyAlignment="1">
      <alignment horizontal="center" vertical="center" wrapText="1"/>
    </xf>
    <xf numFmtId="0" fontId="179" fillId="2" borderId="0" xfId="23874" applyFill="1"/>
    <xf numFmtId="0" fontId="197" fillId="2" borderId="0" xfId="23874" applyFont="1" applyFill="1" applyAlignment="1">
      <alignment horizontal="center"/>
    </xf>
    <xf numFmtId="0" fontId="198" fillId="2" borderId="0" xfId="23874" applyFont="1" applyFill="1" applyAlignment="1">
      <alignment horizontal="center"/>
    </xf>
    <xf numFmtId="0" fontId="200" fillId="2" borderId="9" xfId="23874" applyFont="1" applyFill="1" applyBorder="1" applyAlignment="1">
      <alignment horizontal="center" vertical="center" wrapText="1"/>
    </xf>
    <xf numFmtId="0" fontId="16" fillId="2" borderId="9" xfId="23874" applyFont="1" applyFill="1" applyBorder="1" applyAlignment="1">
      <alignment horizontal="center" vertical="center" wrapText="1"/>
    </xf>
    <xf numFmtId="0" fontId="200" fillId="2" borderId="1" xfId="23874" applyFont="1" applyFill="1" applyBorder="1" applyAlignment="1">
      <alignment horizontal="center" vertical="center" wrapText="1"/>
    </xf>
    <xf numFmtId="0" fontId="201" fillId="2" borderId="6" xfId="23874" applyFont="1" applyFill="1" applyBorder="1" applyAlignment="1">
      <alignment horizontal="center" vertical="center" wrapText="1"/>
    </xf>
    <xf numFmtId="0" fontId="201" fillId="2" borderId="6" xfId="23874" applyFont="1" applyFill="1" applyBorder="1" applyAlignment="1">
      <alignment horizontal="center" vertical="center"/>
    </xf>
    <xf numFmtId="0" fontId="201" fillId="2" borderId="47" xfId="23874" applyFont="1" applyFill="1" applyBorder="1" applyAlignment="1">
      <alignment horizontal="center" vertical="center" wrapText="1"/>
    </xf>
    <xf numFmtId="0" fontId="201" fillId="2" borderId="5" xfId="23874" applyFont="1" applyFill="1" applyBorder="1" applyAlignment="1">
      <alignment horizontal="center" vertical="center" wrapText="1"/>
    </xf>
    <xf numFmtId="0" fontId="201" fillId="2" borderId="1" xfId="23874" applyFont="1" applyFill="1" applyBorder="1" applyAlignment="1">
      <alignment horizontal="center" vertical="center" wrapText="1"/>
    </xf>
    <xf numFmtId="43" fontId="179" fillId="2" borderId="0" xfId="23874" applyNumberFormat="1" applyFill="1"/>
    <xf numFmtId="164" fontId="202" fillId="150" borderId="1" xfId="23874" applyNumberFormat="1" applyFont="1" applyFill="1" applyBorder="1" applyAlignment="1">
      <alignment horizontal="center" vertical="center" wrapText="1"/>
    </xf>
    <xf numFmtId="168" fontId="202" fillId="150" borderId="1" xfId="23875" applyFont="1" applyFill="1" applyBorder="1" applyAlignment="1">
      <alignment vertical="center"/>
    </xf>
    <xf numFmtId="164" fontId="202" fillId="150" borderId="1" xfId="23874" applyNumberFormat="1" applyFont="1" applyFill="1" applyBorder="1" applyAlignment="1">
      <alignment horizontal="right" vertical="center"/>
    </xf>
    <xf numFmtId="168" fontId="4" fillId="2" borderId="1" xfId="23875" applyFont="1" applyFill="1" applyBorder="1" applyAlignment="1">
      <alignment horizontal="center" vertical="center"/>
    </xf>
    <xf numFmtId="0" fontId="200" fillId="2" borderId="1" xfId="23874" applyFont="1" applyFill="1" applyBorder="1" applyAlignment="1">
      <alignment horizontal="right" vertical="center"/>
    </xf>
    <xf numFmtId="0" fontId="203" fillId="2" borderId="1" xfId="23874" applyFont="1" applyFill="1" applyBorder="1" applyAlignment="1">
      <alignment vertical="center" wrapText="1"/>
    </xf>
    <xf numFmtId="168" fontId="200" fillId="2" borderId="47" xfId="23875" applyFont="1" applyFill="1" applyBorder="1" applyAlignment="1">
      <alignment vertical="center"/>
    </xf>
    <xf numFmtId="168" fontId="202" fillId="2" borderId="1" xfId="23875" applyFont="1" applyFill="1" applyBorder="1" applyAlignment="1">
      <alignment vertical="center"/>
    </xf>
    <xf numFmtId="164" fontId="200" fillId="2" borderId="1" xfId="23874" applyNumberFormat="1" applyFont="1" applyFill="1" applyBorder="1" applyAlignment="1">
      <alignment horizontal="right" vertical="center"/>
    </xf>
    <xf numFmtId="0" fontId="4" fillId="2" borderId="1" xfId="23874" applyFont="1" applyFill="1" applyBorder="1" applyAlignment="1">
      <alignment vertical="center" wrapText="1"/>
    </xf>
    <xf numFmtId="0" fontId="204" fillId="2" borderId="1" xfId="23874" applyFont="1" applyFill="1" applyBorder="1" applyAlignment="1">
      <alignment horizontal="left" vertical="center" wrapText="1"/>
    </xf>
    <xf numFmtId="168" fontId="21" fillId="2" borderId="1" xfId="23875" applyFont="1" applyFill="1" applyBorder="1" applyAlignment="1">
      <alignment vertical="center"/>
    </xf>
    <xf numFmtId="164" fontId="21" fillId="2" borderId="1" xfId="23874" applyNumberFormat="1" applyFont="1" applyFill="1" applyBorder="1" applyAlignment="1">
      <alignment horizontal="right" vertical="center"/>
    </xf>
    <xf numFmtId="0" fontId="200" fillId="2" borderId="10" xfId="23874" applyFont="1" applyFill="1" applyBorder="1" applyAlignment="1">
      <alignment horizontal="right" vertical="center"/>
    </xf>
    <xf numFmtId="0" fontId="204" fillId="2" borderId="11" xfId="23874" applyFont="1" applyFill="1" applyBorder="1" applyAlignment="1">
      <alignment horizontal="left" vertical="center" wrapText="1"/>
    </xf>
    <xf numFmtId="164" fontId="200" fillId="151" borderId="1" xfId="23874" applyNumberFormat="1" applyFont="1" applyFill="1" applyBorder="1" applyAlignment="1">
      <alignment horizontal="center" vertical="center" wrapText="1"/>
    </xf>
    <xf numFmtId="168" fontId="202" fillId="151" borderId="1" xfId="23875" applyFont="1" applyFill="1" applyBorder="1" applyAlignment="1">
      <alignment vertical="center"/>
    </xf>
    <xf numFmtId="164" fontId="200" fillId="151" borderId="1" xfId="23874" applyNumberFormat="1" applyFont="1" applyFill="1" applyBorder="1" applyAlignment="1">
      <alignment horizontal="right" vertical="center"/>
    </xf>
    <xf numFmtId="0" fontId="4" fillId="151" borderId="1" xfId="23874" applyFont="1" applyFill="1" applyBorder="1"/>
    <xf numFmtId="0" fontId="14" fillId="2" borderId="0" xfId="23874" applyFont="1" applyFill="1"/>
    <xf numFmtId="0" fontId="197" fillId="151" borderId="51" xfId="23874" applyFont="1" applyFill="1" applyBorder="1" applyAlignment="1">
      <alignment horizontal="center" vertical="center" wrapText="1"/>
    </xf>
    <xf numFmtId="0" fontId="204" fillId="151" borderId="1" xfId="23874" applyFont="1" applyFill="1" applyBorder="1" applyAlignment="1">
      <alignment horizontal="left" vertical="center" wrapText="1"/>
    </xf>
    <xf numFmtId="164" fontId="21" fillId="151" borderId="1" xfId="23874" applyNumberFormat="1" applyFont="1" applyFill="1" applyBorder="1" applyAlignment="1">
      <alignment horizontal="center" vertical="center" wrapText="1"/>
    </xf>
    <xf numFmtId="168" fontId="21" fillId="151" borderId="1" xfId="23875" applyFont="1" applyFill="1" applyBorder="1" applyAlignment="1">
      <alignment vertical="center"/>
    </xf>
    <xf numFmtId="164" fontId="21" fillId="151" borderId="1" xfId="23874" applyNumberFormat="1" applyFont="1" applyFill="1" applyBorder="1" applyAlignment="1">
      <alignment horizontal="right" vertical="center"/>
    </xf>
    <xf numFmtId="0" fontId="197" fillId="2" borderId="3" xfId="23874" applyFont="1" applyFill="1" applyBorder="1" applyAlignment="1">
      <alignment horizontal="center" vertical="center" wrapText="1"/>
    </xf>
    <xf numFmtId="0" fontId="205" fillId="4" borderId="1" xfId="23874" applyNumberFormat="1" applyFont="1" applyFill="1" applyBorder="1" applyAlignment="1">
      <alignment horizontal="left" vertical="center" wrapText="1"/>
    </xf>
    <xf numFmtId="164" fontId="200" fillId="4" borderId="1" xfId="23874" applyNumberFormat="1" applyFont="1" applyFill="1" applyBorder="1" applyAlignment="1">
      <alignment horizontal="center" vertical="center" wrapText="1"/>
    </xf>
    <xf numFmtId="168" fontId="202" fillId="4" borderId="1" xfId="23875" applyFont="1" applyFill="1" applyBorder="1" applyAlignment="1">
      <alignment vertical="center"/>
    </xf>
    <xf numFmtId="0" fontId="4" fillId="2" borderId="1" xfId="23874" applyFont="1" applyFill="1" applyBorder="1"/>
    <xf numFmtId="0" fontId="204" fillId="4" borderId="1" xfId="23874" applyFont="1" applyFill="1" applyBorder="1" applyAlignment="1">
      <alignment horizontal="left" vertical="center" wrapText="1"/>
    </xf>
    <xf numFmtId="0" fontId="197" fillId="2" borderId="6" xfId="23874" applyFont="1" applyFill="1" applyBorder="1" applyAlignment="1">
      <alignment horizontal="right" vertical="center" wrapText="1"/>
    </xf>
    <xf numFmtId="0" fontId="205" fillId="2" borderId="6" xfId="23874" applyFont="1" applyFill="1" applyBorder="1" applyAlignment="1">
      <alignment horizontal="left" vertical="center" wrapText="1"/>
    </xf>
    <xf numFmtId="164" fontId="200" fillId="2" borderId="5" xfId="23874" applyNumberFormat="1" applyFont="1" applyFill="1" applyBorder="1" applyAlignment="1">
      <alignment horizontal="center" vertical="center" wrapText="1"/>
    </xf>
    <xf numFmtId="168" fontId="202" fillId="2" borderId="47" xfId="23875" applyFont="1" applyFill="1" applyBorder="1" applyAlignment="1">
      <alignment vertical="center"/>
    </xf>
    <xf numFmtId="164" fontId="200" fillId="2" borderId="1" xfId="23874" applyNumberFormat="1" applyFont="1" applyFill="1" applyBorder="1" applyAlignment="1">
      <alignment horizontal="center" vertical="center" wrapText="1"/>
    </xf>
    <xf numFmtId="49" fontId="200" fillId="2" borderId="1" xfId="23874" applyNumberFormat="1" applyFont="1" applyFill="1" applyBorder="1" applyAlignment="1">
      <alignment horizontal="right" vertical="center"/>
    </xf>
    <xf numFmtId="0" fontId="206" fillId="2" borderId="47" xfId="23874" applyNumberFormat="1" applyFont="1" applyFill="1" applyBorder="1" applyAlignment="1">
      <alignment horizontal="left" vertical="top" wrapText="1"/>
    </xf>
    <xf numFmtId="164" fontId="21" fillId="2" borderId="47" xfId="23874" applyNumberFormat="1" applyFont="1" applyFill="1" applyBorder="1" applyAlignment="1">
      <alignment horizontal="center" vertical="center" wrapText="1"/>
    </xf>
    <xf numFmtId="168" fontId="207" fillId="2" borderId="1" xfId="23875" applyFont="1" applyFill="1" applyBorder="1" applyAlignment="1">
      <alignment vertical="center"/>
    </xf>
    <xf numFmtId="0" fontId="4" fillId="2" borderId="6" xfId="23874" applyFont="1" applyFill="1" applyBorder="1" applyAlignment="1">
      <alignment vertical="center"/>
    </xf>
    <xf numFmtId="0" fontId="4" fillId="2" borderId="1" xfId="23874" applyFont="1" applyFill="1" applyBorder="1" applyAlignment="1">
      <alignment vertical="center"/>
    </xf>
    <xf numFmtId="0" fontId="206" fillId="2" borderId="1" xfId="23874" applyNumberFormat="1" applyFont="1" applyFill="1" applyBorder="1" applyAlignment="1">
      <alignment horizontal="left" vertical="top" wrapText="1"/>
    </xf>
    <xf numFmtId="164" fontId="21" fillId="2" borderId="47" xfId="23874" applyNumberFormat="1" applyFont="1" applyFill="1" applyBorder="1" applyAlignment="1">
      <alignment horizontal="right" vertical="center"/>
    </xf>
    <xf numFmtId="0" fontId="203" fillId="2" borderId="52" xfId="23874" applyFont="1" applyFill="1" applyBorder="1" applyAlignment="1">
      <alignment horizontal="left" vertical="center" wrapText="1"/>
    </xf>
    <xf numFmtId="0" fontId="208" fillId="2" borderId="52" xfId="23874" applyFont="1" applyFill="1" applyBorder="1" applyAlignment="1">
      <alignment horizontal="left" vertical="center" wrapText="1"/>
    </xf>
    <xf numFmtId="0" fontId="206" fillId="2" borderId="1" xfId="23874" applyFont="1" applyFill="1" applyBorder="1" applyAlignment="1">
      <alignment horizontal="left" vertical="center" wrapText="1"/>
    </xf>
    <xf numFmtId="168" fontId="21" fillId="2" borderId="47" xfId="23875" applyFont="1" applyFill="1" applyBorder="1" applyAlignment="1">
      <alignment vertical="center"/>
    </xf>
    <xf numFmtId="0" fontId="206" fillId="2" borderId="6" xfId="23874" applyFont="1" applyFill="1" applyBorder="1" applyAlignment="1">
      <alignment horizontal="left" vertical="center" wrapText="1"/>
    </xf>
    <xf numFmtId="0" fontId="206" fillId="2" borderId="53" xfId="23874" applyFont="1" applyFill="1" applyBorder="1" applyAlignment="1">
      <alignment horizontal="left" vertical="center" wrapText="1"/>
    </xf>
    <xf numFmtId="0" fontId="203" fillId="2" borderId="47" xfId="23874" applyNumberFormat="1" applyFont="1" applyFill="1" applyBorder="1" applyAlignment="1">
      <alignment horizontal="left" vertical="top" wrapText="1"/>
    </xf>
    <xf numFmtId="164" fontId="200" fillId="2" borderId="47" xfId="23874" applyNumberFormat="1" applyFont="1" applyFill="1" applyBorder="1" applyAlignment="1">
      <alignment horizontal="center" vertical="center" wrapText="1"/>
    </xf>
    <xf numFmtId="0" fontId="208" fillId="2" borderId="1" xfId="23874" applyFont="1" applyFill="1" applyBorder="1" applyAlignment="1">
      <alignment vertical="center"/>
    </xf>
    <xf numFmtId="0" fontId="205" fillId="4" borderId="47" xfId="23874" applyNumberFormat="1" applyFont="1" applyFill="1" applyBorder="1" applyAlignment="1">
      <alignment horizontal="left" vertical="center" wrapText="1"/>
    </xf>
    <xf numFmtId="164" fontId="200" fillId="4" borderId="47" xfId="23874" applyNumberFormat="1" applyFont="1" applyFill="1" applyBorder="1" applyAlignment="1">
      <alignment horizontal="center" vertical="center" wrapText="1"/>
    </xf>
    <xf numFmtId="0" fontId="4" fillId="4" borderId="1" xfId="23874" applyFont="1" applyFill="1" applyBorder="1" applyAlignment="1">
      <alignment vertical="center"/>
    </xf>
    <xf numFmtId="0" fontId="209" fillId="4" borderId="1" xfId="23874" applyFont="1" applyFill="1" applyBorder="1" applyAlignment="1">
      <alignment horizontal="left" vertical="center" wrapText="1"/>
    </xf>
    <xf numFmtId="168" fontId="200" fillId="4" borderId="1" xfId="23875" applyFont="1" applyFill="1" applyBorder="1" applyAlignment="1">
      <alignment vertical="center" wrapText="1"/>
    </xf>
    <xf numFmtId="164" fontId="200" fillId="4" borderId="1" xfId="23874" applyNumberFormat="1" applyFont="1" applyFill="1" applyBorder="1" applyAlignment="1">
      <alignment horizontal="right" vertical="center"/>
    </xf>
    <xf numFmtId="0" fontId="4" fillId="4" borderId="1" xfId="23874" applyFont="1" applyFill="1" applyBorder="1" applyAlignment="1">
      <alignment horizontal="left" vertical="center"/>
    </xf>
    <xf numFmtId="168" fontId="207" fillId="4" borderId="1" xfId="23875" applyFont="1" applyFill="1" applyBorder="1" applyAlignment="1">
      <alignment vertical="center"/>
    </xf>
    <xf numFmtId="49" fontId="205" fillId="2" borderId="1" xfId="23874" applyNumberFormat="1" applyFont="1" applyFill="1" applyBorder="1" applyAlignment="1">
      <alignment horizontal="right" vertical="center"/>
    </xf>
    <xf numFmtId="0" fontId="205" fillId="2" borderId="1" xfId="23874" applyFont="1" applyFill="1" applyBorder="1" applyAlignment="1">
      <alignment horizontal="left" vertical="center" wrapText="1"/>
    </xf>
    <xf numFmtId="49" fontId="210" fillId="2" borderId="6" xfId="23874" applyNumberFormat="1" applyFont="1" applyFill="1" applyBorder="1" applyAlignment="1">
      <alignment horizontal="right" vertical="center"/>
    </xf>
    <xf numFmtId="0" fontId="210" fillId="2" borderId="11" xfId="23874" applyFont="1" applyFill="1" applyBorder="1" applyAlignment="1">
      <alignment horizontal="left" vertical="center" wrapText="1"/>
    </xf>
    <xf numFmtId="0" fontId="211" fillId="2" borderId="11" xfId="23874" applyFont="1" applyFill="1" applyBorder="1" applyAlignment="1">
      <alignment horizontal="left" vertical="center" wrapText="1"/>
    </xf>
    <xf numFmtId="168" fontId="21" fillId="2" borderId="1" xfId="23875" applyFont="1" applyFill="1" applyBorder="1" applyAlignment="1">
      <alignment vertical="center" wrapText="1"/>
    </xf>
    <xf numFmtId="0" fontId="210" fillId="2" borderId="1" xfId="23874" applyFont="1" applyFill="1" applyBorder="1" applyAlignment="1">
      <alignment horizontal="left" vertical="center" wrapText="1"/>
    </xf>
    <xf numFmtId="168" fontId="200" fillId="2" borderId="1" xfId="23875" applyFont="1" applyFill="1" applyBorder="1" applyAlignment="1">
      <alignment vertical="center" wrapText="1"/>
    </xf>
    <xf numFmtId="0" fontId="206" fillId="2" borderId="11" xfId="23874" applyFont="1" applyFill="1" applyBorder="1" applyAlignment="1">
      <alignment horizontal="left" vertical="center" wrapText="1"/>
    </xf>
    <xf numFmtId="0" fontId="206" fillId="2" borderId="54" xfId="23874" applyFont="1" applyFill="1" applyBorder="1" applyAlignment="1">
      <alignment horizontal="left" vertical="center" wrapText="1"/>
    </xf>
    <xf numFmtId="0" fontId="4" fillId="2" borderId="1" xfId="23874" applyFont="1" applyFill="1" applyBorder="1" applyAlignment="1">
      <alignment wrapText="1"/>
    </xf>
    <xf numFmtId="168" fontId="211" fillId="2" borderId="1" xfId="23875" applyFont="1" applyFill="1" applyBorder="1" applyAlignment="1">
      <alignment vertical="center" wrapText="1"/>
    </xf>
    <xf numFmtId="0" fontId="209" fillId="2" borderId="54" xfId="23874" applyFont="1" applyFill="1" applyBorder="1" applyAlignment="1">
      <alignment horizontal="left" vertical="center" wrapText="1"/>
    </xf>
    <xf numFmtId="0" fontId="204" fillId="2" borderId="54" xfId="23874" applyFont="1" applyFill="1" applyBorder="1" applyAlignment="1">
      <alignment horizontal="left" vertical="center" wrapText="1"/>
    </xf>
    <xf numFmtId="168" fontId="21" fillId="2" borderId="47" xfId="23875" applyFont="1" applyFill="1" applyBorder="1" applyAlignment="1">
      <alignment vertical="center" wrapText="1"/>
    </xf>
    <xf numFmtId="168" fontId="202" fillId="2" borderId="6" xfId="23875" applyFont="1" applyFill="1" applyBorder="1" applyAlignment="1">
      <alignment vertical="center"/>
    </xf>
    <xf numFmtId="164" fontId="200" fillId="2" borderId="6" xfId="23874" applyNumberFormat="1" applyFont="1" applyFill="1" applyBorder="1" applyAlignment="1">
      <alignment horizontal="right" vertical="center"/>
    </xf>
    <xf numFmtId="0" fontId="4" fillId="2" borderId="6" xfId="23874" applyFont="1" applyFill="1" applyBorder="1"/>
    <xf numFmtId="164" fontId="211" fillId="2" borderId="1" xfId="23874" applyNumberFormat="1" applyFont="1" applyFill="1" applyBorder="1" applyAlignment="1">
      <alignment horizontal="right" vertical="center"/>
    </xf>
    <xf numFmtId="49" fontId="200" fillId="2" borderId="47" xfId="23874" applyNumberFormat="1" applyFont="1" applyFill="1" applyBorder="1" applyAlignment="1">
      <alignment horizontal="right" vertical="center"/>
    </xf>
    <xf numFmtId="49" fontId="200" fillId="2" borderId="5" xfId="23874" applyNumberFormat="1" applyFont="1" applyFill="1" applyBorder="1" applyAlignment="1">
      <alignment vertical="center"/>
    </xf>
    <xf numFmtId="168" fontId="211" fillId="2" borderId="1" xfId="23875" applyFont="1" applyFill="1" applyBorder="1" applyAlignment="1">
      <alignment horizontal="right" vertical="center" wrapText="1"/>
    </xf>
    <xf numFmtId="168" fontId="211" fillId="2" borderId="1" xfId="23875" applyFont="1" applyFill="1" applyBorder="1" applyAlignment="1">
      <alignment vertical="center"/>
    </xf>
    <xf numFmtId="168" fontId="210" fillId="2" borderId="47" xfId="23875" applyFont="1" applyFill="1" applyBorder="1" applyAlignment="1">
      <alignment vertical="center"/>
    </xf>
    <xf numFmtId="164" fontId="210" fillId="2" borderId="1" xfId="23874" applyNumberFormat="1" applyFont="1" applyFill="1" applyBorder="1" applyAlignment="1">
      <alignment horizontal="right" vertical="center"/>
    </xf>
    <xf numFmtId="0" fontId="212" fillId="2" borderId="11" xfId="23874" applyFont="1" applyFill="1" applyBorder="1" applyAlignment="1">
      <alignment horizontal="left" vertical="center" wrapText="1"/>
    </xf>
    <xf numFmtId="0" fontId="206" fillId="2" borderId="52" xfId="23874" applyFont="1" applyFill="1" applyBorder="1" applyAlignment="1">
      <alignment horizontal="left" vertical="center" wrapText="1"/>
    </xf>
    <xf numFmtId="168" fontId="211" fillId="2" borderId="47" xfId="23875" applyFont="1" applyFill="1" applyBorder="1" applyAlignment="1">
      <alignment vertical="center"/>
    </xf>
    <xf numFmtId="168" fontId="213" fillId="2" borderId="1" xfId="23875" applyFont="1" applyFill="1" applyBorder="1" applyAlignment="1">
      <alignment vertical="center"/>
    </xf>
    <xf numFmtId="0" fontId="179" fillId="2" borderId="9" xfId="23874" applyFill="1" applyBorder="1"/>
    <xf numFmtId="0" fontId="203" fillId="2" borderId="11" xfId="23874" applyFont="1" applyFill="1" applyBorder="1" applyAlignment="1">
      <alignment horizontal="left" vertical="center" wrapText="1"/>
    </xf>
    <xf numFmtId="168" fontId="200" fillId="2" borderId="47" xfId="23875" applyFont="1" applyFill="1" applyBorder="1" applyAlignment="1">
      <alignment vertical="center" wrapText="1"/>
    </xf>
    <xf numFmtId="0" fontId="208" fillId="2" borderId="1" xfId="23874" applyFont="1" applyFill="1" applyBorder="1" applyAlignment="1">
      <alignment horizontal="center" vertical="center"/>
    </xf>
    <xf numFmtId="168" fontId="211" fillId="2" borderId="47" xfId="23875" applyFont="1" applyFill="1" applyBorder="1" applyAlignment="1">
      <alignment vertical="center" wrapText="1"/>
    </xf>
    <xf numFmtId="168" fontId="214" fillId="2" borderId="1" xfId="23875" applyFont="1" applyFill="1" applyBorder="1" applyAlignment="1">
      <alignment vertical="center"/>
    </xf>
    <xf numFmtId="0" fontId="204" fillId="2" borderId="1" xfId="23874" applyFont="1" applyFill="1" applyBorder="1" applyAlignment="1">
      <alignment horizontal="center" vertical="center"/>
    </xf>
    <xf numFmtId="49" fontId="200" fillId="4" borderId="1" xfId="23874" applyNumberFormat="1" applyFont="1" applyFill="1" applyBorder="1" applyAlignment="1">
      <alignment horizontal="right" vertical="center"/>
    </xf>
    <xf numFmtId="0" fontId="205" fillId="4" borderId="1" xfId="23874" applyFont="1" applyFill="1" applyBorder="1" applyAlignment="1">
      <alignment horizontal="left" vertical="center" wrapText="1"/>
    </xf>
    <xf numFmtId="168" fontId="214" fillId="4" borderId="1" xfId="23875" applyFont="1" applyFill="1" applyBorder="1" applyAlignment="1">
      <alignment vertical="center"/>
    </xf>
    <xf numFmtId="0" fontId="209" fillId="4" borderId="11" xfId="23874" applyFont="1" applyFill="1" applyBorder="1" applyAlignment="1">
      <alignment horizontal="left" vertical="center" wrapText="1"/>
    </xf>
    <xf numFmtId="168" fontId="200" fillId="4" borderId="47" xfId="23875" applyFont="1" applyFill="1" applyBorder="1" applyAlignment="1">
      <alignment vertical="center" wrapText="1"/>
    </xf>
    <xf numFmtId="0" fontId="203" fillId="4" borderId="52" xfId="23874" applyFont="1" applyFill="1" applyBorder="1" applyAlignment="1">
      <alignment horizontal="left" vertical="center" wrapText="1"/>
    </xf>
    <xf numFmtId="168" fontId="200" fillId="4" borderId="1" xfId="23875" applyFont="1" applyFill="1" applyBorder="1" applyAlignment="1">
      <alignment vertical="center"/>
    </xf>
    <xf numFmtId="0" fontId="204" fillId="4" borderId="52" xfId="23874" applyFont="1" applyFill="1" applyBorder="1" applyAlignment="1">
      <alignment horizontal="left" vertical="center" wrapText="1"/>
    </xf>
    <xf numFmtId="168" fontId="21" fillId="4" borderId="1" xfId="23875" applyFont="1" applyFill="1" applyBorder="1" applyAlignment="1">
      <alignment vertical="center"/>
    </xf>
    <xf numFmtId="164" fontId="21" fillId="4" borderId="1" xfId="23874" applyNumberFormat="1" applyFont="1" applyFill="1" applyBorder="1" applyAlignment="1">
      <alignment horizontal="right" vertical="center"/>
    </xf>
    <xf numFmtId="4" fontId="215" fillId="4" borderId="1" xfId="1719" applyNumberFormat="1" applyFont="1" applyFill="1" applyBorder="1" applyProtection="1">
      <alignment horizontal="right" vertical="top" shrinkToFit="1"/>
    </xf>
    <xf numFmtId="164" fontId="21" fillId="4" borderId="47" xfId="23874" applyNumberFormat="1" applyFont="1" applyFill="1" applyBorder="1" applyAlignment="1">
      <alignment horizontal="right" vertical="center"/>
    </xf>
    <xf numFmtId="4" fontId="215" fillId="4" borderId="22" xfId="1719" applyNumberFormat="1" applyFont="1" applyFill="1" applyProtection="1">
      <alignment horizontal="right" vertical="top" shrinkToFit="1"/>
    </xf>
    <xf numFmtId="49" fontId="200" fillId="2" borderId="6" xfId="23874" applyNumberFormat="1" applyFont="1" applyFill="1" applyBorder="1" applyAlignment="1">
      <alignment horizontal="right" vertical="center"/>
    </xf>
    <xf numFmtId="0" fontId="205" fillId="2" borderId="11" xfId="23874" applyFont="1" applyFill="1" applyBorder="1" applyAlignment="1">
      <alignment horizontal="left" vertical="center" wrapText="1"/>
    </xf>
    <xf numFmtId="0" fontId="205" fillId="2" borderId="6" xfId="23874" applyFont="1" applyFill="1" applyBorder="1" applyAlignment="1">
      <alignment horizontal="right" vertical="center"/>
    </xf>
    <xf numFmtId="0" fontId="206" fillId="2" borderId="1" xfId="23874" applyFont="1" applyFill="1" applyBorder="1" applyAlignment="1">
      <alignment vertical="center" wrapText="1"/>
    </xf>
    <xf numFmtId="0" fontId="4" fillId="2" borderId="1" xfId="23874" applyFont="1" applyFill="1" applyBorder="1" applyAlignment="1">
      <alignment horizontal="center" vertical="center"/>
    </xf>
    <xf numFmtId="0" fontId="206" fillId="2" borderId="47" xfId="23874" applyFont="1" applyFill="1" applyBorder="1" applyAlignment="1">
      <alignment vertical="center" wrapText="1"/>
    </xf>
    <xf numFmtId="0" fontId="200" fillId="2" borderId="6" xfId="23874" applyFont="1" applyFill="1" applyBorder="1" applyAlignment="1">
      <alignment horizontal="right" vertical="center"/>
    </xf>
    <xf numFmtId="49" fontId="4" fillId="2" borderId="6" xfId="23874" applyNumberFormat="1" applyFont="1" applyFill="1" applyBorder="1" applyAlignment="1">
      <alignment horizontal="right" vertical="center"/>
    </xf>
    <xf numFmtId="0" fontId="209" fillId="4" borderId="1" xfId="23874" applyFont="1" applyFill="1" applyBorder="1" applyAlignment="1">
      <alignment vertical="center" wrapText="1"/>
    </xf>
    <xf numFmtId="164" fontId="21" fillId="4" borderId="47" xfId="23874" applyNumberFormat="1" applyFont="1" applyFill="1" applyBorder="1" applyAlignment="1">
      <alignment horizontal="center" vertical="center" wrapText="1"/>
    </xf>
    <xf numFmtId="0" fontId="4" fillId="2" borderId="6" xfId="23874" applyFont="1" applyFill="1" applyBorder="1" applyAlignment="1">
      <alignment horizontal="center" vertical="center" wrapText="1"/>
    </xf>
    <xf numFmtId="0" fontId="212" fillId="2" borderId="6" xfId="23874" applyFont="1" applyFill="1" applyBorder="1" applyAlignment="1">
      <alignment horizontal="center" vertical="center" wrapText="1"/>
    </xf>
    <xf numFmtId="49" fontId="197" fillId="2" borderId="6" xfId="23874" applyNumberFormat="1" applyFont="1" applyFill="1" applyBorder="1" applyAlignment="1">
      <alignment horizontal="right" vertical="center"/>
    </xf>
    <xf numFmtId="0" fontId="205" fillId="2" borderId="1" xfId="23874" applyFont="1" applyFill="1" applyBorder="1" applyAlignment="1">
      <alignment vertical="center" wrapText="1"/>
    </xf>
    <xf numFmtId="0" fontId="205" fillId="2" borderId="1" xfId="23874" applyFont="1" applyFill="1" applyBorder="1" applyAlignment="1">
      <alignment horizontal="right" vertical="center"/>
    </xf>
    <xf numFmtId="0" fontId="210" fillId="2" borderId="1" xfId="23874" applyFont="1" applyFill="1" applyBorder="1" applyAlignment="1">
      <alignment horizontal="right" vertical="center"/>
    </xf>
    <xf numFmtId="164" fontId="21" fillId="2" borderId="1" xfId="23874" applyNumberFormat="1" applyFont="1" applyFill="1" applyBorder="1" applyAlignment="1">
      <alignment horizontal="center" vertical="center" wrapText="1"/>
    </xf>
    <xf numFmtId="0" fontId="4" fillId="2" borderId="0" xfId="23874" applyFont="1" applyFill="1" applyAlignment="1">
      <alignment wrapText="1"/>
    </xf>
    <xf numFmtId="4" fontId="4" fillId="2" borderId="0" xfId="23874" applyNumberFormat="1" applyFont="1" applyFill="1" applyAlignment="1">
      <alignment vertical="center"/>
    </xf>
    <xf numFmtId="0" fontId="4" fillId="2" borderId="0" xfId="23874" applyFont="1" applyFill="1" applyAlignment="1">
      <alignment vertical="center"/>
    </xf>
    <xf numFmtId="0" fontId="4" fillId="2" borderId="0" xfId="23874" applyFont="1" applyFill="1"/>
    <xf numFmtId="0" fontId="179" fillId="2" borderId="0" xfId="23874" applyFill="1" applyAlignment="1">
      <alignment wrapText="1"/>
    </xf>
    <xf numFmtId="0" fontId="179" fillId="2" borderId="0" xfId="23874" applyFill="1" applyAlignment="1">
      <alignment vertical="center"/>
    </xf>
    <xf numFmtId="0" fontId="216" fillId="2" borderId="0" xfId="0" applyFont="1" applyFill="1"/>
    <xf numFmtId="0" fontId="17" fillId="2" borderId="1" xfId="0" applyNumberFormat="1" applyFont="1" applyFill="1" applyBorder="1" applyAlignment="1">
      <alignment horizontal="center" vertical="center" wrapText="1"/>
    </xf>
    <xf numFmtId="0" fontId="17" fillId="2" borderId="1" xfId="0" applyFont="1" applyFill="1" applyBorder="1" applyAlignment="1">
      <alignment vertical="center" wrapText="1"/>
    </xf>
    <xf numFmtId="0" fontId="17" fillId="2" borderId="1" xfId="0" applyFont="1" applyFill="1" applyBorder="1" applyAlignment="1">
      <alignment vertical="center"/>
    </xf>
    <xf numFmtId="0" fontId="218" fillId="2" borderId="0" xfId="0" applyFont="1" applyFill="1" applyAlignment="1">
      <alignment horizontal="center"/>
    </xf>
    <xf numFmtId="0" fontId="218" fillId="2" borderId="0" xfId="0" applyFont="1" applyFill="1"/>
    <xf numFmtId="0" fontId="19" fillId="0" borderId="0" xfId="0" applyFont="1" applyFill="1" applyAlignment="1">
      <alignment vertical="center"/>
    </xf>
    <xf numFmtId="0" fontId="9" fillId="0" borderId="1" xfId="0" applyFont="1" applyFill="1" applyBorder="1" applyAlignment="1">
      <alignment horizontal="center" vertical="center" wrapText="1"/>
    </xf>
    <xf numFmtId="0" fontId="19" fillId="0" borderId="0" xfId="0" applyFont="1" applyFill="1"/>
    <xf numFmtId="0" fontId="19" fillId="0" borderId="1" xfId="0" applyFont="1" applyFill="1" applyBorder="1" applyAlignment="1">
      <alignment horizontal="center" vertical="center" wrapText="1"/>
    </xf>
    <xf numFmtId="0" fontId="19" fillId="0" borderId="1" xfId="0" applyFont="1" applyFill="1" applyBorder="1" applyAlignment="1">
      <alignment vertical="center" wrapText="1"/>
    </xf>
    <xf numFmtId="0" fontId="19" fillId="0" borderId="1" xfId="0" applyFont="1" applyFill="1" applyBorder="1"/>
    <xf numFmtId="0" fontId="19" fillId="0" borderId="9" xfId="0" applyFont="1" applyFill="1" applyBorder="1" applyAlignment="1">
      <alignment horizontal="left" vertical="center" wrapText="1"/>
    </xf>
    <xf numFmtId="0" fontId="0" fillId="0" borderId="10" xfId="0" applyBorder="1" applyAlignment="1">
      <alignment horizontal="left" vertical="center" wrapText="1"/>
    </xf>
    <xf numFmtId="0" fontId="0" fillId="0" borderId="11" xfId="0" applyBorder="1" applyAlignment="1">
      <alignment horizontal="left" vertical="center" wrapText="1"/>
    </xf>
    <xf numFmtId="16" fontId="19" fillId="0" borderId="1" xfId="0" applyNumberFormat="1" applyFont="1" applyFill="1" applyBorder="1" applyAlignment="1">
      <alignment horizontal="center" vertical="center" wrapText="1"/>
    </xf>
    <xf numFmtId="0" fontId="19" fillId="0" borderId="1" xfId="0" applyFont="1" applyFill="1" applyBorder="1" applyAlignment="1">
      <alignment vertical="top" wrapText="1"/>
    </xf>
    <xf numFmtId="0" fontId="19" fillId="0" borderId="1" xfId="0" applyFont="1" applyFill="1" applyBorder="1" applyAlignment="1">
      <alignment vertical="top"/>
    </xf>
    <xf numFmtId="0" fontId="19" fillId="0" borderId="0" xfId="0" applyFont="1"/>
    <xf numFmtId="0" fontId="0" fillId="0" borderId="0" xfId="0" applyAlignment="1">
      <alignment horizontal="justify"/>
    </xf>
    <xf numFmtId="0" fontId="19" fillId="9" borderId="0" xfId="0" applyFont="1" applyFill="1"/>
    <xf numFmtId="0" fontId="220" fillId="0" borderId="0" xfId="0" applyNumberFormat="1" applyFont="1" applyAlignment="1">
      <alignment horizontal="left" vertical="center"/>
    </xf>
    <xf numFmtId="0" fontId="220" fillId="0" borderId="0" xfId="0" applyFont="1"/>
    <xf numFmtId="0" fontId="220" fillId="0" borderId="0" xfId="0" applyFont="1" applyAlignment="1">
      <alignment horizontal="center"/>
    </xf>
    <xf numFmtId="0" fontId="221" fillId="0" borderId="0" xfId="0" applyFont="1"/>
    <xf numFmtId="0" fontId="26" fillId="0" borderId="0" xfId="0" applyFont="1"/>
    <xf numFmtId="0" fontId="27" fillId="2" borderId="0" xfId="0" applyFont="1" applyFill="1" applyAlignment="1"/>
    <xf numFmtId="0" fontId="15" fillId="0" borderId="0" xfId="0" applyNumberFormat="1" applyFont="1" applyAlignment="1"/>
    <xf numFmtId="0" fontId="15" fillId="2" borderId="0" xfId="0" applyFont="1" applyFill="1" applyAlignment="1">
      <alignment horizontal="left" vertical="center"/>
    </xf>
    <xf numFmtId="0" fontId="26" fillId="2" borderId="0" xfId="0" applyFont="1" applyFill="1"/>
    <xf numFmtId="0" fontId="222" fillId="2" borderId="0" xfId="0" applyFont="1" applyFill="1"/>
    <xf numFmtId="49" fontId="21" fillId="2" borderId="1" xfId="0" applyNumberFormat="1" applyFont="1" applyFill="1" applyBorder="1" applyAlignment="1">
      <alignment horizontal="center" vertical="center" wrapText="1"/>
    </xf>
    <xf numFmtId="0" fontId="21" fillId="0" borderId="1" xfId="0" applyFont="1" applyFill="1" applyBorder="1" applyAlignment="1">
      <alignment horizontal="center" vertical="center" wrapText="1"/>
    </xf>
    <xf numFmtId="49" fontId="21" fillId="2" borderId="1" xfId="0" applyNumberFormat="1" applyFont="1" applyFill="1" applyBorder="1" applyAlignment="1">
      <alignment horizontal="left" vertical="center" wrapText="1"/>
    </xf>
    <xf numFmtId="49" fontId="21" fillId="2" borderId="1" xfId="5" applyNumberFormat="1" applyFont="1" applyFill="1" applyBorder="1" applyAlignment="1" applyProtection="1">
      <alignment horizontal="left" vertical="center" wrapText="1"/>
      <protection hidden="1"/>
    </xf>
    <xf numFmtId="0" fontId="21" fillId="2" borderId="1" xfId="5" applyFont="1" applyFill="1" applyBorder="1" applyAlignment="1" applyProtection="1">
      <alignment horizontal="left" vertical="center" wrapText="1"/>
      <protection hidden="1"/>
    </xf>
    <xf numFmtId="2" fontId="26" fillId="2" borderId="0" xfId="23907" applyNumberFormat="1" applyFont="1" applyFill="1"/>
    <xf numFmtId="0" fontId="21" fillId="2" borderId="1" xfId="0" applyFont="1" applyFill="1" applyBorder="1" applyAlignment="1">
      <alignment horizontal="left" vertical="center" wrapText="1"/>
    </xf>
    <xf numFmtId="0" fontId="26" fillId="2" borderId="0" xfId="0" applyFont="1" applyFill="1" applyAlignment="1">
      <alignment horizontal="left" vertical="center"/>
    </xf>
    <xf numFmtId="0" fontId="15" fillId="0" borderId="0" xfId="0" applyFont="1" applyAlignment="1">
      <alignment horizontal="left" vertical="center"/>
    </xf>
    <xf numFmtId="0" fontId="222" fillId="0" borderId="0" xfId="0" applyFont="1"/>
    <xf numFmtId="0" fontId="4" fillId="5" borderId="6" xfId="23874" applyFont="1" applyFill="1" applyBorder="1" applyAlignment="1">
      <alignment vertical="center"/>
    </xf>
    <xf numFmtId="0" fontId="4" fillId="5" borderId="1" xfId="23874" applyFont="1" applyFill="1" applyBorder="1" applyAlignment="1">
      <alignment vertical="center"/>
    </xf>
    <xf numFmtId="0" fontId="30" fillId="0" borderId="0" xfId="3641" applyProtection="1">
      <protection locked="0"/>
    </xf>
    <xf numFmtId="49" fontId="184" fillId="0" borderId="56" xfId="23910" applyNumberFormat="1" applyProtection="1">
      <alignment horizontal="center" vertical="center" wrapText="1"/>
    </xf>
    <xf numFmtId="49" fontId="184" fillId="0" borderId="57" xfId="23911" applyNumberFormat="1" applyProtection="1">
      <alignment horizontal="center" vertical="center" wrapText="1"/>
    </xf>
    <xf numFmtId="49" fontId="184" fillId="0" borderId="58" xfId="23912" applyNumberFormat="1" applyProtection="1">
      <alignment horizontal="center" vertical="center" wrapText="1"/>
    </xf>
    <xf numFmtId="49" fontId="184" fillId="0" borderId="59" xfId="23913" applyNumberFormat="1" applyProtection="1">
      <alignment horizontal="center" vertical="center" wrapText="1"/>
    </xf>
    <xf numFmtId="49" fontId="184" fillId="0" borderId="13" xfId="23914" applyNumberFormat="1" applyProtection="1">
      <alignment horizontal="center" vertical="center" wrapText="1"/>
    </xf>
    <xf numFmtId="49" fontId="184" fillId="0" borderId="14" xfId="23915" applyNumberFormat="1" applyProtection="1">
      <alignment horizontal="center" vertical="center" wrapText="1"/>
    </xf>
    <xf numFmtId="49" fontId="185" fillId="10" borderId="15" xfId="23916" applyNumberFormat="1" applyProtection="1">
      <alignment horizontal="center" vertical="top" shrinkToFit="1"/>
    </xf>
    <xf numFmtId="49" fontId="185" fillId="10" borderId="16" xfId="23879" applyNumberFormat="1" applyProtection="1">
      <alignment horizontal="center" vertical="top" shrinkToFit="1"/>
    </xf>
    <xf numFmtId="0" fontId="185" fillId="10" borderId="16" xfId="23880" applyNumberFormat="1" applyProtection="1">
      <alignment horizontal="left" vertical="top" wrapText="1"/>
    </xf>
    <xf numFmtId="4" fontId="185" fillId="10" borderId="16" xfId="23881" applyNumberFormat="1" applyProtection="1">
      <alignment horizontal="right" vertical="top" shrinkToFit="1"/>
    </xf>
    <xf numFmtId="4" fontId="185" fillId="10" borderId="17" xfId="23917" applyNumberFormat="1" applyProtection="1">
      <alignment horizontal="right" vertical="top" shrinkToFit="1"/>
    </xf>
    <xf numFmtId="4" fontId="30" fillId="0" borderId="0" xfId="3641" applyNumberFormat="1" applyProtection="1">
      <protection locked="0"/>
    </xf>
    <xf numFmtId="49" fontId="184" fillId="11" borderId="18" xfId="23918" applyNumberFormat="1" applyProtection="1">
      <alignment horizontal="center" vertical="top" shrinkToFit="1"/>
    </xf>
    <xf numFmtId="49" fontId="184" fillId="11" borderId="19" xfId="23884" applyNumberFormat="1" applyProtection="1">
      <alignment horizontal="center" vertical="top" shrinkToFit="1"/>
    </xf>
    <xf numFmtId="0" fontId="184" fillId="11" borderId="19" xfId="23885" applyNumberFormat="1" applyProtection="1">
      <alignment horizontal="left" vertical="top" wrapText="1"/>
    </xf>
    <xf numFmtId="4" fontId="184" fillId="11" borderId="19" xfId="23886" applyNumberFormat="1" applyProtection="1">
      <alignment horizontal="right" vertical="top" shrinkToFit="1"/>
    </xf>
    <xf numFmtId="4" fontId="184" fillId="11" borderId="20" xfId="23919" applyNumberFormat="1" applyProtection="1">
      <alignment horizontal="right" vertical="top" shrinkToFit="1"/>
    </xf>
    <xf numFmtId="49" fontId="184" fillId="12" borderId="21" xfId="23920" applyNumberFormat="1" applyProtection="1">
      <alignment horizontal="center" vertical="top" shrinkToFit="1"/>
    </xf>
    <xf numFmtId="49" fontId="184" fillId="12" borderId="22" xfId="23889" applyNumberFormat="1" applyProtection="1">
      <alignment horizontal="center" vertical="top" shrinkToFit="1"/>
    </xf>
    <xf numFmtId="0" fontId="184" fillId="12" borderId="22" xfId="23890" applyNumberFormat="1" applyProtection="1">
      <alignment horizontal="left" vertical="top" wrapText="1"/>
    </xf>
    <xf numFmtId="4" fontId="184" fillId="12" borderId="22" xfId="23891" applyNumberFormat="1" applyProtection="1">
      <alignment horizontal="right" vertical="top" shrinkToFit="1"/>
    </xf>
    <xf numFmtId="4" fontId="184" fillId="12" borderId="23" xfId="23921" applyNumberFormat="1" applyProtection="1">
      <alignment horizontal="right" vertical="top" shrinkToFit="1"/>
    </xf>
    <xf numFmtId="49" fontId="34" fillId="0" borderId="21" xfId="1571" applyNumberFormat="1" applyProtection="1">
      <alignment horizontal="center" vertical="top" shrinkToFit="1"/>
    </xf>
    <xf numFmtId="49" fontId="183" fillId="0" borderId="22" xfId="23893" applyNumberFormat="1" applyProtection="1">
      <alignment horizontal="center" vertical="top" shrinkToFit="1"/>
    </xf>
    <xf numFmtId="0" fontId="183" fillId="0" borderId="22" xfId="23894" applyNumberFormat="1" applyProtection="1">
      <alignment horizontal="left" vertical="top" wrapText="1"/>
    </xf>
    <xf numFmtId="4" fontId="183" fillId="0" borderId="22" xfId="23895" applyNumberFormat="1" applyProtection="1">
      <alignment horizontal="right" vertical="top" shrinkToFit="1"/>
    </xf>
    <xf numFmtId="4" fontId="183" fillId="0" borderId="23" xfId="23922" applyNumberFormat="1" applyProtection="1">
      <alignment horizontal="right" vertical="top" shrinkToFit="1"/>
    </xf>
    <xf numFmtId="49" fontId="34" fillId="0" borderId="21" xfId="1645" applyNumberFormat="1" applyProtection="1">
      <alignment horizontal="center" vertical="top" shrinkToFit="1"/>
    </xf>
    <xf numFmtId="49" fontId="183" fillId="0" borderId="22" xfId="23897" applyNumberFormat="1" applyProtection="1">
      <alignment horizontal="center" vertical="top" shrinkToFit="1"/>
    </xf>
    <xf numFmtId="0" fontId="183" fillId="0" borderId="22" xfId="23898" applyNumberFormat="1" applyProtection="1">
      <alignment horizontal="left" vertical="top" wrapText="1"/>
    </xf>
    <xf numFmtId="4" fontId="183" fillId="0" borderId="22" xfId="23899" applyNumberFormat="1" applyProtection="1">
      <alignment horizontal="right" vertical="top" shrinkToFit="1"/>
    </xf>
    <xf numFmtId="4" fontId="183" fillId="0" borderId="23" xfId="23923" applyNumberFormat="1" applyProtection="1">
      <alignment horizontal="right" vertical="top" shrinkToFit="1"/>
    </xf>
    <xf numFmtId="49" fontId="34" fillId="0" borderId="21" xfId="1701" applyNumberFormat="1" applyProtection="1">
      <alignment horizontal="center" vertical="top" shrinkToFit="1"/>
    </xf>
    <xf numFmtId="49" fontId="183" fillId="0" borderId="22" xfId="23924" applyNumberFormat="1" applyProtection="1">
      <alignment horizontal="center" vertical="top" shrinkToFit="1"/>
    </xf>
    <xf numFmtId="0" fontId="183" fillId="0" borderId="22" xfId="23925" applyNumberFormat="1" applyProtection="1">
      <alignment horizontal="left" vertical="top" wrapText="1"/>
    </xf>
    <xf numFmtId="4" fontId="183" fillId="0" borderId="22" xfId="23926" applyNumberFormat="1" applyProtection="1">
      <alignment horizontal="right" vertical="top" shrinkToFit="1"/>
    </xf>
    <xf numFmtId="4" fontId="183" fillId="0" borderId="23" xfId="23927" applyNumberFormat="1" applyProtection="1">
      <alignment horizontal="right" vertical="top" shrinkToFit="1"/>
    </xf>
    <xf numFmtId="0" fontId="183" fillId="0" borderId="60" xfId="23928" applyNumberFormat="1" applyProtection="1"/>
    <xf numFmtId="0" fontId="183" fillId="0" borderId="61" xfId="23929" applyNumberFormat="1" applyProtection="1"/>
    <xf numFmtId="0" fontId="183" fillId="0" borderId="62" xfId="23930" applyNumberFormat="1" applyProtection="1"/>
    <xf numFmtId="0" fontId="185" fillId="13" borderId="63" xfId="23931" applyNumberFormat="1" applyProtection="1"/>
    <xf numFmtId="0" fontId="185" fillId="13" borderId="24" xfId="23932" applyNumberFormat="1" applyProtection="1"/>
    <xf numFmtId="4" fontId="185" fillId="13" borderId="24" xfId="23933" applyNumberFormat="1" applyProtection="1">
      <alignment horizontal="right" shrinkToFit="1"/>
    </xf>
    <xf numFmtId="4" fontId="185" fillId="13" borderId="25" xfId="23934" applyNumberFormat="1" applyProtection="1">
      <alignment horizontal="right" shrinkToFit="1"/>
    </xf>
    <xf numFmtId="0" fontId="183" fillId="0" borderId="26" xfId="23935" applyNumberFormat="1" applyProtection="1"/>
    <xf numFmtId="0" fontId="32" fillId="0" borderId="26" xfId="23935" applyNumberFormat="1" applyFont="1" applyProtection="1"/>
    <xf numFmtId="4" fontId="32" fillId="0" borderId="26" xfId="23935" applyNumberFormat="1" applyFont="1" applyProtection="1"/>
    <xf numFmtId="0" fontId="224" fillId="0" borderId="0" xfId="3641" applyFont="1" applyProtection="1">
      <protection locked="0"/>
    </xf>
    <xf numFmtId="4" fontId="224" fillId="0" borderId="0" xfId="3641" applyNumberFormat="1" applyFont="1" applyProtection="1">
      <protection locked="0"/>
    </xf>
    <xf numFmtId="0" fontId="208" fillId="5" borderId="52" xfId="23874" applyFont="1" applyFill="1" applyBorder="1" applyAlignment="1">
      <alignment horizontal="left" vertical="center" wrapText="1"/>
    </xf>
    <xf numFmtId="4" fontId="4" fillId="5" borderId="1" xfId="23874" applyNumberFormat="1" applyFont="1" applyFill="1" applyBorder="1" applyAlignment="1">
      <alignment vertical="center"/>
    </xf>
    <xf numFmtId="164" fontId="206" fillId="2" borderId="11" xfId="23874" applyNumberFormat="1" applyFont="1" applyFill="1" applyBorder="1" applyAlignment="1">
      <alignment horizontal="left" vertical="center" wrapText="1"/>
    </xf>
    <xf numFmtId="164" fontId="204" fillId="2" borderId="11" xfId="23874" applyNumberFormat="1" applyFont="1" applyFill="1" applyBorder="1" applyAlignment="1">
      <alignment horizontal="left" vertical="center" wrapText="1"/>
    </xf>
    <xf numFmtId="0" fontId="4" fillId="2" borderId="47" xfId="23874" applyFont="1" applyFill="1" applyBorder="1" applyAlignment="1">
      <alignment vertical="center"/>
    </xf>
    <xf numFmtId="0" fontId="4" fillId="2" borderId="5" xfId="23874" applyFont="1" applyFill="1" applyBorder="1" applyAlignment="1">
      <alignment vertical="center"/>
    </xf>
    <xf numFmtId="0" fontId="30" fillId="145" borderId="0" xfId="3641" applyFill="1" applyProtection="1">
      <protection locked="0"/>
    </xf>
    <xf numFmtId="0" fontId="195" fillId="0" borderId="46" xfId="23902" applyFont="1" applyFill="1" applyBorder="1" applyAlignment="1">
      <alignment vertical="center"/>
    </xf>
    <xf numFmtId="165" fontId="195" fillId="0" borderId="46" xfId="23902" applyNumberFormat="1" applyFont="1" applyFill="1" applyBorder="1"/>
    <xf numFmtId="4" fontId="195" fillId="0" borderId="46" xfId="23902" applyNumberFormat="1" applyFont="1" applyFill="1" applyBorder="1"/>
    <xf numFmtId="165" fontId="195" fillId="0" borderId="0" xfId="23902" applyNumberFormat="1" applyFont="1" applyFill="1"/>
    <xf numFmtId="0" fontId="195" fillId="0" borderId="0" xfId="23902" applyFont="1" applyFill="1" applyAlignment="1">
      <alignment vertical="center"/>
    </xf>
    <xf numFmtId="0" fontId="195" fillId="0" borderId="0" xfId="23902" applyFont="1" applyFill="1"/>
    <xf numFmtId="0" fontId="1" fillId="2" borderId="5" xfId="0" applyFont="1" applyFill="1" applyBorder="1" applyAlignment="1">
      <alignment vertical="center" wrapText="1"/>
    </xf>
    <xf numFmtId="0" fontId="1" fillId="7" borderId="5" xfId="0" applyFont="1" applyFill="1" applyBorder="1" applyAlignment="1">
      <alignment horizontal="center" vertical="center" wrapText="1"/>
    </xf>
    <xf numFmtId="0" fontId="0" fillId="7" borderId="5" xfId="0" applyFont="1" applyFill="1" applyBorder="1" applyAlignment="1">
      <alignment horizontal="center" vertical="center"/>
    </xf>
    <xf numFmtId="0" fontId="0" fillId="0" borderId="5" xfId="0" applyFont="1" applyFill="1" applyBorder="1" applyAlignment="1">
      <alignment horizontal="center" vertical="center"/>
    </xf>
    <xf numFmtId="0" fontId="2" fillId="2" borderId="64" xfId="0" applyFont="1" applyFill="1" applyBorder="1" applyAlignment="1">
      <alignment horizontal="center" vertical="center" wrapText="1"/>
    </xf>
    <xf numFmtId="4" fontId="2" fillId="2" borderId="46" xfId="0" applyNumberFormat="1" applyFont="1" applyFill="1" applyBorder="1" applyAlignment="1">
      <alignment horizontal="center" vertical="center" wrapText="1"/>
    </xf>
    <xf numFmtId="4" fontId="2" fillId="2" borderId="54" xfId="0" applyNumberFormat="1" applyFont="1" applyFill="1" applyBorder="1" applyAlignment="1">
      <alignment horizontal="center" vertical="center" wrapText="1"/>
    </xf>
    <xf numFmtId="166" fontId="2" fillId="2" borderId="54" xfId="0" applyNumberFormat="1" applyFont="1" applyFill="1" applyBorder="1" applyAlignment="1">
      <alignment horizontal="center" vertical="center" wrapText="1"/>
    </xf>
    <xf numFmtId="0" fontId="6" fillId="2" borderId="64" xfId="0" applyFont="1" applyFill="1" applyBorder="1" applyAlignment="1">
      <alignment horizontal="center" vertical="center" wrapText="1"/>
    </xf>
    <xf numFmtId="0" fontId="1" fillId="0" borderId="47" xfId="0" applyFont="1" applyFill="1" applyBorder="1" applyAlignment="1">
      <alignment horizontal="center" vertical="center" wrapText="1"/>
    </xf>
    <xf numFmtId="0" fontId="6" fillId="0" borderId="48" xfId="0" applyFont="1" applyFill="1" applyBorder="1" applyAlignment="1">
      <alignment horizontal="center" vertical="center" wrapText="1"/>
    </xf>
    <xf numFmtId="4" fontId="9" fillId="0" borderId="46" xfId="1" applyNumberFormat="1" applyFont="1" applyFill="1" applyBorder="1" applyAlignment="1">
      <alignment horizontal="right" vertical="center" wrapText="1"/>
    </xf>
    <xf numFmtId="167" fontId="11" fillId="0" borderId="49" xfId="1" applyNumberFormat="1" applyFont="1" applyFill="1" applyBorder="1" applyAlignment="1">
      <alignment vertical="center" wrapText="1"/>
    </xf>
    <xf numFmtId="0" fontId="15" fillId="0" borderId="46" xfId="0" applyFont="1" applyFill="1" applyBorder="1" applyAlignment="1">
      <alignment horizontal="left" vertical="top" wrapText="1"/>
    </xf>
    <xf numFmtId="0" fontId="21" fillId="0" borderId="46" xfId="0" applyFont="1" applyFill="1" applyBorder="1" applyAlignment="1">
      <alignment horizontal="center" vertical="top" wrapText="1"/>
    </xf>
    <xf numFmtId="4" fontId="6" fillId="0" borderId="46" xfId="1" applyNumberFormat="1" applyFont="1" applyFill="1" applyBorder="1" applyAlignment="1">
      <alignment horizontal="right" vertical="center" wrapText="1"/>
    </xf>
    <xf numFmtId="167" fontId="21" fillId="0" borderId="47" xfId="0" applyNumberFormat="1" applyFont="1" applyFill="1" applyBorder="1" applyAlignment="1">
      <alignment horizontal="center" vertical="top" wrapText="1"/>
    </xf>
    <xf numFmtId="4" fontId="11" fillId="0" borderId="46" xfId="1" applyNumberFormat="1" applyFont="1" applyFill="1" applyBorder="1" applyAlignment="1">
      <alignment horizontal="right" vertical="center" wrapText="1"/>
    </xf>
    <xf numFmtId="4" fontId="16" fillId="0" borderId="46" xfId="1" applyNumberFormat="1" applyFont="1" applyFill="1" applyBorder="1" applyAlignment="1">
      <alignment horizontal="right" vertical="center" wrapText="1"/>
    </xf>
    <xf numFmtId="0" fontId="21" fillId="0" borderId="46" xfId="0" applyNumberFormat="1" applyFont="1" applyFill="1" applyBorder="1" applyAlignment="1">
      <alignment horizontal="center" vertical="top" wrapText="1"/>
    </xf>
    <xf numFmtId="167" fontId="21" fillId="0" borderId="46" xfId="0" applyNumberFormat="1" applyFont="1" applyFill="1" applyBorder="1" applyAlignment="1">
      <alignment horizontal="center" vertical="top" wrapText="1"/>
    </xf>
    <xf numFmtId="0" fontId="9" fillId="149" borderId="48" xfId="0" applyFont="1" applyFill="1" applyBorder="1" applyAlignment="1">
      <alignment horizontal="center" vertical="center" wrapText="1"/>
    </xf>
    <xf numFmtId="4" fontId="16" fillId="149" borderId="46" xfId="1" applyNumberFormat="1" applyFont="1" applyFill="1" applyBorder="1" applyAlignment="1">
      <alignment horizontal="right" vertical="center" wrapText="1"/>
    </xf>
    <xf numFmtId="167" fontId="16" fillId="149" borderId="49" xfId="1" applyNumberFormat="1" applyFont="1" applyFill="1" applyBorder="1" applyAlignment="1">
      <alignment vertical="center" wrapText="1"/>
    </xf>
    <xf numFmtId="0" fontId="15" fillId="149" borderId="46" xfId="0" applyFont="1" applyFill="1" applyBorder="1" applyAlignment="1">
      <alignment horizontal="left" vertical="top" wrapText="1"/>
    </xf>
    <xf numFmtId="0" fontId="21" fillId="149" borderId="46" xfId="0" applyFont="1" applyFill="1" applyBorder="1" applyAlignment="1">
      <alignment horizontal="center" vertical="top" wrapText="1"/>
    </xf>
    <xf numFmtId="4" fontId="9" fillId="149" borderId="46" xfId="1" applyNumberFormat="1" applyFont="1" applyFill="1" applyBorder="1" applyAlignment="1">
      <alignment vertical="center" wrapText="1"/>
    </xf>
    <xf numFmtId="167" fontId="21" fillId="149" borderId="46" xfId="0" applyNumberFormat="1" applyFont="1" applyFill="1" applyBorder="1" applyAlignment="1">
      <alignment horizontal="center" vertical="top" wrapText="1"/>
    </xf>
    <xf numFmtId="0" fontId="19" fillId="14" borderId="48" xfId="0" applyFont="1" applyFill="1" applyBorder="1" applyAlignment="1">
      <alignment horizontal="center" vertical="center" wrapText="1"/>
    </xf>
    <xf numFmtId="4" fontId="40" fillId="14" borderId="46" xfId="1" applyNumberFormat="1" applyFont="1" applyFill="1" applyBorder="1" applyAlignment="1">
      <alignment horizontal="right" vertical="center" wrapText="1"/>
    </xf>
    <xf numFmtId="167" fontId="40" fillId="14" borderId="49" xfId="1" applyNumberFormat="1" applyFont="1" applyFill="1" applyBorder="1" applyAlignment="1">
      <alignment vertical="center" wrapText="1"/>
    </xf>
    <xf numFmtId="0" fontId="15" fillId="14" borderId="46" xfId="0" applyFont="1" applyFill="1" applyBorder="1" applyAlignment="1">
      <alignment horizontal="left" vertical="top" wrapText="1"/>
    </xf>
    <xf numFmtId="0" fontId="15" fillId="14" borderId="46" xfId="0" applyFont="1" applyFill="1" applyBorder="1" applyAlignment="1">
      <alignment horizontal="center" vertical="top" wrapText="1"/>
    </xf>
    <xf numFmtId="4" fontId="19" fillId="14" borderId="46" xfId="1" applyNumberFormat="1" applyFont="1" applyFill="1" applyBorder="1" applyAlignment="1">
      <alignment horizontal="right" vertical="center" wrapText="1"/>
    </xf>
    <xf numFmtId="0" fontId="15" fillId="14" borderId="47" xfId="0" applyFont="1" applyFill="1" applyBorder="1" applyAlignment="1">
      <alignment horizontal="left" vertical="top" wrapText="1"/>
    </xf>
    <xf numFmtId="167" fontId="15" fillId="14" borderId="47" xfId="0" applyNumberFormat="1" applyFont="1" applyFill="1" applyBorder="1" applyAlignment="1">
      <alignment horizontal="center" vertical="top" wrapText="1"/>
    </xf>
    <xf numFmtId="0" fontId="9" fillId="7" borderId="48" xfId="0" applyFont="1" applyFill="1" applyBorder="1" applyAlignment="1">
      <alignment horizontal="center" vertical="center" wrapText="1"/>
    </xf>
    <xf numFmtId="4" fontId="16" fillId="7" borderId="46" xfId="1" applyNumberFormat="1" applyFont="1" applyFill="1" applyBorder="1" applyAlignment="1">
      <alignment horizontal="right" vertical="center" wrapText="1"/>
    </xf>
    <xf numFmtId="0" fontId="15" fillId="6" borderId="46" xfId="0" applyFont="1" applyFill="1" applyBorder="1" applyAlignment="1">
      <alignment horizontal="left" vertical="top" wrapText="1"/>
    </xf>
    <xf numFmtId="0" fontId="21" fillId="6" borderId="46" xfId="0" applyFont="1" applyFill="1" applyBorder="1" applyAlignment="1">
      <alignment horizontal="center" vertical="top" wrapText="1"/>
    </xf>
    <xf numFmtId="4" fontId="9" fillId="7" borderId="46" xfId="0" applyNumberFormat="1" applyFont="1" applyFill="1" applyBorder="1" applyAlignment="1">
      <alignment vertical="center" wrapText="1"/>
    </xf>
    <xf numFmtId="0" fontId="15" fillId="6" borderId="46" xfId="0" applyFont="1" applyFill="1" applyBorder="1" applyAlignment="1">
      <alignment horizontal="center" vertical="top" wrapText="1"/>
    </xf>
    <xf numFmtId="0" fontId="15" fillId="6" borderId="47" xfId="0" applyFont="1" applyFill="1" applyBorder="1" applyAlignment="1">
      <alignment horizontal="left" vertical="top" wrapText="1"/>
    </xf>
    <xf numFmtId="167" fontId="15" fillId="6" borderId="47" xfId="0" applyNumberFormat="1" applyFont="1" applyFill="1" applyBorder="1" applyAlignment="1">
      <alignment horizontal="center" vertical="top" wrapText="1"/>
    </xf>
    <xf numFmtId="0" fontId="11" fillId="2" borderId="48" xfId="0" applyFont="1" applyFill="1" applyBorder="1" applyAlignment="1">
      <alignment horizontal="center" vertical="center" wrapText="1"/>
    </xf>
    <xf numFmtId="4" fontId="11" fillId="2" borderId="46" xfId="0" applyNumberFormat="1" applyFont="1" applyFill="1" applyBorder="1" applyAlignment="1">
      <alignment vertical="center" wrapText="1"/>
    </xf>
    <xf numFmtId="0" fontId="6" fillId="2" borderId="48" xfId="0" applyFont="1" applyFill="1" applyBorder="1" applyAlignment="1">
      <alignment horizontal="center" vertical="center" wrapText="1"/>
    </xf>
    <xf numFmtId="4" fontId="6" fillId="2" borderId="46" xfId="0" applyNumberFormat="1" applyFont="1" applyFill="1" applyBorder="1" applyAlignment="1">
      <alignment vertical="center" wrapText="1"/>
    </xf>
    <xf numFmtId="4" fontId="6" fillId="2" borderId="47" xfId="0" applyNumberFormat="1" applyFont="1" applyFill="1" applyBorder="1" applyAlignment="1">
      <alignment vertical="center" wrapText="1"/>
    </xf>
    <xf numFmtId="4" fontId="11" fillId="2" borderId="47" xfId="0" applyNumberFormat="1" applyFont="1" applyFill="1" applyBorder="1" applyAlignment="1">
      <alignment vertical="center" wrapText="1"/>
    </xf>
    <xf numFmtId="0" fontId="16" fillId="2" borderId="48" xfId="0" applyFont="1" applyFill="1" applyBorder="1" applyAlignment="1">
      <alignment horizontal="center" vertical="center" wrapText="1"/>
    </xf>
    <xf numFmtId="4" fontId="11" fillId="2" borderId="46" xfId="1" applyNumberFormat="1" applyFont="1" applyFill="1" applyBorder="1" applyAlignment="1">
      <alignment horizontal="right" vertical="center" wrapText="1"/>
    </xf>
    <xf numFmtId="0" fontId="9" fillId="2" borderId="48" xfId="0" applyFont="1" applyFill="1" applyBorder="1" applyAlignment="1">
      <alignment horizontal="center" vertical="center" wrapText="1"/>
    </xf>
    <xf numFmtId="4" fontId="6" fillId="2" borderId="46" xfId="1" applyNumberFormat="1" applyFont="1" applyFill="1" applyBorder="1" applyAlignment="1">
      <alignment vertical="center" wrapText="1"/>
    </xf>
    <xf numFmtId="4" fontId="6" fillId="2" borderId="46" xfId="1" applyNumberFormat="1" applyFont="1" applyFill="1" applyBorder="1" applyAlignment="1">
      <alignment horizontal="right" vertical="center" wrapText="1"/>
    </xf>
    <xf numFmtId="4" fontId="11" fillId="2" borderId="46" xfId="1" applyNumberFormat="1" applyFont="1" applyFill="1" applyBorder="1" applyAlignment="1">
      <alignment vertical="center" wrapText="1"/>
    </xf>
    <xf numFmtId="4" fontId="16" fillId="2" borderId="46" xfId="1" applyNumberFormat="1" applyFont="1" applyFill="1" applyBorder="1" applyAlignment="1">
      <alignment horizontal="right" vertical="center" wrapText="1"/>
    </xf>
    <xf numFmtId="4" fontId="16" fillId="2" borderId="46" xfId="1" applyNumberFormat="1" applyFont="1" applyFill="1" applyBorder="1" applyAlignment="1">
      <alignment vertical="center" wrapText="1"/>
    </xf>
    <xf numFmtId="4" fontId="9" fillId="2" borderId="46" xfId="1" applyNumberFormat="1" applyFont="1" applyFill="1" applyBorder="1" applyAlignment="1">
      <alignment horizontal="right" vertical="center" wrapText="1"/>
    </xf>
    <xf numFmtId="4" fontId="9" fillId="2" borderId="46" xfId="1" applyNumberFormat="1" applyFont="1" applyFill="1" applyBorder="1" applyAlignment="1">
      <alignment vertical="center" wrapText="1"/>
    </xf>
    <xf numFmtId="0" fontId="6" fillId="7" borderId="48" xfId="0" applyFont="1" applyFill="1" applyBorder="1" applyAlignment="1">
      <alignment horizontal="center" vertical="center" wrapText="1"/>
    </xf>
    <xf numFmtId="4" fontId="11" fillId="7" borderId="46" xfId="1" applyNumberFormat="1" applyFont="1" applyFill="1" applyBorder="1" applyAlignment="1">
      <alignment horizontal="right" vertical="center" wrapText="1"/>
    </xf>
    <xf numFmtId="4" fontId="6" fillId="7" borderId="46" xfId="0" applyNumberFormat="1" applyFont="1" applyFill="1" applyBorder="1" applyAlignment="1">
      <alignment vertical="center" wrapText="1"/>
    </xf>
    <xf numFmtId="167" fontId="15" fillId="6" borderId="46" xfId="0" applyNumberFormat="1" applyFont="1" applyFill="1" applyBorder="1" applyAlignment="1">
      <alignment horizontal="center" vertical="top" wrapText="1"/>
    </xf>
    <xf numFmtId="0" fontId="11" fillId="14" borderId="48" xfId="0" applyFont="1" applyFill="1" applyBorder="1" applyAlignment="1">
      <alignment horizontal="center" vertical="center" wrapText="1"/>
    </xf>
    <xf numFmtId="4" fontId="16" fillId="14" borderId="46" xfId="1" applyNumberFormat="1" applyFont="1" applyFill="1" applyBorder="1" applyAlignment="1">
      <alignment horizontal="right" vertical="center" wrapText="1"/>
    </xf>
    <xf numFmtId="167" fontId="16" fillId="14" borderId="49" xfId="1" applyNumberFormat="1" applyFont="1" applyFill="1" applyBorder="1" applyAlignment="1">
      <alignment vertical="center" wrapText="1"/>
    </xf>
    <xf numFmtId="4" fontId="6" fillId="2" borderId="46" xfId="0" applyNumberFormat="1" applyFont="1" applyFill="1" applyBorder="1" applyAlignment="1">
      <alignment horizontal="right" vertical="center" wrapText="1"/>
    </xf>
    <xf numFmtId="0" fontId="19" fillId="2" borderId="46" xfId="0" applyFont="1" applyFill="1" applyBorder="1" applyAlignment="1">
      <alignment horizontal="center" vertical="center" wrapText="1"/>
    </xf>
    <xf numFmtId="4" fontId="19" fillId="2" borderId="46" xfId="0" applyNumberFormat="1" applyFont="1" applyFill="1" applyBorder="1" applyAlignment="1">
      <alignment horizontal="right" vertical="center" wrapText="1"/>
    </xf>
    <xf numFmtId="4" fontId="19" fillId="2" borderId="46" xfId="1" applyNumberFormat="1" applyFont="1" applyFill="1" applyBorder="1" applyAlignment="1">
      <alignment horizontal="right" vertical="center" wrapText="1"/>
    </xf>
    <xf numFmtId="4" fontId="19" fillId="0" borderId="46" xfId="1" applyNumberFormat="1" applyFont="1" applyFill="1" applyBorder="1" applyAlignment="1">
      <alignment horizontal="right" vertical="center" wrapText="1"/>
    </xf>
    <xf numFmtId="4" fontId="9" fillId="7" borderId="46" xfId="1" applyNumberFormat="1" applyFont="1" applyFill="1" applyBorder="1" applyAlignment="1">
      <alignment horizontal="right" vertical="center" wrapText="1"/>
    </xf>
    <xf numFmtId="4" fontId="6" fillId="7" borderId="46" xfId="1" applyNumberFormat="1" applyFont="1" applyFill="1" applyBorder="1" applyAlignment="1">
      <alignment horizontal="right" vertical="center" wrapText="1"/>
    </xf>
    <xf numFmtId="0" fontId="15" fillId="7" borderId="46" xfId="0" applyFont="1" applyFill="1" applyBorder="1" applyAlignment="1">
      <alignment horizontal="left" vertical="top" wrapText="1"/>
    </xf>
    <xf numFmtId="0" fontId="15" fillId="7" borderId="46" xfId="0" applyFont="1" applyFill="1" applyBorder="1" applyAlignment="1">
      <alignment horizontal="center" vertical="top" wrapText="1"/>
    </xf>
    <xf numFmtId="167" fontId="15" fillId="7" borderId="46" xfId="0" applyNumberFormat="1" applyFont="1" applyFill="1" applyBorder="1" applyAlignment="1">
      <alignment horizontal="center" vertical="top" wrapText="1"/>
    </xf>
    <xf numFmtId="4" fontId="1" fillId="2" borderId="46" xfId="0" applyNumberFormat="1" applyFont="1" applyFill="1" applyBorder="1" applyAlignment="1">
      <alignment vertical="center" wrapText="1"/>
    </xf>
    <xf numFmtId="0" fontId="6" fillId="14" borderId="48" xfId="0" applyFont="1" applyFill="1" applyBorder="1" applyAlignment="1">
      <alignment horizontal="center" vertical="center" wrapText="1"/>
    </xf>
    <xf numFmtId="4" fontId="9" fillId="14" borderId="46" xfId="1" applyNumberFormat="1" applyFont="1" applyFill="1" applyBorder="1" applyAlignment="1">
      <alignment horizontal="right" vertical="center" wrapText="1"/>
    </xf>
    <xf numFmtId="167" fontId="11" fillId="14" borderId="49" xfId="1" applyNumberFormat="1" applyFont="1" applyFill="1" applyBorder="1" applyAlignment="1">
      <alignment vertical="center" wrapText="1"/>
    </xf>
    <xf numFmtId="0" fontId="21" fillId="6" borderId="46" xfId="0" applyNumberFormat="1" applyFont="1" applyFill="1" applyBorder="1" applyAlignment="1">
      <alignment horizontal="center" vertical="top" wrapText="1"/>
    </xf>
    <xf numFmtId="4" fontId="9" fillId="14" borderId="46" xfId="1" applyNumberFormat="1" applyFont="1" applyFill="1" applyBorder="1" applyAlignment="1">
      <alignment vertical="center" wrapText="1"/>
    </xf>
    <xf numFmtId="4" fontId="6" fillId="14" borderId="46" xfId="1" applyNumberFormat="1" applyFont="1" applyFill="1" applyBorder="1" applyAlignment="1">
      <alignment vertical="center" wrapText="1"/>
    </xf>
    <xf numFmtId="4" fontId="9" fillId="149" borderId="46" xfId="1" applyNumberFormat="1" applyFont="1" applyFill="1" applyBorder="1" applyAlignment="1">
      <alignment horizontal="right" vertical="center" wrapText="1"/>
    </xf>
    <xf numFmtId="167" fontId="11" fillId="149" borderId="49" xfId="1" applyNumberFormat="1" applyFont="1" applyFill="1" applyBorder="1" applyAlignment="1">
      <alignment vertical="center" wrapText="1"/>
    </xf>
    <xf numFmtId="165" fontId="9" fillId="149" borderId="46" xfId="0" applyNumberFormat="1" applyFont="1" applyFill="1" applyBorder="1" applyAlignment="1">
      <alignment horizontal="right" wrapText="1"/>
    </xf>
    <xf numFmtId="4" fontId="16" fillId="149" borderId="46" xfId="1" applyNumberFormat="1" applyFont="1" applyFill="1" applyBorder="1" applyAlignment="1">
      <alignment horizontal="right" wrapText="1"/>
    </xf>
    <xf numFmtId="0" fontId="15" fillId="6" borderId="47" xfId="0" applyNumberFormat="1" applyFont="1" applyFill="1" applyBorder="1" applyAlignment="1">
      <alignment horizontal="center" vertical="top" wrapText="1"/>
    </xf>
    <xf numFmtId="4" fontId="9" fillId="2" borderId="46" xfId="0" applyNumberFormat="1" applyFont="1" applyFill="1" applyBorder="1" applyAlignment="1">
      <alignment horizontal="right" vertical="center" wrapText="1"/>
    </xf>
    <xf numFmtId="4" fontId="9" fillId="2" borderId="46" xfId="0" applyNumberFormat="1" applyFont="1" applyFill="1" applyBorder="1" applyAlignment="1">
      <alignment horizontal="right" wrapText="1"/>
    </xf>
    <xf numFmtId="165" fontId="9" fillId="2" borderId="46" xfId="0" applyNumberFormat="1" applyFont="1" applyFill="1" applyBorder="1" applyAlignment="1">
      <alignment horizontal="right"/>
    </xf>
    <xf numFmtId="2" fontId="9" fillId="2" borderId="48" xfId="0" applyNumberFormat="1" applyFont="1" applyFill="1" applyBorder="1" applyAlignment="1">
      <alignment horizontal="right" wrapText="1"/>
    </xf>
    <xf numFmtId="165" fontId="9" fillId="2" borderId="46" xfId="0" applyNumberFormat="1" applyFont="1" applyFill="1" applyBorder="1" applyAlignment="1">
      <alignment horizontal="center" vertical="top" wrapText="1"/>
    </xf>
    <xf numFmtId="0" fontId="226" fillId="149" borderId="48" xfId="0" applyFont="1" applyFill="1" applyBorder="1" applyAlignment="1">
      <alignment horizontal="center" vertical="center" wrapText="1"/>
    </xf>
    <xf numFmtId="4" fontId="226" fillId="149" borderId="46" xfId="1" applyNumberFormat="1" applyFont="1" applyFill="1" applyBorder="1" applyAlignment="1">
      <alignment horizontal="right" vertical="center" wrapText="1"/>
    </xf>
    <xf numFmtId="167" fontId="227" fillId="149" borderId="49" xfId="1" applyNumberFormat="1" applyFont="1" applyFill="1" applyBorder="1" applyAlignment="1">
      <alignment vertical="center" wrapText="1"/>
    </xf>
    <xf numFmtId="165" fontId="9" fillId="7" borderId="46" xfId="0" applyNumberFormat="1" applyFont="1" applyFill="1" applyBorder="1" applyAlignment="1">
      <alignment wrapText="1"/>
    </xf>
    <xf numFmtId="165" fontId="9" fillId="7" borderId="46" xfId="0" applyNumberFormat="1" applyFont="1" applyFill="1" applyBorder="1" applyAlignment="1">
      <alignment horizontal="center" vertical="top" wrapText="1"/>
    </xf>
    <xf numFmtId="167" fontId="16" fillId="149" borderId="49" xfId="1" applyNumberFormat="1" applyFont="1" applyFill="1" applyBorder="1" applyAlignment="1">
      <alignment wrapText="1"/>
    </xf>
    <xf numFmtId="165" fontId="9" fillId="149" borderId="46" xfId="0" applyNumberFormat="1" applyFont="1" applyFill="1" applyBorder="1" applyAlignment="1">
      <alignment horizontal="center" vertical="top" wrapText="1"/>
    </xf>
    <xf numFmtId="165" fontId="6" fillId="7" borderId="46" xfId="0" applyNumberFormat="1" applyFont="1" applyFill="1" applyBorder="1" applyAlignment="1">
      <alignment horizontal="center" vertical="top" wrapText="1"/>
    </xf>
    <xf numFmtId="0" fontId="21" fillId="7" borderId="46" xfId="0" applyFont="1" applyFill="1" applyBorder="1" applyAlignment="1">
      <alignment horizontal="center" vertical="top" wrapText="1"/>
    </xf>
    <xf numFmtId="4" fontId="6" fillId="7" borderId="46" xfId="0" applyNumberFormat="1" applyFont="1" applyFill="1" applyBorder="1" applyAlignment="1">
      <alignment horizontal="right" vertical="center" wrapText="1"/>
    </xf>
    <xf numFmtId="0" fontId="15" fillId="7" borderId="46" xfId="0" applyNumberFormat="1" applyFont="1" applyFill="1" applyBorder="1" applyAlignment="1">
      <alignment horizontal="center" vertical="top" wrapText="1"/>
    </xf>
    <xf numFmtId="4" fontId="11" fillId="2" borderId="46" xfId="0" applyNumberFormat="1" applyFont="1" applyFill="1" applyBorder="1" applyAlignment="1">
      <alignment horizontal="right" vertical="center" wrapText="1"/>
    </xf>
    <xf numFmtId="4" fontId="6" fillId="2" borderId="46" xfId="0" applyNumberFormat="1" applyFont="1" applyFill="1" applyBorder="1" applyAlignment="1">
      <alignment horizontal="right" vertical="top" wrapText="1"/>
    </xf>
    <xf numFmtId="165" fontId="6" fillId="2" borderId="46" xfId="0" applyNumberFormat="1" applyFont="1" applyFill="1" applyBorder="1" applyAlignment="1">
      <alignment horizontal="center" vertical="top" wrapText="1"/>
    </xf>
    <xf numFmtId="4" fontId="9" fillId="149" borderId="46" xfId="0" applyNumberFormat="1" applyFont="1" applyFill="1" applyBorder="1" applyAlignment="1">
      <alignment horizontal="right" vertical="top" wrapText="1"/>
    </xf>
    <xf numFmtId="4" fontId="6" fillId="149" borderId="46" xfId="1" applyNumberFormat="1" applyFont="1" applyFill="1" applyBorder="1" applyAlignment="1">
      <alignment horizontal="right" vertical="center" wrapText="1"/>
    </xf>
    <xf numFmtId="4" fontId="11" fillId="149" borderId="46" xfId="1" applyNumberFormat="1" applyFont="1" applyFill="1" applyBorder="1" applyAlignment="1">
      <alignment horizontal="right" vertical="center" wrapText="1"/>
    </xf>
    <xf numFmtId="165" fontId="6" fillId="149" borderId="48" xfId="0" applyNumberFormat="1" applyFont="1" applyFill="1" applyBorder="1" applyAlignment="1">
      <alignment horizontal="center" vertical="top" wrapText="1"/>
    </xf>
    <xf numFmtId="4" fontId="11" fillId="14" borderId="46" xfId="1" applyNumberFormat="1" applyFont="1" applyFill="1" applyBorder="1" applyAlignment="1">
      <alignment horizontal="right" vertical="center" wrapText="1"/>
    </xf>
    <xf numFmtId="0" fontId="27" fillId="6" borderId="46" xfId="0" applyFont="1" applyFill="1" applyBorder="1" applyAlignment="1">
      <alignment horizontal="left" vertical="top" wrapText="1"/>
    </xf>
    <xf numFmtId="0" fontId="27" fillId="14" borderId="46" xfId="0" applyFont="1" applyFill="1" applyBorder="1" applyAlignment="1">
      <alignment horizontal="center" vertical="top" wrapText="1"/>
    </xf>
    <xf numFmtId="4" fontId="11" fillId="14" borderId="46" xfId="1" applyNumberFormat="1" applyFont="1" applyFill="1" applyBorder="1" applyAlignment="1">
      <alignment vertical="center" wrapText="1"/>
    </xf>
    <xf numFmtId="4" fontId="40" fillId="14" borderId="46" xfId="1" applyNumberFormat="1" applyFont="1" applyFill="1" applyBorder="1" applyAlignment="1">
      <alignment vertical="center" wrapText="1"/>
    </xf>
    <xf numFmtId="0" fontId="27" fillId="14" borderId="46" xfId="0" applyNumberFormat="1" applyFont="1" applyFill="1" applyBorder="1" applyAlignment="1">
      <alignment horizontal="center" vertical="top" wrapText="1"/>
    </xf>
    <xf numFmtId="167" fontId="27" fillId="14" borderId="46" xfId="0" applyNumberFormat="1" applyFont="1" applyFill="1" applyBorder="1" applyAlignment="1">
      <alignment horizontal="center" vertical="top" wrapText="1"/>
    </xf>
    <xf numFmtId="0" fontId="11" fillId="7" borderId="48" xfId="0" applyFont="1" applyFill="1" applyBorder="1" applyAlignment="1">
      <alignment horizontal="center" vertical="center" wrapText="1"/>
    </xf>
    <xf numFmtId="4" fontId="19" fillId="7" borderId="46" xfId="1" applyNumberFormat="1" applyFont="1" applyFill="1" applyBorder="1" applyAlignment="1">
      <alignment horizontal="right" vertical="center" wrapText="1"/>
    </xf>
    <xf numFmtId="4" fontId="8" fillId="2" borderId="46" xfId="0" applyNumberFormat="1" applyFont="1" applyFill="1" applyBorder="1" applyAlignment="1">
      <alignment horizontal="right"/>
    </xf>
    <xf numFmtId="4" fontId="8" fillId="4" borderId="46" xfId="0" applyNumberFormat="1" applyFont="1" applyFill="1" applyBorder="1" applyAlignment="1"/>
    <xf numFmtId="165" fontId="195" fillId="149" borderId="46" xfId="23902" applyNumberFormat="1" applyFont="1" applyFill="1" applyBorder="1"/>
    <xf numFmtId="0" fontId="0" fillId="2" borderId="5" xfId="0" applyFont="1" applyFill="1" applyBorder="1" applyAlignment="1">
      <alignment horizontal="center" vertical="center"/>
    </xf>
    <xf numFmtId="0" fontId="1" fillId="2" borderId="5" xfId="0" applyFont="1" applyFill="1" applyBorder="1" applyAlignment="1">
      <alignment vertical="center" wrapText="1"/>
    </xf>
    <xf numFmtId="0" fontId="1" fillId="0" borderId="4" xfId="0" applyFont="1" applyFill="1" applyBorder="1" applyAlignment="1">
      <alignment horizontal="center" vertical="center" wrapText="1"/>
    </xf>
    <xf numFmtId="0" fontId="17" fillId="2" borderId="1" xfId="0" applyFont="1" applyFill="1" applyBorder="1" applyAlignment="1">
      <alignment horizontal="center" vertical="center" wrapText="1"/>
    </xf>
    <xf numFmtId="0" fontId="15" fillId="2" borderId="1" xfId="0" applyFont="1" applyFill="1" applyBorder="1" applyAlignment="1">
      <alignment horizontal="left" vertical="top" wrapText="1"/>
    </xf>
    <xf numFmtId="0" fontId="21" fillId="2" borderId="1" xfId="0" applyNumberFormat="1" applyFont="1" applyFill="1" applyBorder="1" applyAlignment="1">
      <alignment horizontal="center" vertical="top" wrapText="1"/>
    </xf>
    <xf numFmtId="167" fontId="21" fillId="2" borderId="1" xfId="0" applyNumberFormat="1" applyFont="1" applyFill="1" applyBorder="1" applyAlignment="1">
      <alignment horizontal="center" vertical="top" wrapText="1"/>
    </xf>
    <xf numFmtId="167" fontId="16" fillId="2" borderId="11" xfId="1" applyNumberFormat="1" applyFont="1" applyFill="1" applyBorder="1" applyAlignment="1">
      <alignment vertical="center" wrapText="1"/>
    </xf>
    <xf numFmtId="0" fontId="21" fillId="2" borderId="1" xfId="0" applyFont="1" applyFill="1" applyBorder="1" applyAlignment="1">
      <alignment horizontal="center" vertical="top" wrapText="1"/>
    </xf>
    <xf numFmtId="4" fontId="9" fillId="145" borderId="1" xfId="1" applyNumberFormat="1" applyFont="1" applyFill="1" applyBorder="1" applyAlignment="1">
      <alignment vertical="center" wrapText="1"/>
    </xf>
    <xf numFmtId="4" fontId="9" fillId="145" borderId="1" xfId="1" applyNumberFormat="1" applyFont="1" applyFill="1" applyBorder="1" applyAlignment="1">
      <alignment horizontal="right" vertical="center" wrapText="1"/>
    </xf>
    <xf numFmtId="165" fontId="9" fillId="145" borderId="1" xfId="0" applyNumberFormat="1" applyFont="1" applyFill="1" applyBorder="1" applyAlignment="1">
      <alignment horizontal="right" wrapText="1"/>
    </xf>
    <xf numFmtId="4" fontId="16" fillId="145" borderId="1" xfId="1" applyNumberFormat="1" applyFont="1" applyFill="1" applyBorder="1" applyAlignment="1">
      <alignment horizontal="right" wrapText="1"/>
    </xf>
    <xf numFmtId="0" fontId="19" fillId="2" borderId="1" xfId="0" applyFont="1" applyFill="1" applyBorder="1" applyAlignment="1">
      <alignment horizontal="center" vertical="center" wrapText="1"/>
    </xf>
    <xf numFmtId="0" fontId="216" fillId="2" borderId="0" xfId="0" applyNumberFormat="1" applyFont="1" applyFill="1" applyAlignment="1">
      <alignment horizontal="center"/>
    </xf>
    <xf numFmtId="0" fontId="216" fillId="2" borderId="0" xfId="0" applyFont="1" applyFill="1" applyAlignment="1">
      <alignment horizontal="center"/>
    </xf>
    <xf numFmtId="0" fontId="216" fillId="2" borderId="0" xfId="0" applyFont="1" applyFill="1" applyAlignment="1">
      <alignment horizontal="center" vertical="center"/>
    </xf>
    <xf numFmtId="0" fontId="17" fillId="2" borderId="1" xfId="0" applyFont="1" applyFill="1" applyBorder="1" applyAlignment="1">
      <alignment vertical="top" wrapText="1"/>
    </xf>
    <xf numFmtId="16" fontId="17" fillId="2" borderId="1" xfId="0" applyNumberFormat="1" applyFont="1" applyFill="1" applyBorder="1" applyAlignment="1">
      <alignment horizontal="center" vertical="center" wrapText="1"/>
    </xf>
    <xf numFmtId="0" fontId="17" fillId="2" borderId="1" xfId="0" applyFont="1" applyFill="1" applyBorder="1" applyAlignment="1">
      <alignment horizontal="left" vertical="top" wrapText="1"/>
    </xf>
    <xf numFmtId="0" fontId="216" fillId="2" borderId="0" xfId="0" applyFont="1" applyFill="1" applyAlignment="1">
      <alignment vertical="center"/>
    </xf>
    <xf numFmtId="165" fontId="6" fillId="2" borderId="1" xfId="0" applyNumberFormat="1" applyFont="1" applyFill="1" applyBorder="1" applyAlignment="1">
      <alignment horizontal="right" vertical="center" wrapText="1"/>
    </xf>
    <xf numFmtId="168" fontId="21" fillId="4" borderId="1" xfId="23875" applyFont="1" applyFill="1" applyBorder="1" applyAlignment="1">
      <alignment vertical="center" wrapText="1"/>
    </xf>
    <xf numFmtId="164" fontId="200" fillId="4" borderId="5" xfId="23874" applyNumberFormat="1" applyFont="1" applyFill="1" applyBorder="1" applyAlignment="1">
      <alignment horizontal="center" vertical="center" wrapText="1"/>
    </xf>
    <xf numFmtId="168" fontId="210" fillId="4" borderId="47" xfId="23875" applyFont="1" applyFill="1" applyBorder="1" applyAlignment="1">
      <alignment vertical="center"/>
    </xf>
    <xf numFmtId="0" fontId="1" fillId="2" borderId="5" xfId="0" applyFont="1" applyFill="1" applyBorder="1" applyAlignment="1">
      <alignment vertical="center" wrapText="1"/>
    </xf>
    <xf numFmtId="0" fontId="1" fillId="7" borderId="5" xfId="0" applyFont="1" applyFill="1" applyBorder="1" applyAlignment="1">
      <alignment horizontal="center" vertical="center" wrapText="1"/>
    </xf>
    <xf numFmtId="0" fontId="0" fillId="2" borderId="5" xfId="0" applyFont="1" applyFill="1" applyBorder="1" applyAlignment="1">
      <alignment horizontal="center" vertical="center"/>
    </xf>
    <xf numFmtId="0" fontId="0" fillId="7" borderId="5" xfId="0" applyFont="1" applyFill="1" applyBorder="1" applyAlignment="1">
      <alignment horizontal="center" vertical="center"/>
    </xf>
    <xf numFmtId="0" fontId="19" fillId="2" borderId="1"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1" fillId="0" borderId="47" xfId="0" applyFont="1" applyFill="1" applyBorder="1" applyAlignment="1">
      <alignment horizontal="center" vertical="center" wrapText="1"/>
    </xf>
    <xf numFmtId="165" fontId="11" fillId="2" borderId="1" xfId="1" applyNumberFormat="1" applyFont="1" applyFill="1" applyBorder="1" applyAlignment="1">
      <alignment horizontal="right" vertical="center" wrapText="1"/>
    </xf>
    <xf numFmtId="4" fontId="9" fillId="92" borderId="1" xfId="1" applyNumberFormat="1" applyFont="1" applyFill="1" applyBorder="1" applyAlignment="1">
      <alignment horizontal="right" vertical="center" wrapText="1"/>
    </xf>
    <xf numFmtId="165" fontId="231" fillId="2" borderId="9" xfId="0" applyNumberFormat="1" applyFont="1" applyFill="1" applyBorder="1" applyAlignment="1">
      <alignment horizontal="center" vertical="top" wrapText="1"/>
    </xf>
    <xf numFmtId="165" fontId="231" fillId="2" borderId="1" xfId="0" applyNumberFormat="1" applyFont="1" applyFill="1" applyBorder="1" applyAlignment="1">
      <alignment horizontal="right" wrapText="1"/>
    </xf>
    <xf numFmtId="4" fontId="232" fillId="2" borderId="1" xfId="1" applyNumberFormat="1" applyFont="1" applyFill="1" applyBorder="1" applyAlignment="1">
      <alignment horizontal="right" wrapText="1"/>
    </xf>
    <xf numFmtId="167" fontId="233" fillId="2" borderId="11" xfId="1" applyNumberFormat="1" applyFont="1" applyFill="1" applyBorder="1" applyAlignment="1">
      <alignment vertical="center" wrapText="1"/>
    </xf>
    <xf numFmtId="165" fontId="231" fillId="92" borderId="1" xfId="0" applyNumberFormat="1" applyFont="1" applyFill="1" applyBorder="1" applyAlignment="1">
      <alignment horizontal="right" wrapText="1"/>
    </xf>
    <xf numFmtId="165" fontId="9" fillId="92" borderId="1" xfId="0" applyNumberFormat="1" applyFont="1" applyFill="1" applyBorder="1" applyAlignment="1">
      <alignment horizontal="right" wrapText="1"/>
    </xf>
    <xf numFmtId="4" fontId="16" fillId="92" borderId="1" xfId="1" applyNumberFormat="1" applyFont="1" applyFill="1" applyBorder="1" applyAlignment="1">
      <alignment horizontal="right" wrapText="1"/>
    </xf>
    <xf numFmtId="168" fontId="21" fillId="0" borderId="1" xfId="23875" applyFont="1" applyFill="1" applyBorder="1" applyAlignment="1">
      <alignment vertical="center" wrapText="1"/>
    </xf>
    <xf numFmtId="0" fontId="17" fillId="0" borderId="1" xfId="0" applyFont="1" applyFill="1" applyBorder="1" applyAlignment="1">
      <alignment horizontal="center" vertical="center" wrapText="1"/>
    </xf>
    <xf numFmtId="0" fontId="21" fillId="2" borderId="1" xfId="0" applyFont="1" applyFill="1" applyBorder="1" applyAlignment="1">
      <alignment horizontal="center" vertical="center" wrapText="1"/>
    </xf>
    <xf numFmtId="0" fontId="17" fillId="2" borderId="1" xfId="0" applyFont="1" applyFill="1" applyBorder="1" applyAlignment="1">
      <alignment horizontal="center" vertical="center" wrapText="1"/>
    </xf>
    <xf numFmtId="167" fontId="21" fillId="2" borderId="1" xfId="0" applyNumberFormat="1" applyFont="1" applyFill="1" applyBorder="1" applyAlignment="1">
      <alignment horizontal="center" vertical="center" wrapText="1"/>
    </xf>
    <xf numFmtId="0" fontId="9" fillId="2" borderId="46" xfId="0" applyNumberFormat="1" applyFont="1" applyFill="1" applyBorder="1" applyAlignment="1">
      <alignment horizontal="center" vertical="center" wrapText="1"/>
    </xf>
    <xf numFmtId="49" fontId="4" fillId="2" borderId="47" xfId="0" applyNumberFormat="1" applyFont="1" applyFill="1" applyBorder="1" applyAlignment="1">
      <alignment horizontal="center" vertical="center" wrapText="1"/>
    </xf>
    <xf numFmtId="49" fontId="4" fillId="2" borderId="5" xfId="0" applyNumberFormat="1" applyFont="1" applyFill="1" applyBorder="1" applyAlignment="1">
      <alignment horizontal="center" vertical="center" wrapText="1"/>
    </xf>
    <xf numFmtId="49" fontId="4" fillId="2" borderId="6" xfId="0" applyNumberFormat="1" applyFont="1" applyFill="1" applyBorder="1" applyAlignment="1">
      <alignment horizontal="center" vertical="center" wrapText="1"/>
    </xf>
    <xf numFmtId="0" fontId="19" fillId="2" borderId="47" xfId="0" applyFont="1" applyFill="1" applyBorder="1" applyAlignment="1">
      <alignment horizontal="center" vertical="center" wrapText="1"/>
    </xf>
    <xf numFmtId="0" fontId="19" fillId="2" borderId="5" xfId="0" applyFont="1" applyFill="1" applyBorder="1" applyAlignment="1">
      <alignment horizontal="center" vertical="center" wrapText="1"/>
    </xf>
    <xf numFmtId="0" fontId="19" fillId="2" borderId="6" xfId="0" applyFont="1" applyFill="1" applyBorder="1" applyAlignment="1">
      <alignment horizontal="center" vertical="center" wrapText="1"/>
    </xf>
    <xf numFmtId="0" fontId="15" fillId="2" borderId="47" xfId="0" applyFont="1" applyFill="1" applyBorder="1" applyAlignment="1">
      <alignment horizontal="center" vertical="center" wrapText="1"/>
    </xf>
    <xf numFmtId="0" fontId="15" fillId="2" borderId="5" xfId="0" applyFont="1" applyFill="1" applyBorder="1" applyAlignment="1">
      <alignment horizontal="center" vertical="center" wrapText="1"/>
    </xf>
    <xf numFmtId="0" fontId="15" fillId="2" borderId="6" xfId="0" applyFont="1" applyFill="1" applyBorder="1" applyAlignment="1">
      <alignment horizontal="center" vertical="center" wrapText="1"/>
    </xf>
    <xf numFmtId="167" fontId="1" fillId="2" borderId="47" xfId="0" applyNumberFormat="1" applyFont="1" applyFill="1" applyBorder="1" applyAlignment="1">
      <alignment horizontal="center" vertical="center" wrapText="1"/>
    </xf>
    <xf numFmtId="167" fontId="1" fillId="2" borderId="5" xfId="0" applyNumberFormat="1" applyFont="1" applyFill="1" applyBorder="1" applyAlignment="1">
      <alignment horizontal="center" vertical="center" wrapText="1"/>
    </xf>
    <xf numFmtId="167" fontId="1" fillId="2" borderId="6" xfId="0" applyNumberFormat="1" applyFont="1" applyFill="1" applyBorder="1" applyAlignment="1">
      <alignment horizontal="center" vertical="center" wrapText="1"/>
    </xf>
    <xf numFmtId="0" fontId="1" fillId="2" borderId="47"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0" fillId="2" borderId="4" xfId="0" applyFont="1" applyFill="1" applyBorder="1" applyAlignment="1">
      <alignment horizontal="center" vertical="center"/>
    </xf>
    <xf numFmtId="0" fontId="0" fillId="2" borderId="5" xfId="0" applyFont="1" applyFill="1" applyBorder="1" applyAlignment="1">
      <alignment horizontal="center" vertical="center"/>
    </xf>
    <xf numFmtId="0" fontId="0" fillId="2" borderId="6" xfId="0" applyFont="1" applyFill="1" applyBorder="1" applyAlignment="1">
      <alignment horizontal="center" vertical="center"/>
    </xf>
    <xf numFmtId="0" fontId="1" fillId="7" borderId="46" xfId="0" applyFont="1" applyFill="1" applyBorder="1" applyAlignment="1">
      <alignment horizontal="center" vertical="center" wrapText="1"/>
    </xf>
    <xf numFmtId="0" fontId="0" fillId="140" borderId="4" xfId="0" applyFont="1" applyFill="1" applyBorder="1" applyAlignment="1">
      <alignment horizontal="center" vertical="center"/>
    </xf>
    <xf numFmtId="0" fontId="0" fillId="140" borderId="5" xfId="0" applyFont="1" applyFill="1" applyBorder="1" applyAlignment="1">
      <alignment horizontal="center" vertical="center"/>
    </xf>
    <xf numFmtId="0" fontId="0" fillId="140" borderId="6" xfId="0" applyFont="1" applyFill="1" applyBorder="1" applyAlignment="1">
      <alignment horizontal="center" vertical="center"/>
    </xf>
    <xf numFmtId="0" fontId="9" fillId="2" borderId="47" xfId="0" applyNumberFormat="1" applyFont="1" applyFill="1" applyBorder="1" applyAlignment="1">
      <alignment horizontal="center" vertical="center" wrapText="1"/>
    </xf>
    <xf numFmtId="0" fontId="9" fillId="2" borderId="5" xfId="0" applyNumberFormat="1" applyFont="1" applyFill="1" applyBorder="1" applyAlignment="1">
      <alignment horizontal="center" vertical="center" wrapText="1"/>
    </xf>
    <xf numFmtId="0" fontId="9" fillId="2" borderId="6" xfId="0" applyNumberFormat="1" applyFont="1" applyFill="1" applyBorder="1" applyAlignment="1">
      <alignment horizontal="center" vertical="center" wrapText="1"/>
    </xf>
    <xf numFmtId="0" fontId="9" fillId="7" borderId="46" xfId="0" applyNumberFormat="1" applyFont="1" applyFill="1" applyBorder="1" applyAlignment="1">
      <alignment horizontal="center" vertical="center" wrapText="1"/>
    </xf>
    <xf numFmtId="49" fontId="4" fillId="7" borderId="46" xfId="0" applyNumberFormat="1" applyFont="1" applyFill="1" applyBorder="1" applyAlignment="1">
      <alignment horizontal="center" vertical="center" wrapText="1"/>
    </xf>
    <xf numFmtId="49" fontId="4" fillId="2" borderId="46" xfId="0" applyNumberFormat="1" applyFont="1" applyFill="1" applyBorder="1" applyAlignment="1">
      <alignment horizontal="center" vertical="center" wrapText="1"/>
    </xf>
    <xf numFmtId="0" fontId="19" fillId="7" borderId="47" xfId="0" applyFont="1" applyFill="1" applyBorder="1" applyAlignment="1">
      <alignment horizontal="center" vertical="center" wrapText="1"/>
    </xf>
    <xf numFmtId="0" fontId="19" fillId="7" borderId="5" xfId="0" applyFont="1" applyFill="1" applyBorder="1" applyAlignment="1">
      <alignment horizontal="center" vertical="center" wrapText="1"/>
    </xf>
    <xf numFmtId="0" fontId="19" fillId="7" borderId="6" xfId="0" applyFont="1" applyFill="1" applyBorder="1" applyAlignment="1">
      <alignment horizontal="center" vertical="center" wrapText="1"/>
    </xf>
    <xf numFmtId="0" fontId="0" fillId="0" borderId="1" xfId="0" applyFont="1" applyFill="1" applyBorder="1" applyAlignment="1">
      <alignment horizontal="center" vertical="center"/>
    </xf>
    <xf numFmtId="49" fontId="3" fillId="7" borderId="4" xfId="0" applyNumberFormat="1" applyFont="1" applyFill="1" applyBorder="1" applyAlignment="1">
      <alignment horizontal="center" vertical="center" wrapText="1"/>
    </xf>
    <xf numFmtId="49" fontId="3" fillId="7" borderId="5" xfId="0" applyNumberFormat="1" applyFont="1" applyFill="1" applyBorder="1" applyAlignment="1">
      <alignment horizontal="center" vertical="center" wrapText="1"/>
    </xf>
    <xf numFmtId="49" fontId="3" fillId="7" borderId="6" xfId="0" applyNumberFormat="1" applyFont="1" applyFill="1" applyBorder="1" applyAlignment="1">
      <alignment horizontal="center" vertical="center" wrapText="1"/>
    </xf>
    <xf numFmtId="0" fontId="9" fillId="2" borderId="4" xfId="0" applyNumberFormat="1" applyFont="1" applyFill="1" applyBorder="1" applyAlignment="1">
      <alignment horizontal="center" vertical="center" wrapText="1"/>
    </xf>
    <xf numFmtId="49" fontId="4" fillId="2" borderId="4" xfId="0" applyNumberFormat="1" applyFont="1" applyFill="1" applyBorder="1" applyAlignment="1">
      <alignment horizontal="center" vertical="center" wrapText="1"/>
    </xf>
    <xf numFmtId="0" fontId="19" fillId="2" borderId="1" xfId="0" applyFont="1" applyFill="1" applyBorder="1" applyAlignment="1">
      <alignment horizontal="center" vertical="center" wrapText="1"/>
    </xf>
    <xf numFmtId="0" fontId="15" fillId="2" borderId="1" xfId="0" applyFont="1" applyFill="1" applyBorder="1" applyAlignment="1">
      <alignment horizontal="center" vertical="center" wrapText="1"/>
    </xf>
    <xf numFmtId="167" fontId="1" fillId="2" borderId="4" xfId="0" applyNumberFormat="1"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2" borderId="4" xfId="0" applyFont="1" applyFill="1" applyBorder="1" applyAlignment="1">
      <alignment vertical="center" wrapText="1"/>
    </xf>
    <xf numFmtId="0" fontId="1" fillId="2" borderId="5" xfId="0" applyFont="1" applyFill="1" applyBorder="1" applyAlignment="1">
      <alignment vertical="center" wrapText="1"/>
    </xf>
    <xf numFmtId="0" fontId="1" fillId="2" borderId="6" xfId="0" applyFont="1" applyFill="1" applyBorder="1" applyAlignment="1">
      <alignment vertical="center" wrapText="1"/>
    </xf>
    <xf numFmtId="0" fontId="15" fillId="2" borderId="4" xfId="0" applyFont="1" applyFill="1" applyBorder="1" applyAlignment="1">
      <alignment horizontal="center" vertical="center" wrapText="1"/>
    </xf>
    <xf numFmtId="0" fontId="0" fillId="0" borderId="4" xfId="0" applyFont="1" applyFill="1" applyBorder="1" applyAlignment="1">
      <alignment horizontal="center" vertical="center"/>
    </xf>
    <xf numFmtId="0" fontId="0" fillId="0" borderId="5" xfId="0" applyFont="1" applyFill="1" applyBorder="1" applyAlignment="1">
      <alignment horizontal="center" vertical="center"/>
    </xf>
    <xf numFmtId="0" fontId="0" fillId="0" borderId="6" xfId="0" applyFont="1" applyFill="1" applyBorder="1" applyAlignment="1">
      <alignment horizontal="center" vertical="center"/>
    </xf>
    <xf numFmtId="49" fontId="1" fillId="2" borderId="4" xfId="0" applyNumberFormat="1" applyFont="1" applyFill="1" applyBorder="1" applyAlignment="1">
      <alignment horizontal="center" vertical="center" wrapText="1"/>
    </xf>
    <xf numFmtId="0" fontId="1" fillId="2" borderId="4" xfId="0" applyFont="1" applyFill="1" applyBorder="1" applyAlignment="1">
      <alignment horizontal="center" vertical="center" wrapText="1"/>
    </xf>
    <xf numFmtId="0" fontId="3" fillId="2" borderId="4" xfId="0" applyNumberFormat="1" applyFont="1" applyFill="1" applyBorder="1" applyAlignment="1">
      <alignment horizontal="center" vertical="center" wrapText="1"/>
    </xf>
    <xf numFmtId="0" fontId="3" fillId="2" borderId="5" xfId="0" applyNumberFormat="1" applyFont="1" applyFill="1" applyBorder="1" applyAlignment="1">
      <alignment horizontal="center" vertical="center" wrapText="1"/>
    </xf>
    <xf numFmtId="0" fontId="3" fillId="2" borderId="6" xfId="0" applyNumberFormat="1" applyFont="1" applyFill="1" applyBorder="1" applyAlignment="1">
      <alignment horizontal="center" vertical="center" wrapText="1"/>
    </xf>
    <xf numFmtId="0" fontId="3" fillId="14" borderId="4" xfId="0" applyNumberFormat="1" applyFont="1" applyFill="1" applyBorder="1" applyAlignment="1">
      <alignment horizontal="center" vertical="center" wrapText="1"/>
    </xf>
    <xf numFmtId="0" fontId="3" fillId="14" borderId="5" xfId="0" applyNumberFormat="1" applyFont="1" applyFill="1" applyBorder="1" applyAlignment="1">
      <alignment horizontal="center" vertical="center" wrapText="1"/>
    </xf>
    <xf numFmtId="0" fontId="3" fillId="14" borderId="6" xfId="0" applyNumberFormat="1" applyFont="1" applyFill="1" applyBorder="1" applyAlignment="1">
      <alignment horizontal="center" vertical="center" wrapText="1"/>
    </xf>
    <xf numFmtId="0" fontId="11" fillId="14" borderId="4" xfId="0" applyFont="1" applyFill="1" applyBorder="1" applyAlignment="1">
      <alignment horizontal="left" vertical="center" wrapText="1"/>
    </xf>
    <xf numFmtId="0" fontId="11" fillId="14" borderId="5" xfId="0" applyFont="1" applyFill="1" applyBorder="1" applyAlignment="1">
      <alignment horizontal="left" vertical="center" wrapText="1"/>
    </xf>
    <xf numFmtId="0" fontId="11" fillId="14" borderId="6" xfId="0" applyFont="1" applyFill="1" applyBorder="1" applyAlignment="1">
      <alignment horizontal="left" vertical="center" wrapText="1"/>
    </xf>
    <xf numFmtId="0" fontId="4" fillId="2" borderId="4" xfId="0" applyNumberFormat="1" applyFont="1" applyFill="1" applyBorder="1" applyAlignment="1">
      <alignment horizontal="center" vertical="center" wrapText="1"/>
    </xf>
    <xf numFmtId="0" fontId="4" fillId="2" borderId="5" xfId="0" applyNumberFormat="1" applyFont="1" applyFill="1" applyBorder="1" applyAlignment="1">
      <alignment horizontal="center" vertical="center" wrapText="1"/>
    </xf>
    <xf numFmtId="0" fontId="4" fillId="2" borderId="6" xfId="0" applyNumberFormat="1" applyFont="1" applyFill="1" applyBorder="1" applyAlignment="1">
      <alignment horizontal="center" vertical="center" wrapText="1"/>
    </xf>
    <xf numFmtId="0" fontId="19" fillId="2" borderId="4" xfId="0" applyFont="1" applyFill="1" applyBorder="1" applyAlignment="1">
      <alignment horizontal="left" vertical="center" wrapText="1"/>
    </xf>
    <xf numFmtId="0" fontId="19" fillId="2" borderId="5" xfId="0" applyFont="1" applyFill="1" applyBorder="1" applyAlignment="1">
      <alignment horizontal="left" vertical="center" wrapText="1"/>
    </xf>
    <xf numFmtId="0" fontId="19" fillId="2" borderId="6" xfId="0" applyFont="1" applyFill="1" applyBorder="1" applyAlignment="1">
      <alignment horizontal="left" vertical="center" wrapText="1"/>
    </xf>
    <xf numFmtId="0" fontId="1" fillId="7" borderId="1" xfId="0" applyFont="1" applyFill="1" applyBorder="1" applyAlignment="1">
      <alignment horizontal="center" vertical="center" wrapText="1"/>
    </xf>
    <xf numFmtId="0" fontId="21" fillId="2" borderId="1" xfId="0" applyFont="1" applyFill="1" applyBorder="1" applyAlignment="1">
      <alignment horizontal="center" vertical="center" wrapText="1"/>
    </xf>
    <xf numFmtId="167" fontId="15" fillId="2" borderId="4" xfId="0" applyNumberFormat="1" applyFont="1" applyFill="1" applyBorder="1" applyAlignment="1">
      <alignment horizontal="center" vertical="center" wrapText="1"/>
    </xf>
    <xf numFmtId="0" fontId="25" fillId="7" borderId="4" xfId="0" applyNumberFormat="1" applyFont="1" applyFill="1" applyBorder="1" applyAlignment="1">
      <alignment horizontal="center" vertical="center" wrapText="1"/>
    </xf>
    <xf numFmtId="0" fontId="25" fillId="7" borderId="5" xfId="0" applyNumberFormat="1" applyFont="1" applyFill="1" applyBorder="1" applyAlignment="1">
      <alignment horizontal="center" vertical="center" wrapText="1"/>
    </xf>
    <xf numFmtId="0" fontId="25" fillId="7" borderId="6" xfId="0" applyNumberFormat="1" applyFont="1" applyFill="1" applyBorder="1" applyAlignment="1">
      <alignment horizontal="center" vertical="center" wrapText="1"/>
    </xf>
    <xf numFmtId="0" fontId="11" fillId="7" borderId="4" xfId="0" applyNumberFormat="1" applyFont="1" applyFill="1" applyBorder="1" applyAlignment="1">
      <alignment horizontal="left" vertical="center" wrapText="1"/>
    </xf>
    <xf numFmtId="0" fontId="11" fillId="7" borderId="5" xfId="0" applyNumberFormat="1" applyFont="1" applyFill="1" applyBorder="1" applyAlignment="1">
      <alignment horizontal="left" vertical="center" wrapText="1"/>
    </xf>
    <xf numFmtId="0" fontId="11" fillId="7" borderId="6" xfId="0" applyNumberFormat="1" applyFont="1" applyFill="1" applyBorder="1" applyAlignment="1">
      <alignment horizontal="left" vertical="center" wrapText="1"/>
    </xf>
    <xf numFmtId="0" fontId="6" fillId="7" borderId="4" xfId="0" applyFont="1" applyFill="1" applyBorder="1" applyAlignment="1">
      <alignment horizontal="center" vertical="center" wrapText="1"/>
    </xf>
    <xf numFmtId="0" fontId="6" fillId="7" borderId="5" xfId="0" applyFont="1" applyFill="1" applyBorder="1" applyAlignment="1">
      <alignment horizontal="center" vertical="center" wrapText="1"/>
    </xf>
    <xf numFmtId="0" fontId="6" fillId="7" borderId="6" xfId="0" applyFont="1" applyFill="1" applyBorder="1" applyAlignment="1">
      <alignment horizontal="center" vertical="center" wrapText="1"/>
    </xf>
    <xf numFmtId="0" fontId="21" fillId="2" borderId="4" xfId="0" applyFont="1" applyFill="1" applyBorder="1" applyAlignment="1">
      <alignment horizontal="center" vertical="center" wrapText="1"/>
    </xf>
    <xf numFmtId="0" fontId="21" fillId="2" borderId="5" xfId="0" applyFont="1" applyFill="1" applyBorder="1" applyAlignment="1">
      <alignment horizontal="center" vertical="center" wrapText="1"/>
    </xf>
    <xf numFmtId="0" fontId="21" fillId="2" borderId="6" xfId="0" applyFont="1" applyFill="1" applyBorder="1" applyAlignment="1">
      <alignment horizontal="center" vertical="center" wrapText="1"/>
    </xf>
    <xf numFmtId="0" fontId="6" fillId="2" borderId="4" xfId="0" applyNumberFormat="1" applyFont="1" applyFill="1" applyBorder="1" applyAlignment="1">
      <alignment horizontal="center" vertical="center" wrapText="1"/>
    </xf>
    <xf numFmtId="0" fontId="6" fillId="2" borderId="5" xfId="0" applyNumberFormat="1" applyFont="1" applyFill="1" applyBorder="1" applyAlignment="1">
      <alignment horizontal="center" vertical="center" wrapText="1"/>
    </xf>
    <xf numFmtId="0" fontId="6" fillId="2" borderId="6" xfId="0" applyNumberFormat="1" applyFont="1" applyFill="1" applyBorder="1" applyAlignment="1">
      <alignment horizontal="center" vertical="center" wrapText="1"/>
    </xf>
    <xf numFmtId="0" fontId="6" fillId="2" borderId="4" xfId="0" applyFont="1" applyFill="1" applyBorder="1" applyAlignment="1">
      <alignment horizontal="left" vertical="center" wrapText="1"/>
    </xf>
    <xf numFmtId="0" fontId="6" fillId="2" borderId="5" xfId="0" applyFont="1" applyFill="1" applyBorder="1" applyAlignment="1">
      <alignment horizontal="left" vertical="center" wrapText="1"/>
    </xf>
    <xf numFmtId="0" fontId="6" fillId="2" borderId="6" xfId="0" applyFont="1" applyFill="1" applyBorder="1" applyAlignment="1">
      <alignment horizontal="left" vertical="center" wrapText="1"/>
    </xf>
    <xf numFmtId="0" fontId="21" fillId="2" borderId="4" xfId="0" applyFont="1" applyFill="1" applyBorder="1" applyAlignment="1">
      <alignment vertical="center" wrapText="1"/>
    </xf>
    <xf numFmtId="0" fontId="21" fillId="2" borderId="5" xfId="0" applyFont="1" applyFill="1" applyBorder="1" applyAlignment="1">
      <alignment vertical="center" wrapText="1"/>
    </xf>
    <xf numFmtId="0" fontId="21" fillId="2" borderId="6" xfId="0" applyFont="1" applyFill="1" applyBorder="1" applyAlignment="1">
      <alignment vertical="center" wrapText="1"/>
    </xf>
    <xf numFmtId="0" fontId="0" fillId="7" borderId="5" xfId="0" applyFill="1" applyBorder="1" applyAlignment="1">
      <alignment horizontal="left" vertical="center" wrapText="1"/>
    </xf>
    <xf numFmtId="0" fontId="0" fillId="7" borderId="6" xfId="0" applyFill="1" applyBorder="1" applyAlignment="1">
      <alignment horizontal="left" vertical="center" wrapText="1"/>
    </xf>
    <xf numFmtId="0" fontId="1" fillId="14" borderId="4" xfId="0" applyFont="1" applyFill="1" applyBorder="1" applyAlignment="1">
      <alignment horizontal="center" vertical="center" wrapText="1"/>
    </xf>
    <xf numFmtId="0" fontId="1" fillId="14" borderId="5" xfId="0" applyFont="1" applyFill="1" applyBorder="1" applyAlignment="1">
      <alignment horizontal="center" vertical="center" wrapText="1"/>
    </xf>
    <xf numFmtId="167" fontId="15" fillId="0" borderId="4" xfId="0" applyNumberFormat="1"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2" borderId="4" xfId="0" applyFont="1" applyFill="1" applyBorder="1" applyAlignment="1">
      <alignment horizontal="left" vertical="center" wrapText="1"/>
    </xf>
    <xf numFmtId="0" fontId="15" fillId="2" borderId="5" xfId="0" applyFont="1" applyFill="1" applyBorder="1" applyAlignment="1">
      <alignment horizontal="left" vertical="center" wrapText="1"/>
    </xf>
    <xf numFmtId="0" fontId="15" fillId="2" borderId="6" xfId="0" applyFont="1" applyFill="1" applyBorder="1" applyAlignment="1">
      <alignment horizontal="left" vertical="center" wrapText="1"/>
    </xf>
    <xf numFmtId="0" fontId="15" fillId="2" borderId="5" xfId="0" applyFont="1" applyFill="1" applyBorder="1" applyAlignment="1">
      <alignment vertical="center" wrapText="1"/>
    </xf>
    <xf numFmtId="0" fontId="15" fillId="2" borderId="6" xfId="0" applyFont="1" applyFill="1" applyBorder="1" applyAlignment="1">
      <alignment vertical="center" wrapText="1"/>
    </xf>
    <xf numFmtId="0" fontId="1" fillId="7" borderId="4" xfId="0" applyFont="1" applyFill="1" applyBorder="1" applyAlignment="1">
      <alignment horizontal="center" vertical="center" wrapText="1"/>
    </xf>
    <xf numFmtId="0" fontId="1" fillId="7" borderId="5" xfId="0" applyFont="1" applyFill="1" applyBorder="1" applyAlignment="1">
      <alignment horizontal="center" vertical="center" wrapText="1"/>
    </xf>
    <xf numFmtId="0" fontId="0" fillId="7" borderId="4" xfId="0" applyFont="1" applyFill="1" applyBorder="1" applyAlignment="1">
      <alignment horizontal="center" vertical="center"/>
    </xf>
    <xf numFmtId="0" fontId="0" fillId="7" borderId="5" xfId="0" applyFont="1" applyFill="1" applyBorder="1" applyAlignment="1">
      <alignment horizontal="center" vertical="center"/>
    </xf>
    <xf numFmtId="0" fontId="0" fillId="0" borderId="5" xfId="0" applyFill="1" applyBorder="1" applyAlignment="1">
      <alignment horizontal="center" vertical="center"/>
    </xf>
    <xf numFmtId="0" fontId="0" fillId="0" borderId="6" xfId="0" applyFill="1" applyBorder="1" applyAlignment="1">
      <alignment horizontal="center" vertical="center"/>
    </xf>
    <xf numFmtId="0" fontId="15" fillId="2" borderId="4" xfId="0" applyFont="1" applyFill="1" applyBorder="1" applyAlignment="1">
      <alignment vertical="top" wrapText="1"/>
    </xf>
    <xf numFmtId="0" fontId="15" fillId="2" borderId="5" xfId="0" applyFont="1" applyFill="1" applyBorder="1" applyAlignment="1">
      <alignment vertical="top" wrapText="1"/>
    </xf>
    <xf numFmtId="0" fontId="15" fillId="2" borderId="6" xfId="0" applyFont="1" applyFill="1" applyBorder="1" applyAlignment="1">
      <alignment vertical="top" wrapText="1"/>
    </xf>
    <xf numFmtId="0" fontId="19" fillId="2" borderId="4" xfId="0" applyFont="1" applyFill="1" applyBorder="1" applyAlignment="1">
      <alignment horizontal="center" vertical="center" wrapText="1"/>
    </xf>
    <xf numFmtId="0" fontId="1" fillId="7" borderId="6" xfId="0" applyFont="1" applyFill="1" applyBorder="1" applyAlignment="1">
      <alignment horizontal="center" vertical="center" wrapText="1"/>
    </xf>
    <xf numFmtId="0" fontId="6" fillId="2" borderId="4" xfId="0" applyFont="1" applyFill="1" applyBorder="1" applyAlignment="1">
      <alignment vertical="center" wrapText="1"/>
    </xf>
    <xf numFmtId="0" fontId="6" fillId="2" borderId="5" xfId="0" applyFont="1" applyFill="1" applyBorder="1" applyAlignment="1">
      <alignment vertical="center" wrapText="1"/>
    </xf>
    <xf numFmtId="0" fontId="6" fillId="2" borderId="6" xfId="0" applyFont="1" applyFill="1" applyBorder="1" applyAlignment="1">
      <alignment vertical="center" wrapText="1"/>
    </xf>
    <xf numFmtId="0" fontId="6" fillId="0" borderId="2" xfId="0" applyFont="1" applyFill="1" applyBorder="1" applyAlignment="1">
      <alignment horizontal="center"/>
    </xf>
    <xf numFmtId="0" fontId="6" fillId="0" borderId="7" xfId="0" applyFont="1" applyFill="1" applyBorder="1" applyAlignment="1">
      <alignment horizontal="center"/>
    </xf>
    <xf numFmtId="0" fontId="6" fillId="0" borderId="3" xfId="0" applyFont="1" applyFill="1" applyBorder="1" applyAlignment="1">
      <alignment horizontal="center"/>
    </xf>
    <xf numFmtId="0" fontId="6" fillId="7" borderId="4" xfId="0" applyFont="1" applyFill="1" applyBorder="1" applyAlignment="1">
      <alignment horizontal="left" vertical="center" wrapText="1"/>
    </xf>
    <xf numFmtId="0" fontId="9" fillId="2" borderId="4" xfId="0" applyFont="1" applyFill="1" applyBorder="1" applyAlignment="1">
      <alignment vertical="center" wrapText="1"/>
    </xf>
    <xf numFmtId="0" fontId="9" fillId="2" borderId="5" xfId="0" applyFont="1" applyFill="1" applyBorder="1" applyAlignment="1">
      <alignment vertical="center" wrapText="1"/>
    </xf>
    <xf numFmtId="0" fontId="9" fillId="2" borderId="6" xfId="0" applyFont="1" applyFill="1" applyBorder="1" applyAlignment="1">
      <alignment vertical="center" wrapText="1"/>
    </xf>
    <xf numFmtId="0" fontId="174" fillId="2" borderId="5" xfId="0" applyFont="1" applyFill="1" applyBorder="1" applyAlignment="1">
      <alignment horizontal="center" vertical="center" wrapText="1"/>
    </xf>
    <xf numFmtId="0" fontId="174" fillId="2" borderId="6" xfId="0" applyFont="1" applyFill="1" applyBorder="1" applyAlignment="1">
      <alignment horizontal="center" vertical="center" wrapText="1"/>
    </xf>
    <xf numFmtId="0" fontId="9" fillId="2" borderId="1" xfId="0" applyFont="1" applyFill="1" applyBorder="1" applyAlignment="1">
      <alignment horizontal="left" vertical="center" wrapText="1"/>
    </xf>
    <xf numFmtId="0" fontId="41" fillId="2" borderId="1" xfId="0" applyFont="1" applyFill="1" applyBorder="1" applyAlignment="1">
      <alignment horizontal="left" vertical="center" wrapText="1"/>
    </xf>
    <xf numFmtId="0" fontId="9" fillId="2" borderId="4" xfId="0" applyFont="1" applyFill="1" applyBorder="1" applyAlignment="1">
      <alignment horizontal="center" vertical="center" wrapText="1"/>
    </xf>
    <xf numFmtId="0" fontId="9" fillId="2" borderId="5"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1" xfId="0" applyNumberFormat="1" applyFont="1" applyFill="1" applyBorder="1" applyAlignment="1">
      <alignment horizontal="center" vertical="center" wrapText="1"/>
    </xf>
    <xf numFmtId="0" fontId="0" fillId="2" borderId="5" xfId="0" applyFont="1" applyFill="1" applyBorder="1" applyAlignment="1">
      <alignment vertical="center" wrapText="1"/>
    </xf>
    <xf numFmtId="0" fontId="0" fillId="2" borderId="6" xfId="0" applyFont="1" applyFill="1" applyBorder="1" applyAlignment="1">
      <alignment vertical="center" wrapText="1"/>
    </xf>
    <xf numFmtId="0" fontId="9" fillId="2" borderId="4" xfId="0" applyNumberFormat="1" applyFont="1" applyFill="1" applyBorder="1" applyAlignment="1">
      <alignment horizontal="left" vertical="center" wrapText="1"/>
    </xf>
    <xf numFmtId="0" fontId="0" fillId="2" borderId="5" xfId="0" applyFill="1" applyBorder="1" applyAlignment="1">
      <alignment horizontal="left" vertical="center" wrapText="1"/>
    </xf>
    <xf numFmtId="0" fontId="0" fillId="2" borderId="6" xfId="0" applyFill="1" applyBorder="1" applyAlignment="1">
      <alignment horizontal="left" vertical="center" wrapText="1"/>
    </xf>
    <xf numFmtId="0" fontId="6" fillId="0" borderId="8" xfId="0" applyNumberFormat="1" applyFont="1" applyFill="1" applyBorder="1" applyAlignment="1">
      <alignment horizontal="center"/>
    </xf>
    <xf numFmtId="0" fontId="4" fillId="0" borderId="4" xfId="0" applyNumberFormat="1" applyFont="1" applyFill="1" applyBorder="1" applyAlignment="1">
      <alignment horizontal="center" vertical="center" wrapText="1"/>
    </xf>
    <xf numFmtId="0" fontId="4" fillId="0" borderId="5" xfId="0" applyNumberFormat="1" applyFont="1" applyFill="1" applyBorder="1" applyAlignment="1">
      <alignment horizontal="center" vertical="center" wrapText="1"/>
    </xf>
    <xf numFmtId="0" fontId="4" fillId="0" borderId="6" xfId="0" applyNumberFormat="1" applyFont="1" applyFill="1" applyBorder="1" applyAlignment="1">
      <alignment horizontal="center" vertical="center" wrapText="1"/>
    </xf>
    <xf numFmtId="0" fontId="9" fillId="0" borderId="4" xfId="0" applyFont="1" applyFill="1" applyBorder="1" applyAlignment="1">
      <alignment horizontal="left" vertical="center" wrapText="1"/>
    </xf>
    <xf numFmtId="0" fontId="9" fillId="0" borderId="5" xfId="0" applyFont="1" applyFill="1" applyBorder="1" applyAlignment="1">
      <alignment horizontal="left" vertical="center" wrapText="1"/>
    </xf>
    <xf numFmtId="0" fontId="9" fillId="0" borderId="6" xfId="0" applyFont="1" applyFill="1" applyBorder="1" applyAlignment="1">
      <alignment horizontal="left" vertical="center" wrapText="1"/>
    </xf>
    <xf numFmtId="0" fontId="1" fillId="0" borderId="4"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3" fillId="0" borderId="4" xfId="0" applyNumberFormat="1" applyFont="1" applyFill="1" applyBorder="1" applyAlignment="1">
      <alignment horizontal="center" vertical="center" wrapText="1"/>
    </xf>
    <xf numFmtId="0" fontId="3" fillId="0" borderId="5" xfId="0" applyNumberFormat="1" applyFont="1" applyFill="1" applyBorder="1" applyAlignment="1">
      <alignment horizontal="center" vertical="center" wrapText="1"/>
    </xf>
    <xf numFmtId="0" fontId="3" fillId="0" borderId="6" xfId="0" applyNumberFormat="1" applyFont="1" applyFill="1" applyBorder="1" applyAlignment="1">
      <alignment horizontal="center" vertical="center" wrapText="1"/>
    </xf>
    <xf numFmtId="0" fontId="6" fillId="0" borderId="4" xfId="0" applyFont="1" applyFill="1" applyBorder="1" applyAlignment="1">
      <alignment horizontal="left" vertical="center" wrapText="1"/>
    </xf>
    <xf numFmtId="0" fontId="6" fillId="0" borderId="5" xfId="0" applyFont="1" applyFill="1" applyBorder="1" applyAlignment="1">
      <alignment horizontal="left" vertical="center" wrapText="1"/>
    </xf>
    <xf numFmtId="0" fontId="6" fillId="0" borderId="6" xfId="0" applyFont="1" applyFill="1" applyBorder="1" applyAlignment="1">
      <alignment horizontal="left" vertical="center" wrapText="1"/>
    </xf>
    <xf numFmtId="0" fontId="0" fillId="2" borderId="4" xfId="0" applyFont="1" applyFill="1" applyBorder="1" applyAlignment="1">
      <alignment horizontal="center" vertical="center" wrapText="1"/>
    </xf>
    <xf numFmtId="0" fontId="0" fillId="2" borderId="6"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21" fillId="0" borderId="4" xfId="0" applyFont="1" applyFill="1" applyBorder="1" applyAlignment="1">
      <alignment horizontal="center" vertical="center" wrapText="1"/>
    </xf>
    <xf numFmtId="0" fontId="21" fillId="0" borderId="6"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0" fillId="0" borderId="10" xfId="0" applyFill="1" applyBorder="1"/>
    <xf numFmtId="0" fontId="0" fillId="0" borderId="11" xfId="0" applyFill="1" applyBorder="1"/>
    <xf numFmtId="0" fontId="0" fillId="14" borderId="4" xfId="0" applyFont="1" applyFill="1" applyBorder="1" applyAlignment="1">
      <alignment horizontal="center" vertical="center"/>
    </xf>
    <xf numFmtId="0" fontId="0" fillId="14" borderId="5" xfId="0" applyFont="1" applyFill="1" applyBorder="1" applyAlignment="1">
      <alignment horizontal="center" vertical="center"/>
    </xf>
    <xf numFmtId="0" fontId="15" fillId="14" borderId="4" xfId="0" applyFont="1" applyFill="1" applyBorder="1" applyAlignment="1">
      <alignment horizontal="center" vertical="center" wrapText="1"/>
    </xf>
    <xf numFmtId="0" fontId="15" fillId="14" borderId="5" xfId="0" applyFont="1" applyFill="1" applyBorder="1" applyAlignment="1">
      <alignment horizontal="center" vertical="center" wrapText="1"/>
    </xf>
    <xf numFmtId="0" fontId="19" fillId="14" borderId="2" xfId="0" applyFont="1" applyFill="1" applyBorder="1" applyAlignment="1">
      <alignment horizontal="center"/>
    </xf>
    <xf numFmtId="0" fontId="19" fillId="14" borderId="7" xfId="0" applyFont="1" applyFill="1" applyBorder="1" applyAlignment="1">
      <alignment horizontal="center"/>
    </xf>
    <xf numFmtId="0" fontId="25" fillId="14" borderId="4" xfId="0" applyNumberFormat="1" applyFont="1" applyFill="1" applyBorder="1" applyAlignment="1">
      <alignment horizontal="center" vertical="center" wrapText="1"/>
    </xf>
    <xf numFmtId="0" fontId="25" fillId="14" borderId="5" xfId="0" applyNumberFormat="1" applyFont="1" applyFill="1" applyBorder="1" applyAlignment="1">
      <alignment horizontal="center" vertical="center" wrapText="1"/>
    </xf>
    <xf numFmtId="0" fontId="25" fillId="14" borderId="6" xfId="0" applyNumberFormat="1" applyFont="1" applyFill="1" applyBorder="1" applyAlignment="1">
      <alignment horizontal="center" vertical="center" wrapText="1"/>
    </xf>
    <xf numFmtId="0" fontId="19" fillId="14" borderId="4" xfId="0" applyFont="1" applyFill="1" applyBorder="1" applyAlignment="1">
      <alignment horizontal="left" vertical="center" wrapText="1"/>
    </xf>
    <xf numFmtId="0" fontId="19" fillId="14" borderId="5" xfId="0" applyFont="1" applyFill="1" applyBorder="1" applyAlignment="1">
      <alignment horizontal="left" vertical="center" wrapText="1"/>
    </xf>
    <xf numFmtId="0" fontId="19" fillId="14" borderId="6" xfId="0" applyFont="1" applyFill="1" applyBorder="1" applyAlignment="1">
      <alignment horizontal="left" vertical="center" wrapText="1"/>
    </xf>
    <xf numFmtId="0" fontId="0" fillId="7" borderId="6" xfId="0" applyFont="1" applyFill="1" applyBorder="1" applyAlignment="1">
      <alignment horizontal="center" vertical="center"/>
    </xf>
    <xf numFmtId="0" fontId="6" fillId="7" borderId="4" xfId="0" applyFont="1" applyFill="1" applyBorder="1" applyAlignment="1">
      <alignment vertical="center" wrapText="1"/>
    </xf>
    <xf numFmtId="0" fontId="0" fillId="7" borderId="5" xfId="0" applyFont="1" applyFill="1" applyBorder="1" applyAlignment="1">
      <alignment vertical="center" wrapText="1"/>
    </xf>
    <xf numFmtId="0" fontId="0" fillId="7" borderId="6" xfId="0" applyFont="1" applyFill="1" applyBorder="1" applyAlignment="1">
      <alignment vertical="center" wrapText="1"/>
    </xf>
    <xf numFmtId="0" fontId="0" fillId="2" borderId="5" xfId="0" applyFill="1" applyBorder="1" applyAlignment="1">
      <alignment horizontal="center" vertical="center" wrapText="1"/>
    </xf>
    <xf numFmtId="0" fontId="0" fillId="2" borderId="6" xfId="0" applyFill="1" applyBorder="1" applyAlignment="1">
      <alignment horizontal="center" vertical="center" wrapText="1"/>
    </xf>
    <xf numFmtId="0" fontId="6" fillId="2" borderId="4" xfId="0" applyNumberFormat="1" applyFont="1" applyFill="1" applyBorder="1" applyAlignment="1">
      <alignment horizontal="left" vertical="center" wrapText="1"/>
    </xf>
    <xf numFmtId="0" fontId="3" fillId="7" borderId="4" xfId="0" applyNumberFormat="1" applyFont="1" applyFill="1" applyBorder="1" applyAlignment="1">
      <alignment horizontal="center" vertical="center" wrapText="1"/>
    </xf>
    <xf numFmtId="0" fontId="3" fillId="7" borderId="5" xfId="0" applyNumberFormat="1" applyFont="1" applyFill="1" applyBorder="1" applyAlignment="1">
      <alignment horizontal="center" vertical="center" wrapText="1"/>
    </xf>
    <xf numFmtId="0" fontId="3" fillId="7" borderId="6" xfId="0" applyNumberFormat="1" applyFont="1" applyFill="1" applyBorder="1" applyAlignment="1">
      <alignment horizontal="center" vertical="center" wrapText="1"/>
    </xf>
    <xf numFmtId="0" fontId="9" fillId="7" borderId="4" xfId="0" applyNumberFormat="1" applyFont="1" applyFill="1" applyBorder="1" applyAlignment="1">
      <alignment horizontal="left" vertical="center" wrapText="1"/>
    </xf>
    <xf numFmtId="0" fontId="9" fillId="7" borderId="5" xfId="0" applyNumberFormat="1" applyFont="1" applyFill="1" applyBorder="1" applyAlignment="1">
      <alignment horizontal="left" vertical="center" wrapText="1"/>
    </xf>
    <xf numFmtId="0" fontId="9" fillId="7" borderId="6" xfId="0" applyNumberFormat="1" applyFont="1" applyFill="1" applyBorder="1" applyAlignment="1">
      <alignment horizontal="left" vertical="center" wrapText="1"/>
    </xf>
    <xf numFmtId="0" fontId="6" fillId="2" borderId="4" xfId="0" applyFont="1" applyFill="1" applyBorder="1" applyAlignment="1">
      <alignment vertical="center" wrapText="1" shrinkToFit="1"/>
    </xf>
    <xf numFmtId="0" fontId="0" fillId="2" borderId="5" xfId="0" applyFont="1" applyFill="1" applyBorder="1" applyAlignment="1">
      <alignment vertical="center" wrapText="1" shrinkToFit="1"/>
    </xf>
    <xf numFmtId="0" fontId="0" fillId="2" borderId="6" xfId="0" applyFont="1" applyFill="1" applyBorder="1" applyAlignment="1">
      <alignment vertical="center" wrapText="1" shrinkToFit="1"/>
    </xf>
    <xf numFmtId="0" fontId="9" fillId="2" borderId="5" xfId="0" applyNumberFormat="1" applyFont="1" applyFill="1" applyBorder="1" applyAlignment="1">
      <alignment horizontal="left" vertical="center" wrapText="1"/>
    </xf>
    <xf numFmtId="0" fontId="9" fillId="2" borderId="6" xfId="0" applyNumberFormat="1" applyFont="1" applyFill="1" applyBorder="1" applyAlignment="1">
      <alignment horizontal="left" vertical="center" wrapText="1"/>
    </xf>
    <xf numFmtId="0" fontId="0" fillId="2" borderId="5" xfId="0" applyFill="1" applyBorder="1" applyAlignment="1">
      <alignment vertical="center" wrapText="1"/>
    </xf>
    <xf numFmtId="0" fontId="0" fillId="2" borderId="6" xfId="0" applyFill="1" applyBorder="1" applyAlignment="1">
      <alignment vertical="center" wrapText="1"/>
    </xf>
    <xf numFmtId="49" fontId="19" fillId="2" borderId="4" xfId="0" applyNumberFormat="1" applyFont="1" applyFill="1" applyBorder="1" applyAlignment="1">
      <alignment horizontal="left" vertical="center" wrapText="1"/>
    </xf>
    <xf numFmtId="49" fontId="19" fillId="2" borderId="5" xfId="0" applyNumberFormat="1" applyFont="1" applyFill="1" applyBorder="1" applyAlignment="1">
      <alignment horizontal="left" vertical="center" wrapText="1"/>
    </xf>
    <xf numFmtId="49" fontId="19" fillId="2" borderId="6" xfId="0" applyNumberFormat="1" applyFont="1" applyFill="1" applyBorder="1" applyAlignment="1">
      <alignment horizontal="left" vertical="center" wrapText="1"/>
    </xf>
    <xf numFmtId="49" fontId="19" fillId="2" borderId="4" xfId="0" applyNumberFormat="1" applyFont="1" applyFill="1" applyBorder="1" applyAlignment="1">
      <alignment horizontal="center" vertical="center" wrapText="1"/>
    </xf>
    <xf numFmtId="49" fontId="19" fillId="2" borderId="5" xfId="0" applyNumberFormat="1" applyFont="1" applyFill="1" applyBorder="1" applyAlignment="1">
      <alignment horizontal="center" vertical="center" wrapText="1"/>
    </xf>
    <xf numFmtId="49" fontId="19" fillId="2" borderId="6" xfId="0" applyNumberFormat="1" applyFont="1" applyFill="1" applyBorder="1" applyAlignment="1">
      <alignment horizontal="center" vertical="center" wrapText="1"/>
    </xf>
    <xf numFmtId="0" fontId="6" fillId="7" borderId="2" xfId="0" applyFont="1" applyFill="1" applyBorder="1" applyAlignment="1">
      <alignment horizontal="center" wrapText="1"/>
    </xf>
    <xf numFmtId="0" fontId="6" fillId="7" borderId="7" xfId="0" applyFont="1" applyFill="1" applyBorder="1" applyAlignment="1">
      <alignment horizontal="center" wrapText="1"/>
    </xf>
    <xf numFmtId="0" fontId="6" fillId="7" borderId="3" xfId="0" applyFont="1" applyFill="1" applyBorder="1" applyAlignment="1">
      <alignment horizontal="center" wrapText="1"/>
    </xf>
    <xf numFmtId="0" fontId="6" fillId="7" borderId="4" xfId="0" applyNumberFormat="1" applyFont="1" applyFill="1" applyBorder="1" applyAlignment="1">
      <alignment horizontal="left" vertical="top" wrapText="1"/>
    </xf>
    <xf numFmtId="0" fontId="6" fillId="7" borderId="5" xfId="0" applyNumberFormat="1" applyFont="1" applyFill="1" applyBorder="1" applyAlignment="1">
      <alignment horizontal="left" vertical="top" wrapText="1"/>
    </xf>
    <xf numFmtId="0" fontId="6" fillId="7" borderId="6" xfId="0" applyNumberFormat="1" applyFont="1" applyFill="1" applyBorder="1" applyAlignment="1">
      <alignment horizontal="left" vertical="top" wrapText="1"/>
    </xf>
    <xf numFmtId="0" fontId="6" fillId="2" borderId="5" xfId="0" applyNumberFormat="1" applyFont="1" applyFill="1" applyBorder="1" applyAlignment="1">
      <alignment horizontal="left" vertical="center" wrapText="1"/>
    </xf>
    <xf numFmtId="0" fontId="6" fillId="2" borderId="6" xfId="0" applyNumberFormat="1" applyFont="1" applyFill="1" applyBorder="1" applyAlignment="1">
      <alignment horizontal="left" vertical="center" wrapText="1"/>
    </xf>
    <xf numFmtId="49" fontId="19" fillId="2" borderId="1" xfId="0" applyNumberFormat="1" applyFont="1" applyFill="1" applyBorder="1" applyAlignment="1">
      <alignment horizontal="center" vertical="center" wrapText="1"/>
    </xf>
    <xf numFmtId="0" fontId="38" fillId="14" borderId="4" xfId="0" applyNumberFormat="1" applyFont="1" applyFill="1" applyBorder="1" applyAlignment="1">
      <alignment horizontal="center" vertical="center" wrapText="1"/>
    </xf>
    <xf numFmtId="0" fontId="38" fillId="14" borderId="5" xfId="0" applyNumberFormat="1" applyFont="1" applyFill="1" applyBorder="1" applyAlignment="1">
      <alignment horizontal="center" vertical="center" wrapText="1"/>
    </xf>
    <xf numFmtId="0" fontId="38" fillId="14" borderId="6" xfId="0" applyNumberFormat="1" applyFont="1" applyFill="1" applyBorder="1" applyAlignment="1">
      <alignment horizontal="center" vertical="center" wrapText="1"/>
    </xf>
    <xf numFmtId="14" fontId="3" fillId="2" borderId="4" xfId="0" applyNumberFormat="1" applyFont="1" applyFill="1" applyBorder="1" applyAlignment="1">
      <alignment horizontal="center" vertical="center" wrapText="1"/>
    </xf>
    <xf numFmtId="0" fontId="1" fillId="14" borderId="4" xfId="0" applyFont="1" applyFill="1" applyBorder="1" applyAlignment="1">
      <alignment horizontal="left" vertical="center" wrapText="1"/>
    </xf>
    <xf numFmtId="0" fontId="1" fillId="14" borderId="5" xfId="0" applyFont="1" applyFill="1" applyBorder="1" applyAlignment="1">
      <alignment horizontal="left" vertical="center" wrapText="1"/>
    </xf>
    <xf numFmtId="0" fontId="1" fillId="14" borderId="6" xfId="0" applyFont="1" applyFill="1" applyBorder="1" applyAlignment="1">
      <alignment horizontal="left" vertical="center" wrapText="1"/>
    </xf>
    <xf numFmtId="0" fontId="6" fillId="2" borderId="6" xfId="0" applyFont="1" applyFill="1" applyBorder="1" applyAlignment="1">
      <alignment horizontal="center" vertical="center" wrapText="1"/>
    </xf>
    <xf numFmtId="0" fontId="11" fillId="7" borderId="4" xfId="0" applyNumberFormat="1" applyFont="1" applyFill="1" applyBorder="1" applyAlignment="1">
      <alignment horizontal="center" vertical="center" wrapText="1"/>
    </xf>
    <xf numFmtId="0" fontId="11" fillId="7" borderId="5" xfId="0" applyNumberFormat="1" applyFont="1" applyFill="1" applyBorder="1" applyAlignment="1">
      <alignment horizontal="center" vertical="center" wrapText="1"/>
    </xf>
    <xf numFmtId="0" fontId="11" fillId="7" borderId="6" xfId="0" applyNumberFormat="1" applyFont="1" applyFill="1" applyBorder="1" applyAlignment="1">
      <alignment horizontal="center" vertical="center" wrapText="1"/>
    </xf>
    <xf numFmtId="49" fontId="4" fillId="7" borderId="4" xfId="0" applyNumberFormat="1" applyFont="1" applyFill="1" applyBorder="1" applyAlignment="1">
      <alignment horizontal="center" vertical="center" wrapText="1"/>
    </xf>
    <xf numFmtId="49" fontId="4" fillId="7" borderId="5" xfId="0" applyNumberFormat="1" applyFont="1" applyFill="1" applyBorder="1" applyAlignment="1">
      <alignment horizontal="center" vertical="center" wrapText="1"/>
    </xf>
    <xf numFmtId="49" fontId="4" fillId="7" borderId="6" xfId="0" applyNumberFormat="1" applyFont="1" applyFill="1" applyBorder="1" applyAlignment="1">
      <alignment horizontal="center" vertical="center" wrapText="1"/>
    </xf>
    <xf numFmtId="0" fontId="6" fillId="7" borderId="2" xfId="0" applyFont="1" applyFill="1" applyBorder="1" applyAlignment="1">
      <alignment horizontal="center" vertical="center" wrapText="1"/>
    </xf>
    <xf numFmtId="0" fontId="6" fillId="7" borderId="7" xfId="0" applyFont="1" applyFill="1" applyBorder="1" applyAlignment="1">
      <alignment horizontal="center" vertical="center" wrapText="1"/>
    </xf>
    <xf numFmtId="0" fontId="6" fillId="7" borderId="3" xfId="0" applyFont="1" applyFill="1" applyBorder="1" applyAlignment="1">
      <alignment horizontal="center" vertical="center" wrapText="1"/>
    </xf>
    <xf numFmtId="0" fontId="6" fillId="7" borderId="2" xfId="0" applyFont="1" applyFill="1" applyBorder="1" applyAlignment="1">
      <alignment horizontal="center"/>
    </xf>
    <xf numFmtId="0" fontId="6" fillId="7" borderId="7" xfId="0" applyFont="1" applyFill="1" applyBorder="1" applyAlignment="1">
      <alignment horizontal="center"/>
    </xf>
    <xf numFmtId="0" fontId="6" fillId="7" borderId="3" xfId="0" applyFont="1" applyFill="1" applyBorder="1" applyAlignment="1">
      <alignment horizontal="center"/>
    </xf>
    <xf numFmtId="0" fontId="11" fillId="14" borderId="4" xfId="0" applyNumberFormat="1" applyFont="1" applyFill="1" applyBorder="1" applyAlignment="1">
      <alignment horizontal="center" vertical="center" wrapText="1"/>
    </xf>
    <xf numFmtId="0" fontId="11" fillId="14" borderId="5" xfId="0" applyNumberFormat="1" applyFont="1" applyFill="1" applyBorder="1" applyAlignment="1">
      <alignment horizontal="center" vertical="center" wrapText="1"/>
    </xf>
    <xf numFmtId="0" fontId="11" fillId="14" borderId="6" xfId="0" applyNumberFormat="1" applyFont="1" applyFill="1" applyBorder="1" applyAlignment="1">
      <alignment horizontal="center" vertical="center" wrapText="1"/>
    </xf>
    <xf numFmtId="0" fontId="0" fillId="14" borderId="6" xfId="0" applyFont="1" applyFill="1" applyBorder="1" applyAlignment="1">
      <alignment horizontal="center" vertical="center"/>
    </xf>
    <xf numFmtId="0" fontId="11" fillId="14" borderId="2" xfId="0" applyFont="1" applyFill="1" applyBorder="1" applyAlignment="1">
      <alignment horizontal="center"/>
    </xf>
    <xf numFmtId="0" fontId="11" fillId="14" borderId="7" xfId="0" applyFont="1" applyFill="1" applyBorder="1" applyAlignment="1">
      <alignment horizontal="center"/>
    </xf>
    <xf numFmtId="0" fontId="11" fillId="14" borderId="3" xfId="0" applyFont="1" applyFill="1" applyBorder="1" applyAlignment="1">
      <alignment horizontal="center"/>
    </xf>
    <xf numFmtId="0" fontId="1" fillId="2" borderId="4" xfId="0" applyFont="1" applyFill="1" applyBorder="1" applyAlignment="1">
      <alignment horizontal="left" vertical="center" wrapText="1"/>
    </xf>
    <xf numFmtId="0" fontId="1" fillId="2" borderId="5" xfId="0" applyFont="1" applyFill="1" applyBorder="1" applyAlignment="1">
      <alignment horizontal="left" vertical="center" wrapText="1"/>
    </xf>
    <xf numFmtId="0" fontId="1" fillId="2" borderId="6" xfId="0" applyFont="1" applyFill="1" applyBorder="1" applyAlignment="1">
      <alignment horizontal="left" vertical="center" wrapText="1"/>
    </xf>
    <xf numFmtId="0" fontId="11" fillId="14" borderId="4" xfId="0" applyNumberFormat="1" applyFont="1" applyFill="1" applyBorder="1" applyAlignment="1">
      <alignment horizontal="left" vertical="center" wrapText="1"/>
    </xf>
    <xf numFmtId="0" fontId="11" fillId="14" borderId="5" xfId="0" applyNumberFormat="1" applyFont="1" applyFill="1" applyBorder="1" applyAlignment="1">
      <alignment horizontal="left" vertical="center" wrapText="1"/>
    </xf>
    <xf numFmtId="0" fontId="11" fillId="14" borderId="6" xfId="0" applyNumberFormat="1" applyFont="1" applyFill="1" applyBorder="1" applyAlignment="1">
      <alignment horizontal="left" vertical="center" wrapText="1"/>
    </xf>
    <xf numFmtId="0" fontId="22" fillId="14" borderId="4" xfId="0" applyFont="1" applyFill="1" applyBorder="1" applyAlignment="1">
      <alignment horizontal="center" vertical="center" wrapText="1"/>
    </xf>
    <xf numFmtId="0" fontId="22" fillId="14" borderId="5" xfId="0" applyFont="1" applyFill="1" applyBorder="1" applyAlignment="1">
      <alignment horizontal="center" vertical="center" wrapText="1"/>
    </xf>
    <xf numFmtId="0" fontId="22" fillId="14" borderId="6" xfId="0" applyFont="1" applyFill="1" applyBorder="1" applyAlignment="1">
      <alignment horizontal="center" vertical="center" wrapText="1"/>
    </xf>
    <xf numFmtId="0" fontId="1" fillId="14" borderId="6" xfId="0" applyFont="1" applyFill="1" applyBorder="1" applyAlignment="1">
      <alignment horizontal="center" vertical="center" wrapText="1"/>
    </xf>
    <xf numFmtId="0" fontId="15" fillId="2" borderId="4" xfId="0" applyFont="1" applyFill="1" applyBorder="1" applyAlignment="1">
      <alignment horizontal="center" vertical="top" wrapText="1"/>
    </xf>
    <xf numFmtId="0" fontId="15" fillId="2" borderId="5" xfId="0" applyFont="1" applyFill="1" applyBorder="1" applyAlignment="1">
      <alignment horizontal="center" vertical="top" wrapText="1"/>
    </xf>
    <xf numFmtId="0" fontId="15" fillId="2" borderId="6" xfId="0" applyFont="1" applyFill="1" applyBorder="1" applyAlignment="1">
      <alignment horizontal="center" vertical="top" wrapText="1"/>
    </xf>
    <xf numFmtId="0" fontId="1" fillId="7" borderId="1" xfId="0" applyFont="1" applyFill="1" applyBorder="1" applyAlignment="1">
      <alignment horizontal="left" vertical="center" wrapText="1"/>
    </xf>
    <xf numFmtId="0" fontId="1" fillId="7" borderId="4" xfId="0" applyFont="1" applyFill="1" applyBorder="1" applyAlignment="1">
      <alignment horizontal="left" vertical="center" wrapText="1"/>
    </xf>
    <xf numFmtId="0" fontId="1" fillId="7" borderId="5" xfId="0" applyFont="1" applyFill="1" applyBorder="1" applyAlignment="1">
      <alignment horizontal="left" vertical="center" wrapText="1"/>
    </xf>
    <xf numFmtId="0" fontId="1" fillId="7" borderId="6" xfId="0" applyFont="1" applyFill="1" applyBorder="1" applyAlignment="1">
      <alignment horizontal="left" vertical="center" wrapText="1"/>
    </xf>
    <xf numFmtId="0" fontId="6" fillId="7" borderId="4" xfId="0" applyNumberFormat="1" applyFont="1" applyFill="1" applyBorder="1" applyAlignment="1">
      <alignment horizontal="left" vertical="center" wrapText="1"/>
    </xf>
    <xf numFmtId="0" fontId="6" fillId="7" borderId="5" xfId="0" applyNumberFormat="1" applyFont="1" applyFill="1" applyBorder="1" applyAlignment="1">
      <alignment horizontal="left" vertical="center" wrapText="1"/>
    </xf>
    <xf numFmtId="0" fontId="6" fillId="7" borderId="6" xfId="0" applyNumberFormat="1" applyFont="1" applyFill="1" applyBorder="1" applyAlignment="1">
      <alignment horizontal="left" vertical="center" wrapText="1"/>
    </xf>
    <xf numFmtId="49" fontId="1" fillId="2" borderId="5" xfId="0" applyNumberFormat="1" applyFont="1" applyFill="1" applyBorder="1" applyAlignment="1">
      <alignment horizontal="center" vertical="center" wrapText="1"/>
    </xf>
    <xf numFmtId="49" fontId="1" fillId="2" borderId="6" xfId="0" applyNumberFormat="1" applyFont="1" applyFill="1" applyBorder="1" applyAlignment="1">
      <alignment horizontal="center" vertical="center" wrapText="1"/>
    </xf>
    <xf numFmtId="167" fontId="15" fillId="2" borderId="4" xfId="0" applyNumberFormat="1" applyFont="1" applyFill="1" applyBorder="1" applyAlignment="1">
      <alignment horizontal="center" vertical="top" wrapText="1"/>
    </xf>
    <xf numFmtId="167" fontId="15" fillId="2" borderId="5" xfId="0" applyNumberFormat="1" applyFont="1" applyFill="1" applyBorder="1" applyAlignment="1">
      <alignment horizontal="center" vertical="top" wrapText="1"/>
    </xf>
    <xf numFmtId="167" fontId="15" fillId="2" borderId="6" xfId="0" applyNumberFormat="1" applyFont="1" applyFill="1" applyBorder="1" applyAlignment="1">
      <alignment horizontal="center" vertical="top" wrapText="1"/>
    </xf>
    <xf numFmtId="0" fontId="15" fillId="0" borderId="47" xfId="0" applyFont="1" applyFill="1" applyBorder="1" applyAlignment="1">
      <alignment horizontal="center" vertical="top" wrapText="1"/>
    </xf>
    <xf numFmtId="0" fontId="15" fillId="0" borderId="5" xfId="0" applyFont="1" applyFill="1" applyBorder="1" applyAlignment="1">
      <alignment horizontal="center" vertical="top" wrapText="1"/>
    </xf>
    <xf numFmtId="0" fontId="15" fillId="0" borderId="6" xfId="0" applyFont="1" applyFill="1" applyBorder="1" applyAlignment="1">
      <alignment horizontal="center" vertical="top" wrapText="1"/>
    </xf>
    <xf numFmtId="0" fontId="9" fillId="7" borderId="47" xfId="0" applyNumberFormat="1" applyFont="1" applyFill="1" applyBorder="1" applyAlignment="1">
      <alignment horizontal="center" vertical="center" wrapText="1"/>
    </xf>
    <xf numFmtId="0" fontId="9" fillId="7" borderId="5" xfId="0" applyNumberFormat="1" applyFont="1" applyFill="1" applyBorder="1" applyAlignment="1">
      <alignment horizontal="center" vertical="center" wrapText="1"/>
    </xf>
    <xf numFmtId="0" fontId="9" fillId="7" borderId="6" xfId="0" applyNumberFormat="1" applyFont="1" applyFill="1" applyBorder="1" applyAlignment="1">
      <alignment horizontal="center" vertical="center" wrapText="1"/>
    </xf>
    <xf numFmtId="49" fontId="4" fillId="7" borderId="47" xfId="0" applyNumberFormat="1" applyFont="1" applyFill="1" applyBorder="1" applyAlignment="1">
      <alignment horizontal="center" vertical="center" wrapText="1"/>
    </xf>
    <xf numFmtId="0" fontId="19" fillId="7" borderId="46" xfId="0" applyFont="1" applyFill="1" applyBorder="1" applyAlignment="1">
      <alignment horizontal="center" vertical="center" wrapText="1"/>
    </xf>
    <xf numFmtId="0" fontId="1" fillId="7" borderId="47" xfId="0" applyFont="1" applyFill="1" applyBorder="1" applyAlignment="1">
      <alignment horizontal="center" vertical="center" wrapText="1"/>
    </xf>
    <xf numFmtId="0" fontId="18" fillId="142" borderId="47" xfId="4" applyFont="1" applyFill="1" applyBorder="1" applyAlignment="1">
      <alignment horizontal="left" vertical="center" wrapText="1"/>
    </xf>
    <xf numFmtId="0" fontId="18" fillId="142" borderId="5" xfId="4" applyFont="1" applyFill="1" applyBorder="1" applyAlignment="1">
      <alignment horizontal="left" vertical="center" wrapText="1"/>
    </xf>
    <xf numFmtId="0" fontId="18" fillId="142" borderId="6" xfId="4" applyFont="1" applyFill="1" applyBorder="1" applyAlignment="1">
      <alignment horizontal="left" vertical="center" wrapText="1"/>
    </xf>
    <xf numFmtId="9" fontId="18" fillId="143" borderId="47" xfId="23839" applyNumberFormat="1" applyFont="1" applyFill="1" applyBorder="1" applyAlignment="1">
      <alignment horizontal="center" vertical="center" wrapText="1"/>
    </xf>
    <xf numFmtId="9" fontId="18" fillId="143" borderId="5" xfId="23839" applyNumberFormat="1" applyFont="1" applyFill="1" applyBorder="1" applyAlignment="1">
      <alignment horizontal="center" vertical="center" wrapText="1"/>
    </xf>
    <xf numFmtId="9" fontId="18" fillId="143" borderId="6" xfId="23839" applyNumberFormat="1" applyFont="1" applyFill="1" applyBorder="1" applyAlignment="1">
      <alignment horizontal="center" vertical="center" wrapText="1"/>
    </xf>
    <xf numFmtId="0" fontId="18" fillId="143" borderId="5" xfId="23839" applyFont="1" applyFill="1" applyBorder="1" applyAlignment="1">
      <alignment horizontal="center" vertical="center" wrapText="1"/>
    </xf>
    <xf numFmtId="0" fontId="18" fillId="143" borderId="6" xfId="23839" applyFont="1" applyFill="1" applyBorder="1" applyAlignment="1">
      <alignment horizontal="center" vertical="center" wrapText="1"/>
    </xf>
    <xf numFmtId="0" fontId="17" fillId="142" borderId="47" xfId="23839" applyFont="1" applyFill="1" applyBorder="1" applyAlignment="1">
      <alignment horizontal="center"/>
    </xf>
    <xf numFmtId="0" fontId="17" fillId="142" borderId="5" xfId="23839" applyFont="1" applyFill="1" applyBorder="1" applyAlignment="1">
      <alignment horizontal="center"/>
    </xf>
    <xf numFmtId="0" fontId="17" fillId="142" borderId="6" xfId="23839" applyFont="1" applyFill="1" applyBorder="1" applyAlignment="1">
      <alignment horizontal="center"/>
    </xf>
    <xf numFmtId="0" fontId="18" fillId="2" borderId="47" xfId="0" applyFont="1" applyFill="1" applyBorder="1" applyAlignment="1">
      <alignment horizontal="center" vertical="center" wrapText="1"/>
    </xf>
    <xf numFmtId="0" fontId="18" fillId="2" borderId="5" xfId="0" applyFont="1" applyFill="1" applyBorder="1" applyAlignment="1">
      <alignment horizontal="center" vertical="center" wrapText="1"/>
    </xf>
    <xf numFmtId="0" fontId="18" fillId="2" borderId="6" xfId="0" applyFont="1" applyFill="1" applyBorder="1" applyAlignment="1">
      <alignment horizontal="center" vertical="center" wrapText="1"/>
    </xf>
    <xf numFmtId="0" fontId="18" fillId="142" borderId="47" xfId="4" applyFont="1" applyFill="1" applyBorder="1" applyAlignment="1">
      <alignment horizontal="center" vertical="center" wrapText="1"/>
    </xf>
    <xf numFmtId="0" fontId="18" fillId="142" borderId="5" xfId="4" applyFont="1" applyFill="1" applyBorder="1" applyAlignment="1">
      <alignment horizontal="center" vertical="center" wrapText="1"/>
    </xf>
    <xf numFmtId="0" fontId="18" fillId="142" borderId="6" xfId="4" applyFont="1" applyFill="1" applyBorder="1" applyAlignment="1">
      <alignment horizontal="center" vertical="center" wrapText="1"/>
    </xf>
    <xf numFmtId="165" fontId="18" fillId="142" borderId="47" xfId="4" applyNumberFormat="1" applyFont="1" applyFill="1" applyBorder="1" applyAlignment="1">
      <alignment horizontal="center" vertical="center" wrapText="1"/>
    </xf>
    <xf numFmtId="165" fontId="18" fillId="142" borderId="5" xfId="4" applyNumberFormat="1" applyFont="1" applyFill="1" applyBorder="1" applyAlignment="1">
      <alignment horizontal="center" vertical="center" wrapText="1"/>
    </xf>
    <xf numFmtId="165" fontId="18" fillId="142" borderId="6" xfId="4" applyNumberFormat="1" applyFont="1" applyFill="1" applyBorder="1" applyAlignment="1">
      <alignment horizontal="center" vertical="center" wrapText="1"/>
    </xf>
    <xf numFmtId="165" fontId="18" fillId="143" borderId="47" xfId="23839" applyNumberFormat="1" applyFont="1" applyFill="1" applyBorder="1" applyAlignment="1">
      <alignment horizontal="center" vertical="center" wrapText="1"/>
    </xf>
    <xf numFmtId="165" fontId="18" fillId="143" borderId="5" xfId="23839" applyNumberFormat="1" applyFont="1" applyFill="1" applyBorder="1" applyAlignment="1">
      <alignment horizontal="center" vertical="center" wrapText="1"/>
    </xf>
    <xf numFmtId="165" fontId="18" fillId="143" borderId="6" xfId="23839" applyNumberFormat="1" applyFont="1" applyFill="1" applyBorder="1" applyAlignment="1">
      <alignment horizontal="center" vertical="center" wrapText="1"/>
    </xf>
    <xf numFmtId="0" fontId="178" fillId="142" borderId="47" xfId="4" applyFont="1" applyFill="1" applyBorder="1" applyAlignment="1">
      <alignment horizontal="center" vertical="center"/>
    </xf>
    <xf numFmtId="0" fontId="178" fillId="142" borderId="5" xfId="4" applyFont="1" applyFill="1" applyBorder="1" applyAlignment="1">
      <alignment horizontal="center" vertical="center"/>
    </xf>
    <xf numFmtId="0" fontId="178" fillId="142" borderId="6" xfId="4" applyFont="1" applyFill="1" applyBorder="1" applyAlignment="1">
      <alignment horizontal="center" vertical="center"/>
    </xf>
    <xf numFmtId="0" fontId="17" fillId="142" borderId="47" xfId="5" applyFont="1" applyFill="1" applyBorder="1" applyAlignment="1">
      <alignment horizontal="center" vertical="center" wrapText="1"/>
    </xf>
    <xf numFmtId="0" fontId="17" fillId="142" borderId="5" xfId="5" applyFont="1" applyFill="1" applyBorder="1" applyAlignment="1">
      <alignment horizontal="center" vertical="center" wrapText="1"/>
    </xf>
    <xf numFmtId="0" fontId="17" fillId="142" borderId="6" xfId="5" applyFont="1" applyFill="1" applyBorder="1" applyAlignment="1">
      <alignment horizontal="center" vertical="center" wrapText="1"/>
    </xf>
    <xf numFmtId="0" fontId="18" fillId="2" borderId="47" xfId="23839" applyFont="1" applyFill="1" applyBorder="1" applyAlignment="1">
      <alignment horizontal="center" vertical="center" wrapText="1"/>
    </xf>
    <xf numFmtId="0" fontId="18" fillId="2" borderId="5" xfId="23839" applyFont="1" applyFill="1" applyBorder="1" applyAlignment="1">
      <alignment horizontal="center" vertical="center" wrapText="1"/>
    </xf>
    <xf numFmtId="0" fontId="18" fillId="2" borderId="6" xfId="23839" applyFont="1" applyFill="1" applyBorder="1" applyAlignment="1">
      <alignment horizontal="center" vertical="center" wrapText="1"/>
    </xf>
    <xf numFmtId="0" fontId="0" fillId="145" borderId="47" xfId="0" applyFill="1" applyBorder="1" applyAlignment="1">
      <alignment horizontal="center" vertical="center"/>
    </xf>
    <xf numFmtId="0" fontId="0" fillId="145" borderId="5" xfId="0" applyFill="1" applyBorder="1" applyAlignment="1">
      <alignment horizontal="center" vertical="center"/>
    </xf>
    <xf numFmtId="0" fontId="0" fillId="145" borderId="6" xfId="0" applyFill="1" applyBorder="1" applyAlignment="1">
      <alignment horizontal="center" vertical="center"/>
    </xf>
    <xf numFmtId="0" fontId="0" fillId="2" borderId="47" xfId="0" applyFill="1" applyBorder="1" applyAlignment="1">
      <alignment horizontal="center" wrapText="1"/>
    </xf>
    <xf numFmtId="0" fontId="0" fillId="2" borderId="5" xfId="0" applyFill="1" applyBorder="1" applyAlignment="1">
      <alignment horizontal="center"/>
    </xf>
    <xf numFmtId="0" fontId="0" fillId="2" borderId="6" xfId="0" applyFill="1" applyBorder="1" applyAlignment="1">
      <alignment horizontal="center"/>
    </xf>
    <xf numFmtId="0" fontId="0" fillId="2" borderId="47" xfId="0" applyFill="1" applyBorder="1" applyAlignment="1">
      <alignment horizontal="center"/>
    </xf>
    <xf numFmtId="0" fontId="18" fillId="2" borderId="47" xfId="0" applyFont="1" applyFill="1" applyBorder="1" applyAlignment="1">
      <alignment horizontal="center" wrapText="1"/>
    </xf>
    <xf numFmtId="0" fontId="18" fillId="2" borderId="5" xfId="0" applyFont="1" applyFill="1" applyBorder="1" applyAlignment="1">
      <alignment horizontal="center"/>
    </xf>
    <xf numFmtId="0" fontId="18" fillId="2" borderId="6" xfId="0" applyFont="1" applyFill="1" applyBorder="1" applyAlignment="1">
      <alignment horizontal="center"/>
    </xf>
    <xf numFmtId="0" fontId="18" fillId="2" borderId="47" xfId="0" applyFont="1" applyFill="1" applyBorder="1" applyAlignment="1">
      <alignment horizontal="center" vertical="center"/>
    </xf>
    <xf numFmtId="0" fontId="18" fillId="2" borderId="5" xfId="0" applyFont="1" applyFill="1" applyBorder="1" applyAlignment="1">
      <alignment horizontal="center" vertical="center"/>
    </xf>
    <xf numFmtId="0" fontId="18" fillId="2" borderId="6" xfId="0" applyFont="1" applyFill="1" applyBorder="1" applyAlignment="1">
      <alignment horizontal="center" vertical="center"/>
    </xf>
    <xf numFmtId="0" fontId="18" fillId="2" borderId="47" xfId="0" applyFont="1" applyFill="1" applyBorder="1" applyAlignment="1">
      <alignment horizontal="center"/>
    </xf>
    <xf numFmtId="0" fontId="18" fillId="142" borderId="47" xfId="14103" applyFont="1" applyFill="1" applyBorder="1" applyAlignment="1">
      <alignment horizontal="center" vertical="top" wrapText="1"/>
    </xf>
    <xf numFmtId="0" fontId="18" fillId="142" borderId="5" xfId="14103" applyFont="1" applyFill="1" applyBorder="1" applyAlignment="1">
      <alignment horizontal="center" vertical="top" wrapText="1"/>
    </xf>
    <xf numFmtId="0" fontId="18" fillId="142" borderId="6" xfId="14103" applyFont="1" applyFill="1" applyBorder="1" applyAlignment="1">
      <alignment horizontal="center" vertical="top" wrapText="1"/>
    </xf>
    <xf numFmtId="0" fontId="18" fillId="142" borderId="47" xfId="23839" applyFont="1" applyFill="1" applyBorder="1" applyAlignment="1">
      <alignment horizontal="center" vertical="center" wrapText="1"/>
    </xf>
    <xf numFmtId="0" fontId="18" fillId="142" borderId="5" xfId="23839" applyFont="1" applyFill="1" applyBorder="1" applyAlignment="1">
      <alignment horizontal="center" vertical="center" wrapText="1"/>
    </xf>
    <xf numFmtId="0" fontId="18" fillId="142" borderId="6" xfId="23839" applyFont="1" applyFill="1" applyBorder="1" applyAlignment="1">
      <alignment horizontal="center" vertical="center" wrapText="1"/>
    </xf>
    <xf numFmtId="0" fontId="18" fillId="143" borderId="47" xfId="23839" applyFont="1" applyFill="1" applyBorder="1" applyAlignment="1">
      <alignment horizontal="center" vertical="center" wrapText="1"/>
    </xf>
    <xf numFmtId="165" fontId="18" fillId="142" borderId="47" xfId="23839" applyNumberFormat="1" applyFont="1" applyFill="1" applyBorder="1" applyAlignment="1">
      <alignment horizontal="center" vertical="center" wrapText="1"/>
    </xf>
    <xf numFmtId="165" fontId="18" fillId="142" borderId="5" xfId="23839" applyNumberFormat="1" applyFont="1" applyFill="1" applyBorder="1" applyAlignment="1">
      <alignment horizontal="center" vertical="center" wrapText="1"/>
    </xf>
    <xf numFmtId="165" fontId="18" fillId="142" borderId="6" xfId="23839" applyNumberFormat="1" applyFont="1" applyFill="1" applyBorder="1" applyAlignment="1">
      <alignment horizontal="center" vertical="center" wrapText="1"/>
    </xf>
    <xf numFmtId="0" fontId="18" fillId="142" borderId="47" xfId="23838" applyFont="1" applyFill="1" applyBorder="1" applyAlignment="1">
      <alignment horizontal="center" vertical="center" wrapText="1"/>
    </xf>
    <xf numFmtId="0" fontId="18" fillId="142" borderId="5" xfId="23838" applyFont="1" applyFill="1" applyBorder="1" applyAlignment="1">
      <alignment horizontal="center" vertical="center" wrapText="1"/>
    </xf>
    <xf numFmtId="0" fontId="18" fillId="142" borderId="6" xfId="23838" applyFont="1" applyFill="1" applyBorder="1" applyAlignment="1">
      <alignment horizontal="center" vertical="center" wrapText="1"/>
    </xf>
    <xf numFmtId="165" fontId="18" fillId="146" borderId="47" xfId="23838" applyNumberFormat="1" applyFont="1" applyFill="1" applyBorder="1" applyAlignment="1">
      <alignment horizontal="center" vertical="center" wrapText="1"/>
    </xf>
    <xf numFmtId="165" fontId="18" fillId="146" borderId="5" xfId="23838" applyNumberFormat="1" applyFont="1" applyFill="1" applyBorder="1" applyAlignment="1">
      <alignment horizontal="center" vertical="center" wrapText="1"/>
    </xf>
    <xf numFmtId="165" fontId="18" fillId="146" borderId="6" xfId="23838" applyNumberFormat="1" applyFont="1" applyFill="1" applyBorder="1" applyAlignment="1">
      <alignment horizontal="center" vertical="center" wrapText="1"/>
    </xf>
    <xf numFmtId="0" fontId="28" fillId="142" borderId="46" xfId="23838" applyFont="1" applyFill="1" applyBorder="1" applyAlignment="1">
      <alignment horizontal="center" vertical="center" wrapText="1"/>
    </xf>
    <xf numFmtId="0" fontId="28" fillId="142" borderId="46" xfId="23838" applyFont="1" applyFill="1" applyBorder="1" applyAlignment="1">
      <alignment horizontal="left" vertical="center" wrapText="1"/>
    </xf>
    <xf numFmtId="9" fontId="28" fillId="143" borderId="46" xfId="23837" applyNumberFormat="1" applyFont="1" applyFill="1" applyBorder="1" applyAlignment="1">
      <alignment horizontal="center" vertical="center" wrapText="1"/>
    </xf>
    <xf numFmtId="0" fontId="17" fillId="142" borderId="47" xfId="23838" applyFont="1" applyFill="1" applyBorder="1" applyAlignment="1">
      <alignment horizontal="center" vertical="center" wrapText="1"/>
    </xf>
    <xf numFmtId="0" fontId="17" fillId="142" borderId="5" xfId="23838" applyFont="1" applyFill="1" applyBorder="1" applyAlignment="1">
      <alignment horizontal="center" vertical="center" wrapText="1"/>
    </xf>
    <xf numFmtId="0" fontId="17" fillId="142" borderId="6" xfId="23838" applyFont="1" applyFill="1" applyBorder="1" applyAlignment="1">
      <alignment horizontal="center" vertical="center" wrapText="1"/>
    </xf>
    <xf numFmtId="0" fontId="18" fillId="2" borderId="47" xfId="23838" applyFont="1" applyFill="1" applyBorder="1" applyAlignment="1">
      <alignment horizontal="center" vertical="center" wrapText="1"/>
    </xf>
    <xf numFmtId="0" fontId="18" fillId="2" borderId="5" xfId="23838" applyFont="1" applyFill="1" applyBorder="1" applyAlignment="1">
      <alignment horizontal="center" vertical="center" wrapText="1"/>
    </xf>
    <xf numFmtId="0" fontId="18" fillId="2" borderId="6" xfId="23838" applyFont="1" applyFill="1" applyBorder="1" applyAlignment="1">
      <alignment horizontal="center" vertical="center" wrapText="1"/>
    </xf>
    <xf numFmtId="0" fontId="18" fillId="146" borderId="47" xfId="23838" applyFont="1" applyFill="1" applyBorder="1" applyAlignment="1">
      <alignment horizontal="center" vertical="center" wrapText="1"/>
    </xf>
    <xf numFmtId="0" fontId="18" fillId="146" borderId="5" xfId="23838" applyFont="1" applyFill="1" applyBorder="1" applyAlignment="1">
      <alignment horizontal="center" vertical="center" wrapText="1"/>
    </xf>
    <xf numFmtId="0" fontId="18" fillId="146" borderId="6" xfId="23838" applyFont="1" applyFill="1" applyBorder="1" applyAlignment="1">
      <alignment horizontal="center" vertical="center" wrapText="1"/>
    </xf>
    <xf numFmtId="165" fontId="18" fillId="142" borderId="46" xfId="23839" applyNumberFormat="1" applyFont="1" applyFill="1" applyBorder="1" applyAlignment="1">
      <alignment horizontal="center" vertical="center" wrapText="1"/>
    </xf>
    <xf numFmtId="0" fontId="18" fillId="2" borderId="46" xfId="23839" applyFont="1" applyFill="1" applyBorder="1" applyAlignment="1">
      <alignment horizontal="center" vertical="center" wrapText="1"/>
    </xf>
    <xf numFmtId="0" fontId="18" fillId="142" borderId="46" xfId="23839" applyFont="1" applyFill="1" applyBorder="1" applyAlignment="1">
      <alignment horizontal="center" vertical="center" wrapText="1"/>
    </xf>
    <xf numFmtId="170" fontId="18" fillId="142" borderId="46" xfId="23839" applyNumberFormat="1" applyFont="1" applyFill="1" applyBorder="1" applyAlignment="1">
      <alignment horizontal="center" vertical="center" wrapText="1"/>
    </xf>
    <xf numFmtId="165" fontId="28" fillId="142" borderId="46" xfId="23838" applyNumberFormat="1" applyFont="1" applyFill="1" applyBorder="1" applyAlignment="1">
      <alignment horizontal="left" vertical="center" wrapText="1"/>
    </xf>
    <xf numFmtId="9" fontId="18" fillId="143" borderId="47" xfId="23837" applyNumberFormat="1" applyFont="1" applyFill="1" applyBorder="1" applyAlignment="1">
      <alignment horizontal="center" vertical="center" wrapText="1"/>
    </xf>
    <xf numFmtId="9" fontId="18" fillId="143" borderId="5" xfId="23837" applyNumberFormat="1" applyFont="1" applyFill="1" applyBorder="1" applyAlignment="1">
      <alignment horizontal="center" vertical="center" wrapText="1"/>
    </xf>
    <xf numFmtId="9" fontId="18" fillId="143" borderId="6" xfId="23837" applyNumberFormat="1" applyFont="1" applyFill="1" applyBorder="1" applyAlignment="1">
      <alignment horizontal="center" vertical="center" wrapText="1"/>
    </xf>
    <xf numFmtId="165" fontId="18" fillId="143" borderId="47" xfId="23837" applyNumberFormat="1" applyFont="1" applyFill="1" applyBorder="1" applyAlignment="1">
      <alignment horizontal="center" vertical="center" wrapText="1"/>
    </xf>
    <xf numFmtId="165" fontId="18" fillId="143" borderId="5" xfId="23837" applyNumberFormat="1" applyFont="1" applyFill="1" applyBorder="1" applyAlignment="1">
      <alignment horizontal="center" vertical="center" wrapText="1"/>
    </xf>
    <xf numFmtId="165" fontId="18" fillId="143" borderId="6" xfId="23837" applyNumberFormat="1" applyFont="1" applyFill="1" applyBorder="1" applyAlignment="1">
      <alignment horizontal="center" vertical="center" wrapText="1"/>
    </xf>
    <xf numFmtId="0" fontId="18" fillId="143" borderId="47" xfId="23838" applyFont="1" applyFill="1" applyBorder="1" applyAlignment="1">
      <alignment horizontal="center" vertical="center" wrapText="1"/>
    </xf>
    <xf numFmtId="0" fontId="18" fillId="143" borderId="5" xfId="23838" applyFont="1" applyFill="1" applyBorder="1" applyAlignment="1">
      <alignment horizontal="center" vertical="center" wrapText="1"/>
    </xf>
    <xf numFmtId="0" fontId="18" fillId="143" borderId="6" xfId="23838" applyFont="1" applyFill="1" applyBorder="1" applyAlignment="1">
      <alignment horizontal="center" vertical="center" wrapText="1"/>
    </xf>
    <xf numFmtId="165" fontId="28" fillId="143" borderId="47" xfId="23837" applyNumberFormat="1" applyFont="1" applyFill="1" applyBorder="1" applyAlignment="1">
      <alignment horizontal="center" vertical="center" wrapText="1"/>
    </xf>
    <xf numFmtId="165" fontId="28" fillId="143" borderId="5" xfId="23837" applyNumberFormat="1" applyFont="1" applyFill="1" applyBorder="1" applyAlignment="1">
      <alignment horizontal="center" vertical="center" wrapText="1"/>
    </xf>
    <xf numFmtId="165" fontId="28" fillId="143" borderId="6" xfId="23837" applyNumberFormat="1" applyFont="1" applyFill="1" applyBorder="1" applyAlignment="1">
      <alignment horizontal="center" vertical="center" wrapText="1"/>
    </xf>
    <xf numFmtId="0" fontId="18" fillId="142" borderId="47" xfId="14103" applyFont="1" applyFill="1" applyBorder="1" applyAlignment="1">
      <alignment horizontal="center" vertical="center" wrapText="1"/>
    </xf>
    <xf numFmtId="0" fontId="18" fillId="142" borderId="5" xfId="14103" applyFont="1" applyFill="1" applyBorder="1" applyAlignment="1">
      <alignment horizontal="center" vertical="center" wrapText="1"/>
    </xf>
    <xf numFmtId="0" fontId="18" fillId="142" borderId="6" xfId="14103" applyFont="1" applyFill="1" applyBorder="1" applyAlignment="1">
      <alignment horizontal="center" vertical="center" wrapText="1"/>
    </xf>
    <xf numFmtId="0" fontId="16" fillId="142" borderId="0" xfId="3485" applyFont="1" applyFill="1" applyAlignment="1">
      <alignment horizontal="center"/>
    </xf>
    <xf numFmtId="0" fontId="17" fillId="142" borderId="47" xfId="3485" applyFont="1" applyFill="1" applyBorder="1" applyAlignment="1">
      <alignment horizontal="center" vertical="center" wrapText="1"/>
    </xf>
    <xf numFmtId="0" fontId="17" fillId="142" borderId="6" xfId="3485" applyFont="1" applyFill="1" applyBorder="1" applyAlignment="1">
      <alignment horizontal="center" vertical="center" wrapText="1"/>
    </xf>
    <xf numFmtId="4" fontId="17" fillId="142" borderId="47" xfId="3485" applyNumberFormat="1" applyFont="1" applyFill="1" applyBorder="1" applyAlignment="1" applyProtection="1">
      <alignment horizontal="center" vertical="center" wrapText="1"/>
      <protection locked="0"/>
    </xf>
    <xf numFmtId="4" fontId="17" fillId="142" borderId="6" xfId="3485" applyNumberFormat="1" applyFont="1" applyFill="1" applyBorder="1" applyAlignment="1" applyProtection="1">
      <alignment horizontal="center" vertical="center" wrapText="1"/>
      <protection locked="0"/>
    </xf>
    <xf numFmtId="165" fontId="17" fillId="142" borderId="47" xfId="3485" applyNumberFormat="1" applyFont="1" applyFill="1" applyBorder="1" applyAlignment="1" applyProtection="1">
      <alignment horizontal="center" vertical="center" wrapText="1"/>
      <protection locked="0"/>
    </xf>
    <xf numFmtId="165" fontId="17" fillId="142" borderId="6" xfId="3485" applyNumberFormat="1" applyFont="1" applyFill="1" applyBorder="1" applyAlignment="1" applyProtection="1">
      <alignment horizontal="center" vertical="center" wrapText="1"/>
      <protection locked="0"/>
    </xf>
    <xf numFmtId="165" fontId="17" fillId="142" borderId="48" xfId="3485" applyNumberFormat="1" applyFont="1" applyFill="1" applyBorder="1" applyAlignment="1" applyProtection="1">
      <alignment horizontal="center" vertical="center" wrapText="1"/>
      <protection locked="0"/>
    </xf>
    <xf numFmtId="165" fontId="17" fillId="142" borderId="49" xfId="3485" applyNumberFormat="1" applyFont="1" applyFill="1" applyBorder="1" applyAlignment="1" applyProtection="1">
      <alignment horizontal="center" vertical="center" wrapText="1"/>
      <protection locked="0"/>
    </xf>
    <xf numFmtId="165" fontId="17" fillId="142" borderId="50" xfId="3485" applyNumberFormat="1" applyFont="1" applyFill="1" applyBorder="1" applyAlignment="1" applyProtection="1">
      <alignment horizontal="center" vertical="center" wrapText="1"/>
      <protection locked="0"/>
    </xf>
    <xf numFmtId="9" fontId="17" fillId="143" borderId="47" xfId="23837" applyNumberFormat="1" applyFont="1" applyFill="1" applyBorder="1" applyAlignment="1" applyProtection="1">
      <alignment horizontal="center" vertical="center" wrapText="1"/>
      <protection locked="0"/>
    </xf>
    <xf numFmtId="9" fontId="17" fillId="143" borderId="6" xfId="23837" applyNumberFormat="1" applyFont="1" applyFill="1" applyBorder="1" applyAlignment="1" applyProtection="1">
      <alignment horizontal="center" vertical="center" wrapText="1"/>
      <protection locked="0"/>
    </xf>
    <xf numFmtId="165" fontId="17" fillId="143" borderId="47" xfId="23837" applyNumberFormat="1" applyFont="1" applyFill="1" applyBorder="1" applyAlignment="1" applyProtection="1">
      <alignment horizontal="center" vertical="center" wrapText="1"/>
      <protection locked="0"/>
    </xf>
    <xf numFmtId="165" fontId="17" fillId="143" borderId="6" xfId="23837" applyNumberFormat="1" applyFont="1" applyFill="1" applyBorder="1" applyAlignment="1" applyProtection="1">
      <alignment horizontal="center" vertical="center" wrapText="1"/>
      <protection locked="0"/>
    </xf>
    <xf numFmtId="0" fontId="3" fillId="0" borderId="47" xfId="0" applyNumberFormat="1" applyFont="1" applyFill="1" applyBorder="1" applyAlignment="1">
      <alignment horizontal="center" vertical="center" wrapText="1"/>
    </xf>
    <xf numFmtId="0" fontId="6" fillId="0" borderId="47" xfId="0" applyFont="1" applyFill="1" applyBorder="1" applyAlignment="1">
      <alignment horizontal="left" vertical="center" wrapText="1"/>
    </xf>
    <xf numFmtId="0" fontId="6" fillId="0" borderId="64" xfId="0" applyFont="1" applyFill="1" applyBorder="1" applyAlignment="1">
      <alignment horizontal="center"/>
    </xf>
    <xf numFmtId="0" fontId="1" fillId="0" borderId="47" xfId="0" applyFont="1" applyFill="1" applyBorder="1" applyAlignment="1">
      <alignment horizontal="center" vertical="center" wrapText="1"/>
    </xf>
    <xf numFmtId="0" fontId="1" fillId="0" borderId="46" xfId="0" applyFont="1" applyFill="1" applyBorder="1" applyAlignment="1">
      <alignment horizontal="center" vertical="center" wrapText="1"/>
    </xf>
    <xf numFmtId="0" fontId="0" fillId="0" borderId="47" xfId="0" applyFont="1" applyFill="1" applyBorder="1" applyAlignment="1">
      <alignment horizontal="center" vertical="center"/>
    </xf>
    <xf numFmtId="0" fontId="3" fillId="2" borderId="47" xfId="0" applyNumberFormat="1" applyFont="1" applyFill="1" applyBorder="1" applyAlignment="1">
      <alignment horizontal="center" vertical="center" wrapText="1"/>
    </xf>
    <xf numFmtId="0" fontId="6" fillId="2" borderId="47" xfId="0" applyFont="1" applyFill="1" applyBorder="1" applyAlignment="1">
      <alignment horizontal="center" vertical="center" wrapText="1"/>
    </xf>
    <xf numFmtId="0" fontId="6" fillId="2" borderId="46" xfId="0" applyFont="1" applyFill="1" applyBorder="1" applyAlignment="1">
      <alignment horizontal="center" vertical="center" wrapText="1"/>
    </xf>
    <xf numFmtId="0" fontId="6" fillId="0" borderId="48" xfId="0" applyFont="1" applyFill="1" applyBorder="1" applyAlignment="1">
      <alignment horizontal="center" vertical="center" wrapText="1"/>
    </xf>
    <xf numFmtId="0" fontId="0" fillId="0" borderId="50" xfId="0" applyFill="1" applyBorder="1"/>
    <xf numFmtId="0" fontId="0" fillId="0" borderId="49" xfId="0" applyFill="1" applyBorder="1"/>
    <xf numFmtId="0" fontId="21" fillId="0" borderId="47" xfId="0" applyFont="1" applyFill="1" applyBorder="1" applyAlignment="1">
      <alignment horizontal="center" vertical="center" wrapText="1"/>
    </xf>
    <xf numFmtId="0" fontId="0" fillId="2" borderId="47" xfId="0" applyFont="1" applyFill="1" applyBorder="1" applyAlignment="1">
      <alignment horizontal="center" vertical="center" wrapText="1"/>
    </xf>
    <xf numFmtId="0" fontId="4" fillId="149" borderId="47" xfId="0" applyNumberFormat="1" applyFont="1" applyFill="1" applyBorder="1" applyAlignment="1">
      <alignment horizontal="center" vertical="center" wrapText="1"/>
    </xf>
    <xf numFmtId="0" fontId="4" fillId="149" borderId="5" xfId="0" applyNumberFormat="1" applyFont="1" applyFill="1" applyBorder="1" applyAlignment="1">
      <alignment horizontal="center" vertical="center" wrapText="1"/>
    </xf>
    <xf numFmtId="0" fontId="4" fillId="149" borderId="6" xfId="0" applyNumberFormat="1" applyFont="1" applyFill="1" applyBorder="1" applyAlignment="1">
      <alignment horizontal="center" vertical="center" wrapText="1"/>
    </xf>
    <xf numFmtId="0" fontId="9" fillId="149" borderId="47" xfId="0" applyFont="1" applyFill="1" applyBorder="1" applyAlignment="1">
      <alignment horizontal="left" vertical="center" wrapText="1"/>
    </xf>
    <xf numFmtId="0" fontId="9" fillId="149" borderId="5" xfId="0" applyFont="1" applyFill="1" applyBorder="1" applyAlignment="1">
      <alignment horizontal="left" vertical="center" wrapText="1"/>
    </xf>
    <xf numFmtId="0" fontId="9" fillId="149" borderId="6" xfId="0" applyFont="1" applyFill="1" applyBorder="1" applyAlignment="1">
      <alignment horizontal="left" vertical="center" wrapText="1"/>
    </xf>
    <xf numFmtId="0" fontId="6" fillId="149" borderId="64" xfId="0" applyFont="1" applyFill="1" applyBorder="1" applyAlignment="1">
      <alignment horizontal="center"/>
    </xf>
    <xf numFmtId="0" fontId="6" fillId="149" borderId="7" xfId="0" applyFont="1" applyFill="1" applyBorder="1" applyAlignment="1">
      <alignment horizontal="center"/>
    </xf>
    <xf numFmtId="0" fontId="6" fillId="149" borderId="3" xfId="0" applyFont="1" applyFill="1" applyBorder="1" applyAlignment="1">
      <alignment horizontal="center"/>
    </xf>
    <xf numFmtId="0" fontId="1" fillId="149" borderId="47" xfId="0" applyFont="1" applyFill="1" applyBorder="1" applyAlignment="1">
      <alignment horizontal="center" vertical="center" wrapText="1"/>
    </xf>
    <xf numFmtId="0" fontId="1" fillId="149" borderId="5" xfId="0" applyFont="1" applyFill="1" applyBorder="1" applyAlignment="1">
      <alignment horizontal="center" vertical="center" wrapText="1"/>
    </xf>
    <xf numFmtId="0" fontId="1" fillId="149" borderId="46" xfId="0" applyFont="1" applyFill="1" applyBorder="1" applyAlignment="1">
      <alignment horizontal="center" vertical="center" wrapText="1"/>
    </xf>
    <xf numFmtId="0" fontId="0" fillId="149" borderId="47" xfId="0" applyFont="1" applyFill="1" applyBorder="1" applyAlignment="1">
      <alignment horizontal="center" vertical="center"/>
    </xf>
    <xf numFmtId="0" fontId="0" fillId="149" borderId="5" xfId="0" applyFont="1" applyFill="1" applyBorder="1" applyAlignment="1">
      <alignment horizontal="center" vertical="center"/>
    </xf>
    <xf numFmtId="0" fontId="0" fillId="149" borderId="6" xfId="0" applyFont="1" applyFill="1" applyBorder="1" applyAlignment="1">
      <alignment horizontal="center" vertical="center"/>
    </xf>
    <xf numFmtId="0" fontId="3" fillId="7" borderId="47" xfId="0" applyNumberFormat="1" applyFont="1" applyFill="1" applyBorder="1" applyAlignment="1">
      <alignment horizontal="center" vertical="center" wrapText="1"/>
    </xf>
    <xf numFmtId="0" fontId="9" fillId="7" borderId="47" xfId="0" applyNumberFormat="1" applyFont="1" applyFill="1" applyBorder="1" applyAlignment="1">
      <alignment horizontal="left" vertical="center" wrapText="1"/>
    </xf>
    <xf numFmtId="0" fontId="6" fillId="7" borderId="47" xfId="0" applyFont="1" applyFill="1" applyBorder="1" applyAlignment="1">
      <alignment vertical="center" wrapText="1"/>
    </xf>
    <xf numFmtId="0" fontId="0" fillId="7" borderId="47" xfId="0" applyFont="1" applyFill="1" applyBorder="1" applyAlignment="1">
      <alignment horizontal="center" vertical="center"/>
    </xf>
    <xf numFmtId="0" fontId="25" fillId="14" borderId="47" xfId="0" applyNumberFormat="1" applyFont="1" applyFill="1" applyBorder="1" applyAlignment="1">
      <alignment horizontal="center" vertical="center" wrapText="1"/>
    </xf>
    <xf numFmtId="0" fontId="19" fillId="14" borderId="47" xfId="0" applyFont="1" applyFill="1" applyBorder="1" applyAlignment="1">
      <alignment horizontal="left" vertical="center" wrapText="1"/>
    </xf>
    <xf numFmtId="0" fontId="19" fillId="14" borderId="64" xfId="0" applyFont="1" applyFill="1" applyBorder="1" applyAlignment="1">
      <alignment horizontal="center"/>
    </xf>
    <xf numFmtId="0" fontId="15" fillId="14" borderId="47" xfId="0" applyFont="1" applyFill="1" applyBorder="1" applyAlignment="1">
      <alignment horizontal="center" vertical="center" wrapText="1"/>
    </xf>
    <xf numFmtId="0" fontId="0" fillId="14" borderId="47" xfId="0" applyFont="1" applyFill="1" applyBorder="1" applyAlignment="1">
      <alignment horizontal="center" vertical="center"/>
    </xf>
    <xf numFmtId="0" fontId="1" fillId="0" borderId="47" xfId="0" applyFont="1" applyFill="1" applyBorder="1" applyAlignment="1">
      <alignment vertical="center" wrapText="1"/>
    </xf>
    <xf numFmtId="0" fontId="1" fillId="0" borderId="5" xfId="0" applyFont="1" applyFill="1" applyBorder="1" applyAlignment="1">
      <alignment vertical="center" wrapText="1"/>
    </xf>
    <xf numFmtId="0" fontId="1" fillId="0" borderId="6" xfId="0" applyFont="1" applyFill="1" applyBorder="1" applyAlignment="1">
      <alignment vertical="center" wrapText="1"/>
    </xf>
    <xf numFmtId="0" fontId="6" fillId="2" borderId="47" xfId="0" applyNumberFormat="1" applyFont="1" applyFill="1" applyBorder="1" applyAlignment="1">
      <alignment horizontal="left" vertical="center" wrapText="1"/>
    </xf>
    <xf numFmtId="0" fontId="6" fillId="2" borderId="47" xfId="0" applyFont="1" applyFill="1" applyBorder="1" applyAlignment="1">
      <alignment vertical="center" wrapText="1" shrinkToFit="1"/>
    </xf>
    <xf numFmtId="0" fontId="15" fillId="2" borderId="47" xfId="0" applyFont="1" applyFill="1" applyBorder="1" applyAlignment="1">
      <alignment vertical="top" wrapText="1"/>
    </xf>
    <xf numFmtId="167" fontId="15" fillId="2" borderId="47" xfId="0" applyNumberFormat="1" applyFont="1" applyFill="1" applyBorder="1" applyAlignment="1">
      <alignment horizontal="center" vertical="center" wrapText="1"/>
    </xf>
    <xf numFmtId="0" fontId="6" fillId="2" borderId="47" xfId="0" applyFont="1" applyFill="1" applyBorder="1" applyAlignment="1">
      <alignment vertical="center" wrapText="1"/>
    </xf>
    <xf numFmtId="0" fontId="4" fillId="2" borderId="47" xfId="0" applyNumberFormat="1" applyFont="1" applyFill="1" applyBorder="1" applyAlignment="1">
      <alignment horizontal="center" vertical="center" wrapText="1"/>
    </xf>
    <xf numFmtId="0" fontId="9" fillId="2" borderId="47" xfId="0" applyNumberFormat="1" applyFont="1" applyFill="1" applyBorder="1" applyAlignment="1">
      <alignment horizontal="left" vertical="center" wrapText="1"/>
    </xf>
    <xf numFmtId="0" fontId="9" fillId="2" borderId="47" xfId="0" applyFont="1" applyFill="1" applyBorder="1" applyAlignment="1">
      <alignment vertical="center" wrapText="1"/>
    </xf>
    <xf numFmtId="0" fontId="1" fillId="2" borderId="47" xfId="0" applyFont="1" applyFill="1" applyBorder="1" applyAlignment="1">
      <alignment vertical="center" wrapText="1"/>
    </xf>
    <xf numFmtId="0" fontId="21" fillId="2" borderId="47" xfId="0" applyFont="1" applyFill="1" applyBorder="1" applyAlignment="1">
      <alignment horizontal="center" vertical="center" wrapText="1"/>
    </xf>
    <xf numFmtId="0" fontId="19" fillId="2" borderId="47" xfId="0" applyFont="1" applyFill="1" applyBorder="1" applyAlignment="1">
      <alignment horizontal="left" vertical="center" wrapText="1"/>
    </xf>
    <xf numFmtId="0" fontId="9" fillId="2" borderId="47" xfId="0" applyFont="1" applyFill="1" applyBorder="1" applyAlignment="1">
      <alignment horizontal="center" vertical="center" wrapText="1"/>
    </xf>
    <xf numFmtId="0" fontId="0" fillId="0" borderId="46" xfId="0" applyFont="1" applyFill="1" applyBorder="1" applyAlignment="1">
      <alignment horizontal="center" vertical="center"/>
    </xf>
    <xf numFmtId="0" fontId="9" fillId="2" borderId="46" xfId="0" applyFont="1" applyFill="1" applyBorder="1" applyAlignment="1">
      <alignment horizontal="left" vertical="center" wrapText="1"/>
    </xf>
    <xf numFmtId="0" fontId="41" fillId="2" borderId="46" xfId="0" applyFont="1" applyFill="1" applyBorder="1" applyAlignment="1">
      <alignment horizontal="left" vertical="center" wrapText="1"/>
    </xf>
    <xf numFmtId="0" fontId="25" fillId="7" borderId="47" xfId="0" applyNumberFormat="1" applyFont="1" applyFill="1" applyBorder="1" applyAlignment="1">
      <alignment horizontal="center" vertical="center" wrapText="1"/>
    </xf>
    <xf numFmtId="0" fontId="11" fillId="7" borderId="47" xfId="0" applyNumberFormat="1" applyFont="1" applyFill="1" applyBorder="1" applyAlignment="1">
      <alignment horizontal="left" vertical="center" wrapText="1"/>
    </xf>
    <xf numFmtId="0" fontId="6" fillId="7" borderId="47" xfId="0" applyFont="1" applyFill="1" applyBorder="1" applyAlignment="1">
      <alignment horizontal="center" vertical="center" wrapText="1"/>
    </xf>
    <xf numFmtId="0" fontId="15" fillId="2" borderId="47" xfId="0" applyFont="1" applyFill="1" applyBorder="1" applyAlignment="1">
      <alignment horizontal="left" vertical="center" wrapText="1"/>
    </xf>
    <xf numFmtId="0" fontId="9" fillId="2" borderId="46" xfId="0" applyNumberFormat="1" applyFont="1" applyFill="1" applyBorder="1" applyAlignment="1">
      <alignment horizontal="left" vertical="center" wrapText="1"/>
    </xf>
    <xf numFmtId="0" fontId="21" fillId="2" borderId="46" xfId="0" applyFont="1" applyFill="1" applyBorder="1" applyAlignment="1">
      <alignment horizontal="center" vertical="center" wrapText="1"/>
    </xf>
    <xf numFmtId="49" fontId="3" fillId="7" borderId="47" xfId="0" applyNumberFormat="1" applyFont="1" applyFill="1" applyBorder="1" applyAlignment="1">
      <alignment horizontal="center" vertical="center" wrapText="1"/>
    </xf>
    <xf numFmtId="0" fontId="6" fillId="7" borderId="47" xfId="0" applyFont="1" applyFill="1" applyBorder="1" applyAlignment="1">
      <alignment horizontal="left" vertical="center" wrapText="1"/>
    </xf>
    <xf numFmtId="0" fontId="3" fillId="14" borderId="47" xfId="0" applyNumberFormat="1" applyFont="1" applyFill="1" applyBorder="1" applyAlignment="1">
      <alignment horizontal="center" vertical="center" wrapText="1"/>
    </xf>
    <xf numFmtId="0" fontId="11" fillId="14" borderId="47" xfId="0" applyFont="1" applyFill="1" applyBorder="1" applyAlignment="1">
      <alignment horizontal="left" vertical="center" wrapText="1"/>
    </xf>
    <xf numFmtId="0" fontId="1" fillId="14" borderId="47" xfId="0" applyFont="1" applyFill="1" applyBorder="1" applyAlignment="1">
      <alignment horizontal="center" vertical="center" wrapText="1"/>
    </xf>
    <xf numFmtId="0" fontId="6" fillId="2" borderId="47" xfId="0" applyNumberFormat="1" applyFont="1" applyFill="1" applyBorder="1" applyAlignment="1">
      <alignment horizontal="center" vertical="center" wrapText="1"/>
    </xf>
    <xf numFmtId="0" fontId="6" fillId="2" borderId="47" xfId="0" applyFont="1" applyFill="1" applyBorder="1" applyAlignment="1">
      <alignment horizontal="left" vertical="center" wrapText="1"/>
    </xf>
    <xf numFmtId="0" fontId="21" fillId="2" borderId="47" xfId="0" applyFont="1" applyFill="1" applyBorder="1" applyAlignment="1">
      <alignment vertical="center" wrapText="1"/>
    </xf>
    <xf numFmtId="49" fontId="1" fillId="2" borderId="47" xfId="0" applyNumberFormat="1" applyFont="1" applyFill="1" applyBorder="1" applyAlignment="1">
      <alignment horizontal="center" vertical="center" wrapText="1"/>
    </xf>
    <xf numFmtId="0" fontId="1" fillId="2" borderId="46" xfId="0" applyFont="1" applyFill="1" applyBorder="1" applyAlignment="1">
      <alignment horizontal="center" vertical="center" wrapText="1"/>
    </xf>
    <xf numFmtId="49" fontId="19" fillId="2" borderId="47" xfId="0" applyNumberFormat="1" applyFont="1" applyFill="1" applyBorder="1" applyAlignment="1">
      <alignment horizontal="center" vertical="center" wrapText="1"/>
    </xf>
    <xf numFmtId="49" fontId="19" fillId="2" borderId="46" xfId="0" applyNumberFormat="1" applyFont="1" applyFill="1" applyBorder="1" applyAlignment="1">
      <alignment horizontal="center" vertical="center" wrapText="1"/>
    </xf>
    <xf numFmtId="167" fontId="1" fillId="0" borderId="47" xfId="0" applyNumberFormat="1" applyFont="1" applyFill="1" applyBorder="1" applyAlignment="1">
      <alignment horizontal="center" vertical="center" wrapText="1"/>
    </xf>
    <xf numFmtId="167" fontId="1" fillId="0" borderId="5" xfId="0" applyNumberFormat="1" applyFont="1" applyFill="1" applyBorder="1" applyAlignment="1">
      <alignment horizontal="center" vertical="center" wrapText="1"/>
    </xf>
    <xf numFmtId="167" fontId="1" fillId="0" borderId="6" xfId="0" applyNumberFormat="1" applyFont="1" applyFill="1" applyBorder="1" applyAlignment="1">
      <alignment horizontal="center" vertical="center" wrapText="1"/>
    </xf>
    <xf numFmtId="49" fontId="1" fillId="0" borderId="47" xfId="0" applyNumberFormat="1" applyFont="1" applyFill="1" applyBorder="1" applyAlignment="1">
      <alignment horizontal="center" vertical="center" wrapText="1"/>
    </xf>
    <xf numFmtId="0" fontId="6" fillId="7" borderId="47" xfId="0" applyNumberFormat="1" applyFont="1" applyFill="1" applyBorder="1" applyAlignment="1">
      <alignment horizontal="left" vertical="top" wrapText="1"/>
    </xf>
    <xf numFmtId="0" fontId="6" fillId="7" borderId="64" xfId="0" applyFont="1" applyFill="1" applyBorder="1" applyAlignment="1">
      <alignment horizontal="center" wrapText="1"/>
    </xf>
    <xf numFmtId="0" fontId="1" fillId="7" borderId="46" xfId="0" applyFont="1" applyFill="1" applyBorder="1" applyAlignment="1">
      <alignment horizontal="left" vertical="center" wrapText="1"/>
    </xf>
    <xf numFmtId="49" fontId="19" fillId="2" borderId="47" xfId="0" applyNumberFormat="1" applyFont="1" applyFill="1" applyBorder="1" applyAlignment="1">
      <alignment horizontal="left" vertical="center" wrapText="1"/>
    </xf>
    <xf numFmtId="0" fontId="6" fillId="7" borderId="47" xfId="0" applyNumberFormat="1" applyFont="1" applyFill="1" applyBorder="1" applyAlignment="1">
      <alignment horizontal="left" vertical="center" wrapText="1"/>
    </xf>
    <xf numFmtId="0" fontId="1" fillId="7" borderId="47" xfId="0" applyFont="1" applyFill="1" applyBorder="1" applyAlignment="1">
      <alignment horizontal="left" vertical="center" wrapText="1"/>
    </xf>
    <xf numFmtId="0" fontId="1" fillId="0" borderId="47" xfId="0" applyFont="1" applyFill="1" applyBorder="1" applyAlignment="1">
      <alignment horizontal="left" vertical="center" wrapText="1"/>
    </xf>
    <xf numFmtId="0" fontId="1" fillId="0" borderId="5" xfId="0" applyFont="1" applyFill="1" applyBorder="1" applyAlignment="1">
      <alignment horizontal="left" vertical="center" wrapText="1"/>
    </xf>
    <xf numFmtId="0" fontId="1" fillId="0" borderId="6" xfId="0" applyFont="1" applyFill="1" applyBorder="1" applyAlignment="1">
      <alignment horizontal="left" vertical="center" wrapText="1"/>
    </xf>
    <xf numFmtId="14" fontId="3" fillId="2" borderId="47" xfId="0" applyNumberFormat="1" applyFont="1" applyFill="1" applyBorder="1" applyAlignment="1">
      <alignment horizontal="center" vertical="center" wrapText="1"/>
    </xf>
    <xf numFmtId="0" fontId="6" fillId="7" borderId="64" xfId="0" applyFont="1" applyFill="1" applyBorder="1" applyAlignment="1">
      <alignment horizontal="center" vertical="center" wrapText="1"/>
    </xf>
    <xf numFmtId="0" fontId="38" fillId="14" borderId="47" xfId="0" applyNumberFormat="1" applyFont="1" applyFill="1" applyBorder="1" applyAlignment="1">
      <alignment horizontal="center" vertical="center" wrapText="1"/>
    </xf>
    <xf numFmtId="0" fontId="11" fillId="14" borderId="47" xfId="0" applyNumberFormat="1" applyFont="1" applyFill="1" applyBorder="1" applyAlignment="1">
      <alignment horizontal="left" vertical="center" wrapText="1"/>
    </xf>
    <xf numFmtId="0" fontId="1" fillId="14" borderId="47" xfId="0" applyFont="1" applyFill="1" applyBorder="1" applyAlignment="1">
      <alignment horizontal="left" vertical="center" wrapText="1"/>
    </xf>
    <xf numFmtId="0" fontId="148" fillId="149" borderId="47" xfId="23902" applyFont="1" applyFill="1" applyBorder="1" applyAlignment="1">
      <alignment horizontal="center" vertical="center" wrapText="1"/>
    </xf>
    <xf numFmtId="0" fontId="191" fillId="149" borderId="5" xfId="23902" applyFont="1" applyFill="1" applyBorder="1" applyAlignment="1">
      <alignment horizontal="center" vertical="center" wrapText="1"/>
    </xf>
    <xf numFmtId="0" fontId="191" fillId="149" borderId="6" xfId="23902" applyFont="1" applyFill="1" applyBorder="1" applyAlignment="1">
      <alignment horizontal="center" vertical="center" wrapText="1"/>
    </xf>
    <xf numFmtId="0" fontId="11" fillId="7" borderId="47" xfId="0" applyNumberFormat="1" applyFont="1" applyFill="1" applyBorder="1" applyAlignment="1">
      <alignment horizontal="center" vertical="center" wrapText="1"/>
    </xf>
    <xf numFmtId="14" fontId="3" fillId="149" borderId="47" xfId="0" applyNumberFormat="1" applyFont="1" applyFill="1" applyBorder="1" applyAlignment="1">
      <alignment horizontal="center" vertical="center" wrapText="1"/>
    </xf>
    <xf numFmtId="0" fontId="3" fillId="149" borderId="5" xfId="0" applyNumberFormat="1" applyFont="1" applyFill="1" applyBorder="1" applyAlignment="1">
      <alignment horizontal="center" vertical="center" wrapText="1"/>
    </xf>
    <xf numFmtId="0" fontId="3" fillId="149" borderId="6" xfId="0" applyNumberFormat="1" applyFont="1" applyFill="1" applyBorder="1" applyAlignment="1">
      <alignment horizontal="center" vertical="center" wrapText="1"/>
    </xf>
    <xf numFmtId="0" fontId="6" fillId="149" borderId="47" xfId="0" applyNumberFormat="1" applyFont="1" applyFill="1" applyBorder="1" applyAlignment="1">
      <alignment horizontal="center" vertical="center" wrapText="1"/>
    </xf>
    <xf numFmtId="0" fontId="6" fillId="149" borderId="5" xfId="0" applyNumberFormat="1" applyFont="1" applyFill="1" applyBorder="1" applyAlignment="1">
      <alignment horizontal="center" vertical="center" wrapText="1"/>
    </xf>
    <xf numFmtId="0" fontId="6" fillId="149" borderId="6" xfId="0" applyNumberFormat="1" applyFont="1" applyFill="1" applyBorder="1" applyAlignment="1">
      <alignment horizontal="center" vertical="center" wrapText="1"/>
    </xf>
    <xf numFmtId="0" fontId="6" fillId="149" borderId="47" xfId="0" applyFont="1" applyFill="1" applyBorder="1" applyAlignment="1">
      <alignment horizontal="center" vertical="center" wrapText="1"/>
    </xf>
    <xf numFmtId="0" fontId="6" fillId="149" borderId="5" xfId="0" applyFont="1" applyFill="1" applyBorder="1" applyAlignment="1">
      <alignment horizontal="center" vertical="center" wrapText="1"/>
    </xf>
    <xf numFmtId="0" fontId="6" fillId="149" borderId="6" xfId="0" applyFont="1" applyFill="1" applyBorder="1" applyAlignment="1">
      <alignment horizontal="center" vertical="center" wrapText="1"/>
    </xf>
    <xf numFmtId="0" fontId="15" fillId="149" borderId="47" xfId="0" applyFont="1" applyFill="1" applyBorder="1" applyAlignment="1">
      <alignment horizontal="center" vertical="center" wrapText="1"/>
    </xf>
    <xf numFmtId="0" fontId="15" fillId="149" borderId="5" xfId="0" applyFont="1" applyFill="1" applyBorder="1" applyAlignment="1">
      <alignment horizontal="center" vertical="center" wrapText="1"/>
    </xf>
    <xf numFmtId="0" fontId="15" fillId="149" borderId="6" xfId="0" applyFont="1" applyFill="1" applyBorder="1" applyAlignment="1">
      <alignment horizontal="center" vertical="center" wrapText="1"/>
    </xf>
    <xf numFmtId="167" fontId="15" fillId="149" borderId="47" xfId="0" applyNumberFormat="1" applyFont="1" applyFill="1" applyBorder="1" applyAlignment="1">
      <alignment horizontal="center" vertical="center" wrapText="1"/>
    </xf>
    <xf numFmtId="167" fontId="15" fillId="149" borderId="5" xfId="0" applyNumberFormat="1" applyFont="1" applyFill="1" applyBorder="1" applyAlignment="1">
      <alignment horizontal="center" vertical="center" wrapText="1"/>
    </xf>
    <xf numFmtId="167" fontId="15" fillId="149" borderId="6" xfId="0" applyNumberFormat="1" applyFont="1" applyFill="1" applyBorder="1" applyAlignment="1">
      <alignment horizontal="center" vertical="center" wrapText="1"/>
    </xf>
    <xf numFmtId="0" fontId="225" fillId="149" borderId="47" xfId="0" applyNumberFormat="1" applyFont="1" applyFill="1" applyBorder="1" applyAlignment="1">
      <alignment horizontal="center" vertical="center" wrapText="1"/>
    </xf>
    <xf numFmtId="0" fontId="225" fillId="149" borderId="5" xfId="0" applyNumberFormat="1" applyFont="1" applyFill="1" applyBorder="1" applyAlignment="1">
      <alignment horizontal="center" vertical="center" wrapText="1"/>
    </xf>
    <xf numFmtId="0" fontId="225" fillId="149" borderId="6" xfId="0" applyNumberFormat="1" applyFont="1" applyFill="1" applyBorder="1" applyAlignment="1">
      <alignment horizontal="center" vertical="center" wrapText="1"/>
    </xf>
    <xf numFmtId="0" fontId="226" fillId="149" borderId="47" xfId="0" applyFont="1" applyFill="1" applyBorder="1" applyAlignment="1">
      <alignment horizontal="center" vertical="center" wrapText="1"/>
    </xf>
    <xf numFmtId="0" fontId="226" fillId="149" borderId="5" xfId="0" applyFont="1" applyFill="1" applyBorder="1" applyAlignment="1">
      <alignment horizontal="center" vertical="center" wrapText="1"/>
    </xf>
    <xf numFmtId="0" fontId="226" fillId="149" borderId="6" xfId="0" applyFont="1" applyFill="1" applyBorder="1" applyAlignment="1">
      <alignment horizontal="center" vertical="center" wrapText="1"/>
    </xf>
    <xf numFmtId="0" fontId="228" fillId="149" borderId="47" xfId="0" applyFont="1" applyFill="1" applyBorder="1" applyAlignment="1">
      <alignment horizontal="center" vertical="center" wrapText="1"/>
    </xf>
    <xf numFmtId="0" fontId="228" fillId="149" borderId="5" xfId="0" applyFont="1" applyFill="1" applyBorder="1" applyAlignment="1">
      <alignment horizontal="center" vertical="center" wrapText="1"/>
    </xf>
    <xf numFmtId="0" fontId="228" fillId="149" borderId="6" xfId="0" applyFont="1" applyFill="1" applyBorder="1" applyAlignment="1">
      <alignment horizontal="center" vertical="center" wrapText="1"/>
    </xf>
    <xf numFmtId="167" fontId="229" fillId="149" borderId="47" xfId="0" applyNumberFormat="1" applyFont="1" applyFill="1" applyBorder="1" applyAlignment="1">
      <alignment horizontal="center" vertical="top" wrapText="1"/>
    </xf>
    <xf numFmtId="167" fontId="229" fillId="149" borderId="5" xfId="0" applyNumberFormat="1" applyFont="1" applyFill="1" applyBorder="1" applyAlignment="1">
      <alignment horizontal="center" vertical="top" wrapText="1"/>
    </xf>
    <xf numFmtId="167" fontId="229" fillId="149" borderId="6" xfId="0" applyNumberFormat="1" applyFont="1" applyFill="1" applyBorder="1" applyAlignment="1">
      <alignment horizontal="center" vertical="top" wrapText="1"/>
    </xf>
    <xf numFmtId="0" fontId="229" fillId="149" borderId="47" xfId="23902" applyFont="1" applyFill="1" applyBorder="1" applyAlignment="1">
      <alignment horizontal="center" vertical="center" wrapText="1"/>
    </xf>
    <xf numFmtId="0" fontId="229" fillId="149" borderId="5" xfId="23902" applyFont="1" applyFill="1" applyBorder="1" applyAlignment="1">
      <alignment horizontal="center" vertical="center" wrapText="1"/>
    </xf>
    <xf numFmtId="0" fontId="229" fillId="149" borderId="6" xfId="23902" applyFont="1" applyFill="1" applyBorder="1" applyAlignment="1">
      <alignment horizontal="center" vertical="center" wrapText="1"/>
    </xf>
    <xf numFmtId="0" fontId="230" fillId="149" borderId="47" xfId="0" applyFont="1" applyFill="1" applyBorder="1" applyAlignment="1">
      <alignment horizontal="center" vertical="center"/>
    </xf>
    <xf numFmtId="0" fontId="230" fillId="149" borderId="5" xfId="0" applyFont="1" applyFill="1" applyBorder="1" applyAlignment="1">
      <alignment horizontal="center" vertical="center"/>
    </xf>
    <xf numFmtId="0" fontId="15" fillId="2" borderId="47" xfId="0" applyFont="1" applyFill="1" applyBorder="1" applyAlignment="1">
      <alignment horizontal="center" vertical="top" wrapText="1"/>
    </xf>
    <xf numFmtId="49" fontId="4" fillId="149" borderId="47" xfId="0" applyNumberFormat="1" applyFont="1" applyFill="1" applyBorder="1" applyAlignment="1">
      <alignment horizontal="center" vertical="center" wrapText="1"/>
    </xf>
    <xf numFmtId="49" fontId="4" fillId="149" borderId="5" xfId="0" applyNumberFormat="1" applyFont="1" applyFill="1" applyBorder="1" applyAlignment="1">
      <alignment horizontal="center" vertical="center" wrapText="1"/>
    </xf>
    <xf numFmtId="49" fontId="4" fillId="149" borderId="6" xfId="0" applyNumberFormat="1" applyFont="1" applyFill="1" applyBorder="1" applyAlignment="1">
      <alignment horizontal="center" vertical="center" wrapText="1"/>
    </xf>
    <xf numFmtId="0" fontId="9" fillId="149" borderId="47" xfId="0" applyNumberFormat="1" applyFont="1" applyFill="1" applyBorder="1" applyAlignment="1">
      <alignment horizontal="center" vertical="center" wrapText="1"/>
    </xf>
    <xf numFmtId="0" fontId="9" fillId="149" borderId="5" xfId="0" applyNumberFormat="1" applyFont="1" applyFill="1" applyBorder="1" applyAlignment="1">
      <alignment horizontal="center" vertical="center" wrapText="1"/>
    </xf>
    <xf numFmtId="0" fontId="9" fillId="149" borderId="6" xfId="0" applyNumberFormat="1" applyFont="1" applyFill="1" applyBorder="1" applyAlignment="1">
      <alignment horizontal="center" vertical="center" wrapText="1"/>
    </xf>
    <xf numFmtId="0" fontId="19" fillId="149" borderId="46" xfId="0" applyFont="1" applyFill="1" applyBorder="1" applyAlignment="1">
      <alignment horizontal="center" vertical="center" wrapText="1"/>
    </xf>
    <xf numFmtId="0" fontId="15" fillId="149" borderId="46" xfId="0" applyFont="1" applyFill="1" applyBorder="1" applyAlignment="1">
      <alignment horizontal="center" vertical="center" wrapText="1"/>
    </xf>
    <xf numFmtId="167" fontId="1" fillId="149" borderId="47" xfId="0" applyNumberFormat="1" applyFont="1" applyFill="1" applyBorder="1" applyAlignment="1">
      <alignment horizontal="center" vertical="center" wrapText="1"/>
    </xf>
    <xf numFmtId="167" fontId="1" fillId="149" borderId="5" xfId="0" applyNumberFormat="1" applyFont="1" applyFill="1" applyBorder="1" applyAlignment="1">
      <alignment horizontal="center" vertical="center" wrapText="1"/>
    </xf>
    <xf numFmtId="167" fontId="1" fillId="149" borderId="6" xfId="0" applyNumberFormat="1" applyFont="1" applyFill="1" applyBorder="1" applyAlignment="1">
      <alignment horizontal="center" vertical="center" wrapText="1"/>
    </xf>
    <xf numFmtId="0" fontId="1" fillId="149" borderId="47" xfId="0" applyFont="1" applyFill="1" applyBorder="1" applyAlignment="1">
      <alignment vertical="center" wrapText="1"/>
    </xf>
    <xf numFmtId="0" fontId="1" fillId="149" borderId="5" xfId="0" applyFont="1" applyFill="1" applyBorder="1" applyAlignment="1">
      <alignment vertical="center" wrapText="1"/>
    </xf>
    <xf numFmtId="0" fontId="1" fillId="149" borderId="6" xfId="0" applyFont="1" applyFill="1" applyBorder="1" applyAlignment="1">
      <alignment vertical="center" wrapText="1"/>
    </xf>
    <xf numFmtId="0" fontId="0" fillId="140" borderId="47" xfId="0" applyFont="1" applyFill="1" applyBorder="1" applyAlignment="1">
      <alignment horizontal="center" vertical="center"/>
    </xf>
    <xf numFmtId="0" fontId="1" fillId="149" borderId="6" xfId="0" applyFont="1" applyFill="1" applyBorder="1" applyAlignment="1">
      <alignment horizontal="center" vertical="center" wrapText="1"/>
    </xf>
    <xf numFmtId="0" fontId="11" fillId="14" borderId="47" xfId="0" applyNumberFormat="1" applyFont="1" applyFill="1" applyBorder="1" applyAlignment="1">
      <alignment horizontal="center" vertical="center" wrapText="1"/>
    </xf>
    <xf numFmtId="0" fontId="11" fillId="14" borderId="64" xfId="0" applyFont="1" applyFill="1" applyBorder="1" applyAlignment="1">
      <alignment horizontal="center"/>
    </xf>
    <xf numFmtId="0" fontId="22" fillId="14" borderId="47" xfId="0" applyFont="1" applyFill="1" applyBorder="1" applyAlignment="1">
      <alignment horizontal="center" vertical="center" wrapText="1"/>
    </xf>
    <xf numFmtId="0" fontId="19" fillId="149" borderId="47" xfId="0" applyFont="1" applyFill="1" applyBorder="1" applyAlignment="1">
      <alignment horizontal="center" vertical="center" wrapText="1"/>
    </xf>
    <xf numFmtId="0" fontId="19" fillId="149" borderId="5" xfId="0" applyFont="1" applyFill="1" applyBorder="1" applyAlignment="1">
      <alignment horizontal="center" vertical="center" wrapText="1"/>
    </xf>
    <xf numFmtId="0" fontId="19" fillId="149" borderId="6" xfId="0" applyFont="1" applyFill="1" applyBorder="1" applyAlignment="1">
      <alignment horizontal="center" vertical="center" wrapText="1"/>
    </xf>
    <xf numFmtId="0" fontId="193" fillId="149" borderId="5" xfId="0" applyFont="1" applyFill="1" applyBorder="1" applyAlignment="1">
      <alignment horizontal="center" vertical="center" wrapText="1"/>
    </xf>
    <xf numFmtId="0" fontId="193" fillId="149" borderId="6" xfId="0" applyFont="1" applyFill="1" applyBorder="1" applyAlignment="1">
      <alignment horizontal="center" vertical="center" wrapText="1"/>
    </xf>
    <xf numFmtId="0" fontId="148" fillId="149" borderId="47" xfId="23902" applyFont="1" applyFill="1" applyBorder="1" applyAlignment="1">
      <alignment vertical="center" wrapText="1"/>
    </xf>
    <xf numFmtId="0" fontId="191" fillId="149" borderId="5" xfId="23902" applyFont="1" applyFill="1" applyBorder="1" applyAlignment="1">
      <alignment vertical="center" wrapText="1"/>
    </xf>
    <xf numFmtId="0" fontId="191" fillId="149" borderId="6" xfId="23902" applyFont="1" applyFill="1" applyBorder="1" applyAlignment="1">
      <alignment vertical="center" wrapText="1"/>
    </xf>
    <xf numFmtId="0" fontId="6" fillId="7" borderId="64" xfId="0" applyFont="1" applyFill="1" applyBorder="1" applyAlignment="1">
      <alignment horizontal="center"/>
    </xf>
    <xf numFmtId="0" fontId="223" fillId="0" borderId="0" xfId="23908" applyNumberFormat="1" applyProtection="1">
      <alignment horizontal="center" vertical="top" wrapText="1"/>
    </xf>
    <xf numFmtId="0" fontId="223" fillId="0" borderId="0" xfId="23908">
      <alignment horizontal="center" vertical="top" wrapText="1"/>
    </xf>
    <xf numFmtId="0" fontId="183" fillId="0" borderId="0" xfId="23909" applyNumberFormat="1" applyProtection="1">
      <alignment horizontal="right" vertical="top" wrapText="1"/>
    </xf>
    <xf numFmtId="0" fontId="183" fillId="0" borderId="0" xfId="23909">
      <alignment horizontal="right" vertical="top" wrapText="1"/>
    </xf>
    <xf numFmtId="0" fontId="196" fillId="150" borderId="1" xfId="23874" applyFont="1" applyFill="1" applyBorder="1" applyAlignment="1">
      <alignment horizontal="center" vertical="center" wrapText="1"/>
    </xf>
    <xf numFmtId="0" fontId="197" fillId="151" borderId="51" xfId="23874" applyFont="1" applyFill="1" applyBorder="1" applyAlignment="1">
      <alignment horizontal="center" vertical="center" wrapText="1"/>
    </xf>
    <xf numFmtId="0" fontId="197" fillId="151" borderId="11" xfId="23874" applyFont="1" applyFill="1" applyBorder="1" applyAlignment="1">
      <alignment horizontal="center" vertical="center" wrapText="1"/>
    </xf>
    <xf numFmtId="49" fontId="200" fillId="2" borderId="47" xfId="23874" applyNumberFormat="1" applyFont="1" applyFill="1" applyBorder="1" applyAlignment="1">
      <alignment horizontal="right" vertical="top"/>
    </xf>
    <xf numFmtId="49" fontId="200" fillId="2" borderId="5" xfId="23874" applyNumberFormat="1" applyFont="1" applyFill="1" applyBorder="1" applyAlignment="1">
      <alignment horizontal="right" vertical="top"/>
    </xf>
    <xf numFmtId="0" fontId="4" fillId="2" borderId="47" xfId="23874" applyFont="1" applyFill="1" applyBorder="1" applyAlignment="1">
      <alignment horizontal="center" vertical="center"/>
    </xf>
    <xf numFmtId="0" fontId="4" fillId="2" borderId="5" xfId="23874" applyFont="1" applyFill="1" applyBorder="1" applyAlignment="1">
      <alignment horizontal="center" vertical="center"/>
    </xf>
    <xf numFmtId="0" fontId="4" fillId="2" borderId="6" xfId="23874" applyFont="1" applyFill="1" applyBorder="1" applyAlignment="1">
      <alignment horizontal="center" vertical="center"/>
    </xf>
    <xf numFmtId="0" fontId="196" fillId="2" borderId="0" xfId="23874" applyFont="1" applyFill="1" applyAlignment="1">
      <alignment horizontal="center" vertical="center" wrapText="1"/>
    </xf>
    <xf numFmtId="0" fontId="199" fillId="2" borderId="47" xfId="23874" applyFont="1" applyFill="1" applyBorder="1" applyAlignment="1">
      <alignment horizontal="center" vertical="center" wrapText="1"/>
    </xf>
    <xf numFmtId="0" fontId="199" fillId="2" borderId="6" xfId="23874" applyFont="1" applyFill="1" applyBorder="1" applyAlignment="1">
      <alignment horizontal="center" vertical="center" wrapText="1"/>
    </xf>
    <xf numFmtId="0" fontId="21" fillId="2" borderId="47" xfId="23874" applyFont="1" applyFill="1" applyBorder="1" applyAlignment="1">
      <alignment horizontal="center" vertical="center"/>
    </xf>
    <xf numFmtId="0" fontId="21" fillId="2" borderId="6" xfId="23874" applyFont="1" applyFill="1" applyBorder="1" applyAlignment="1">
      <alignment horizontal="center" vertical="center"/>
    </xf>
    <xf numFmtId="0" fontId="200" fillId="2" borderId="47" xfId="23874" applyFont="1" applyFill="1" applyBorder="1" applyAlignment="1">
      <alignment horizontal="center" vertical="center" wrapText="1"/>
    </xf>
    <xf numFmtId="0" fontId="200" fillId="2" borderId="6" xfId="23874" applyFont="1" applyFill="1" applyBorder="1" applyAlignment="1">
      <alignment horizontal="center" vertical="center" wrapText="1"/>
    </xf>
    <xf numFmtId="0" fontId="4" fillId="2" borderId="47" xfId="23874" applyFont="1" applyFill="1" applyBorder="1" applyAlignment="1">
      <alignment horizontal="center" vertical="center" wrapText="1"/>
    </xf>
    <xf numFmtId="0" fontId="4" fillId="2" borderId="6" xfId="23874" applyFont="1" applyFill="1" applyBorder="1" applyAlignment="1">
      <alignment horizontal="center" vertical="center" wrapText="1"/>
    </xf>
    <xf numFmtId="0" fontId="4" fillId="2" borderId="1" xfId="23874" applyFont="1" applyFill="1" applyBorder="1" applyAlignment="1">
      <alignment horizontal="center" vertical="center" wrapText="1"/>
    </xf>
    <xf numFmtId="0" fontId="195" fillId="142" borderId="0" xfId="23902" applyFont="1" applyFill="1" applyAlignment="1">
      <alignment horizontal="center"/>
    </xf>
    <xf numFmtId="0" fontId="195" fillId="142" borderId="8" xfId="23902" applyFont="1" applyFill="1" applyBorder="1" applyAlignment="1">
      <alignment horizontal="center"/>
    </xf>
    <xf numFmtId="0" fontId="195" fillId="142" borderId="46" xfId="23902" applyFont="1" applyFill="1" applyBorder="1" applyAlignment="1">
      <alignment horizontal="center" vertical="center" wrapText="1"/>
    </xf>
    <xf numFmtId="0" fontId="195" fillId="142" borderId="46" xfId="23902" applyFont="1" applyFill="1" applyBorder="1" applyAlignment="1">
      <alignment vertical="center" wrapText="1"/>
    </xf>
    <xf numFmtId="0" fontId="195" fillId="142" borderId="46" xfId="23902" applyFont="1" applyFill="1" applyBorder="1" applyAlignment="1">
      <alignment vertical="center"/>
    </xf>
    <xf numFmtId="0" fontId="195" fillId="142" borderId="46" xfId="23902" applyFont="1" applyFill="1" applyBorder="1" applyAlignment="1">
      <alignment horizontal="left" vertical="center" wrapText="1"/>
    </xf>
    <xf numFmtId="0" fontId="195" fillId="0" borderId="46" xfId="23902" applyFont="1" applyBorder="1" applyAlignment="1">
      <alignment horizontal="center" vertical="center" wrapText="1"/>
    </xf>
    <xf numFmtId="0" fontId="195" fillId="142" borderId="47" xfId="23902" applyFont="1" applyFill="1" applyBorder="1" applyAlignment="1">
      <alignment horizontal="center" vertical="center" wrapText="1"/>
    </xf>
    <xf numFmtId="0" fontId="195" fillId="142" borderId="5" xfId="23902" applyFont="1" applyFill="1" applyBorder="1" applyAlignment="1">
      <alignment horizontal="center" vertical="center" wrapText="1"/>
    </xf>
    <xf numFmtId="0" fontId="195" fillId="142" borderId="6" xfId="23902" applyFont="1" applyFill="1" applyBorder="1" applyAlignment="1">
      <alignment horizontal="center" vertical="center" wrapText="1"/>
    </xf>
    <xf numFmtId="0" fontId="195" fillId="142" borderId="47" xfId="23902" applyFont="1" applyFill="1" applyBorder="1" applyAlignment="1">
      <alignment horizontal="left" vertical="center" wrapText="1"/>
    </xf>
    <xf numFmtId="0" fontId="195" fillId="142" borderId="5" xfId="23902" applyFont="1" applyFill="1" applyBorder="1" applyAlignment="1">
      <alignment horizontal="left" vertical="center" wrapText="1"/>
    </xf>
    <xf numFmtId="0" fontId="195" fillId="142" borderId="6" xfId="23902" applyFont="1" applyFill="1" applyBorder="1" applyAlignment="1">
      <alignment horizontal="left" vertical="center" wrapText="1"/>
    </xf>
    <xf numFmtId="0" fontId="195" fillId="0" borderId="47" xfId="23902" applyFont="1" applyBorder="1" applyAlignment="1">
      <alignment horizontal="center" vertical="center" wrapText="1"/>
    </xf>
    <xf numFmtId="0" fontId="195" fillId="0" borderId="5" xfId="23902" applyFont="1" applyBorder="1" applyAlignment="1">
      <alignment horizontal="center" vertical="center" wrapText="1"/>
    </xf>
    <xf numFmtId="0" fontId="195" fillId="0" borderId="6" xfId="23902" applyFont="1" applyBorder="1" applyAlignment="1">
      <alignment horizontal="center" vertical="center" wrapText="1"/>
    </xf>
    <xf numFmtId="0" fontId="186" fillId="142" borderId="0" xfId="23902" applyFont="1" applyFill="1"/>
    <xf numFmtId="0" fontId="186" fillId="142" borderId="0" xfId="23902" applyFont="1" applyFill="1" applyAlignment="1">
      <alignment horizontal="center"/>
    </xf>
    <xf numFmtId="49" fontId="195" fillId="142" borderId="46" xfId="23902" applyNumberFormat="1" applyFont="1" applyFill="1" applyBorder="1" applyAlignment="1">
      <alignment horizontal="center" vertical="center" wrapText="1"/>
    </xf>
    <xf numFmtId="0" fontId="189" fillId="142" borderId="47" xfId="23902" applyFont="1" applyFill="1" applyBorder="1" applyAlignment="1">
      <alignment horizontal="left" vertical="center" wrapText="1"/>
    </xf>
    <xf numFmtId="0" fontId="189" fillId="142" borderId="5" xfId="23902" applyFont="1" applyFill="1" applyBorder="1" applyAlignment="1">
      <alignment horizontal="left" vertical="center" wrapText="1"/>
    </xf>
    <xf numFmtId="0" fontId="189" fillId="142" borderId="6" xfId="23902" applyFont="1" applyFill="1" applyBorder="1" applyAlignment="1">
      <alignment horizontal="left" vertical="center" wrapText="1"/>
    </xf>
    <xf numFmtId="49" fontId="195" fillId="142" borderId="47" xfId="23902" applyNumberFormat="1" applyFont="1" applyFill="1" applyBorder="1" applyAlignment="1">
      <alignment horizontal="center" vertical="center" wrapText="1"/>
    </xf>
    <xf numFmtId="49" fontId="195" fillId="142" borderId="5" xfId="23902" applyNumberFormat="1" applyFont="1" applyFill="1" applyBorder="1" applyAlignment="1">
      <alignment horizontal="center" vertical="center" wrapText="1"/>
    </xf>
    <xf numFmtId="0" fontId="195" fillId="142" borderId="46" xfId="23902" applyFont="1" applyFill="1" applyBorder="1" applyAlignment="1">
      <alignment wrapText="1"/>
    </xf>
    <xf numFmtId="0" fontId="195" fillId="142" borderId="47" xfId="23902" applyFont="1" applyFill="1" applyBorder="1" applyAlignment="1">
      <alignment vertical="center" wrapText="1"/>
    </xf>
    <xf numFmtId="0" fontId="195" fillId="142" borderId="5" xfId="23902" applyFont="1" applyFill="1" applyBorder="1" applyAlignment="1">
      <alignment vertical="center" wrapText="1"/>
    </xf>
    <xf numFmtId="0" fontId="195" fillId="148" borderId="47" xfId="23902" applyFont="1" applyFill="1" applyBorder="1" applyAlignment="1">
      <alignment horizontal="center" vertical="center" wrapText="1"/>
    </xf>
    <xf numFmtId="0" fontId="195" fillId="148" borderId="5" xfId="23902" applyFont="1" applyFill="1" applyBorder="1" applyAlignment="1">
      <alignment horizontal="center" vertical="center" wrapText="1"/>
    </xf>
    <xf numFmtId="0" fontId="195" fillId="148" borderId="6" xfId="23902" applyFont="1" applyFill="1" applyBorder="1" applyAlignment="1">
      <alignment horizontal="center" vertical="center" wrapText="1"/>
    </xf>
    <xf numFmtId="0" fontId="195" fillId="148" borderId="47" xfId="23902" applyFont="1" applyFill="1" applyBorder="1" applyAlignment="1">
      <alignment horizontal="left" vertical="center" wrapText="1"/>
    </xf>
    <xf numFmtId="0" fontId="195" fillId="148" borderId="5" xfId="23902" applyFont="1" applyFill="1" applyBorder="1" applyAlignment="1">
      <alignment horizontal="left" vertical="center" wrapText="1"/>
    </xf>
    <xf numFmtId="14" fontId="195" fillId="142" borderId="47" xfId="23902" applyNumberFormat="1" applyFont="1" applyFill="1" applyBorder="1" applyAlignment="1">
      <alignment horizontal="center" vertical="center" wrapText="1"/>
    </xf>
    <xf numFmtId="49" fontId="195" fillId="0" borderId="46" xfId="23902" applyNumberFormat="1" applyFont="1" applyBorder="1" applyAlignment="1">
      <alignment horizontal="center" vertical="center" wrapText="1"/>
    </xf>
    <xf numFmtId="0" fontId="195" fillId="0" borderId="47" xfId="23902" applyFont="1" applyBorder="1" applyAlignment="1">
      <alignment vertical="center" wrapText="1"/>
    </xf>
    <xf numFmtId="0" fontId="195" fillId="0" borderId="5" xfId="23902" applyFont="1" applyBorder="1" applyAlignment="1">
      <alignment vertical="center" wrapText="1"/>
    </xf>
    <xf numFmtId="0" fontId="4" fillId="0" borderId="47" xfId="23902" applyFont="1" applyBorder="1" applyAlignment="1">
      <alignment horizontal="left" vertical="center" wrapText="1"/>
    </xf>
    <xf numFmtId="0" fontId="195" fillId="0" borderId="5" xfId="23902" applyFont="1" applyBorder="1" applyAlignment="1">
      <alignment horizontal="left" vertical="center" wrapText="1"/>
    </xf>
    <xf numFmtId="0" fontId="195" fillId="0" borderId="6" xfId="23902" applyFont="1" applyBorder="1" applyAlignment="1">
      <alignment horizontal="left" vertical="center" wrapText="1"/>
    </xf>
    <xf numFmtId="0" fontId="4" fillId="0" borderId="47" xfId="23902" applyFont="1" applyBorder="1" applyAlignment="1">
      <alignment horizontal="center" vertical="center" wrapText="1"/>
    </xf>
    <xf numFmtId="0" fontId="195" fillId="0" borderId="47" xfId="23902" applyFont="1" applyBorder="1" applyAlignment="1">
      <alignment horizontal="left" vertical="center" wrapText="1"/>
    </xf>
    <xf numFmtId="0" fontId="6" fillId="2" borderId="2" xfId="0" applyFont="1" applyFill="1" applyBorder="1" applyAlignment="1">
      <alignment horizontal="center"/>
    </xf>
    <xf numFmtId="0" fontId="6" fillId="2" borderId="7" xfId="0" applyFont="1" applyFill="1" applyBorder="1" applyAlignment="1">
      <alignment horizontal="center"/>
    </xf>
    <xf numFmtId="0" fontId="6" fillId="2" borderId="3" xfId="0" applyFont="1" applyFill="1" applyBorder="1" applyAlignment="1">
      <alignment horizontal="center"/>
    </xf>
    <xf numFmtId="0" fontId="9" fillId="2" borderId="4" xfId="0" applyFont="1" applyFill="1" applyBorder="1" applyAlignment="1">
      <alignment horizontal="left" vertical="center" wrapText="1"/>
    </xf>
    <xf numFmtId="0" fontId="9" fillId="2" borderId="5" xfId="0" applyFont="1" applyFill="1" applyBorder="1" applyAlignment="1">
      <alignment horizontal="left" vertical="center" wrapText="1"/>
    </xf>
    <xf numFmtId="0" fontId="9" fillId="2" borderId="6" xfId="0" applyFont="1" applyFill="1" applyBorder="1" applyAlignment="1">
      <alignment horizontal="left" vertical="center" wrapText="1"/>
    </xf>
    <xf numFmtId="0" fontId="0" fillId="2" borderId="5" xfId="0" applyFill="1" applyBorder="1" applyAlignment="1">
      <alignment horizontal="center" vertical="center"/>
    </xf>
    <xf numFmtId="0" fontId="0" fillId="2" borderId="6" xfId="0" applyFill="1" applyBorder="1" applyAlignment="1">
      <alignment horizontal="center" vertical="center"/>
    </xf>
    <xf numFmtId="0" fontId="19" fillId="2" borderId="5" xfId="0" applyFont="1" applyFill="1" applyBorder="1" applyAlignment="1">
      <alignment vertical="center" wrapText="1"/>
    </xf>
    <xf numFmtId="0" fontId="19" fillId="2" borderId="6" xfId="0" applyFont="1" applyFill="1" applyBorder="1" applyAlignment="1">
      <alignment vertical="center" wrapText="1"/>
    </xf>
    <xf numFmtId="0" fontId="0" fillId="2" borderId="1" xfId="0" applyFont="1" applyFill="1" applyBorder="1" applyAlignment="1">
      <alignment horizontal="center" vertical="center"/>
    </xf>
    <xf numFmtId="0" fontId="1" fillId="4" borderId="47" xfId="0" applyFont="1" applyFill="1" applyBorder="1" applyAlignment="1">
      <alignment horizontal="center" vertical="center" wrapText="1"/>
    </xf>
    <xf numFmtId="0" fontId="1" fillId="4" borderId="5" xfId="0" applyFont="1" applyFill="1" applyBorder="1" applyAlignment="1">
      <alignment horizontal="center" vertical="center" wrapText="1"/>
    </xf>
    <xf numFmtId="0" fontId="1" fillId="4" borderId="6" xfId="0" applyFont="1" applyFill="1" applyBorder="1" applyAlignment="1">
      <alignment horizontal="center" vertical="center" wrapText="1"/>
    </xf>
    <xf numFmtId="0" fontId="15" fillId="0" borderId="47" xfId="0" applyFont="1" applyFill="1" applyBorder="1" applyAlignment="1">
      <alignment horizontal="center" vertical="center" wrapText="1"/>
    </xf>
    <xf numFmtId="0" fontId="9" fillId="2" borderId="1" xfId="0" applyNumberFormat="1" applyFont="1" applyFill="1" applyBorder="1" applyAlignment="1">
      <alignment horizontal="left" vertical="center" wrapText="1"/>
    </xf>
    <xf numFmtId="0" fontId="1" fillId="0" borderId="4" xfId="0" applyFont="1" applyFill="1" applyBorder="1" applyAlignment="1">
      <alignment vertical="center" wrapText="1"/>
    </xf>
    <xf numFmtId="0" fontId="148" fillId="2" borderId="47" xfId="23902" applyFont="1" applyFill="1" applyBorder="1" applyAlignment="1">
      <alignment horizontal="center" vertical="center" wrapText="1"/>
    </xf>
    <xf numFmtId="0" fontId="191" fillId="2" borderId="5" xfId="23902" applyFont="1" applyFill="1" applyBorder="1" applyAlignment="1">
      <alignment horizontal="center" vertical="center" wrapText="1"/>
    </xf>
    <xf numFmtId="0" fontId="191" fillId="2" borderId="6" xfId="23902" applyFont="1" applyFill="1" applyBorder="1" applyAlignment="1">
      <alignment horizontal="center" vertical="center" wrapText="1"/>
    </xf>
    <xf numFmtId="49" fontId="148" fillId="145" borderId="47" xfId="23902" applyNumberFormat="1" applyFont="1" applyFill="1" applyBorder="1" applyAlignment="1">
      <alignment horizontal="center" vertical="center" wrapText="1"/>
    </xf>
    <xf numFmtId="0" fontId="191" fillId="145" borderId="5" xfId="23902" applyFont="1" applyFill="1" applyBorder="1" applyAlignment="1">
      <alignment horizontal="center" vertical="center" wrapText="1"/>
    </xf>
    <xf numFmtId="0" fontId="191" fillId="145" borderId="6" xfId="23902" applyFont="1" applyFill="1" applyBorder="1" applyAlignment="1">
      <alignment horizontal="center" vertical="center" wrapText="1"/>
    </xf>
    <xf numFmtId="0" fontId="0" fillId="2" borderId="47" xfId="0" applyFont="1" applyFill="1" applyBorder="1" applyAlignment="1">
      <alignment horizontal="center" vertical="center"/>
    </xf>
    <xf numFmtId="0" fontId="9" fillId="7" borderId="4" xfId="0" applyNumberFormat="1" applyFont="1" applyFill="1" applyBorder="1" applyAlignment="1">
      <alignment horizontal="center" vertical="center" wrapText="1"/>
    </xf>
    <xf numFmtId="0" fontId="19" fillId="7" borderId="1" xfId="0" applyFont="1" applyFill="1" applyBorder="1" applyAlignment="1">
      <alignment horizontal="center" vertical="center" wrapText="1"/>
    </xf>
    <xf numFmtId="49" fontId="4" fillId="2" borderId="1" xfId="0" applyNumberFormat="1" applyFont="1" applyFill="1" applyBorder="1" applyAlignment="1">
      <alignment horizontal="center" vertical="center" wrapText="1"/>
    </xf>
    <xf numFmtId="0" fontId="15" fillId="2" borderId="46" xfId="0" applyFont="1" applyFill="1" applyBorder="1" applyAlignment="1">
      <alignment horizontal="center" vertical="center" wrapText="1"/>
    </xf>
    <xf numFmtId="49" fontId="4" fillId="7" borderId="1" xfId="0" applyNumberFormat="1" applyFont="1" applyFill="1" applyBorder="1" applyAlignment="1">
      <alignment horizontal="center" vertical="center" wrapText="1"/>
    </xf>
    <xf numFmtId="0" fontId="9" fillId="7" borderId="1" xfId="0" applyNumberFormat="1" applyFont="1" applyFill="1" applyBorder="1" applyAlignment="1">
      <alignment horizontal="center" vertical="center" wrapText="1"/>
    </xf>
    <xf numFmtId="0" fontId="19" fillId="7" borderId="4" xfId="0" applyFont="1" applyFill="1" applyBorder="1" applyAlignment="1">
      <alignment horizontal="center" vertical="center" wrapText="1"/>
    </xf>
    <xf numFmtId="0" fontId="0" fillId="7" borderId="1" xfId="0" applyFont="1" applyFill="1" applyBorder="1" applyAlignment="1">
      <alignment horizontal="center" vertical="center"/>
    </xf>
    <xf numFmtId="0" fontId="193" fillId="2" borderId="5" xfId="0" applyFont="1" applyFill="1" applyBorder="1" applyAlignment="1">
      <alignment horizontal="center" vertical="center" wrapText="1"/>
    </xf>
    <xf numFmtId="0" fontId="193" fillId="2" borderId="6" xfId="0" applyFont="1" applyFill="1" applyBorder="1" applyAlignment="1">
      <alignment horizontal="center" vertical="center" wrapText="1"/>
    </xf>
    <xf numFmtId="0" fontId="148" fillId="2" borderId="47" xfId="23902" applyFont="1" applyFill="1" applyBorder="1" applyAlignment="1">
      <alignment vertical="center" wrapText="1"/>
    </xf>
    <xf numFmtId="0" fontId="148" fillId="2" borderId="5" xfId="23902" applyFont="1" applyFill="1" applyBorder="1" applyAlignment="1">
      <alignment vertical="center" wrapText="1"/>
    </xf>
    <xf numFmtId="0" fontId="148" fillId="2" borderId="6" xfId="23902" applyFont="1" applyFill="1" applyBorder="1" applyAlignment="1">
      <alignment vertical="center" wrapText="1"/>
    </xf>
    <xf numFmtId="0" fontId="4" fillId="0" borderId="47" xfId="5512" applyFont="1" applyFill="1" applyBorder="1" applyAlignment="1">
      <alignment horizontal="center" vertical="center" wrapText="1"/>
    </xf>
    <xf numFmtId="0" fontId="4" fillId="0" borderId="5" xfId="5512" applyFont="1" applyFill="1" applyBorder="1" applyAlignment="1">
      <alignment horizontal="center" vertical="center" wrapText="1"/>
    </xf>
    <xf numFmtId="0" fontId="4" fillId="0" borderId="6" xfId="5512" applyFont="1" applyFill="1" applyBorder="1" applyAlignment="1">
      <alignment horizontal="center" vertical="center" wrapText="1"/>
    </xf>
    <xf numFmtId="0" fontId="17" fillId="0" borderId="47" xfId="5512" applyFont="1" applyFill="1" applyBorder="1" applyAlignment="1">
      <alignment horizontal="center" vertical="center" wrapText="1"/>
    </xf>
    <xf numFmtId="0" fontId="17" fillId="0" borderId="5" xfId="5512" applyFont="1" applyFill="1" applyBorder="1" applyAlignment="1">
      <alignment horizontal="center" vertical="center" wrapText="1"/>
    </xf>
    <xf numFmtId="0" fontId="17" fillId="0" borderId="6" xfId="5512" applyFont="1" applyFill="1" applyBorder="1" applyAlignment="1">
      <alignment horizontal="center" vertical="center" wrapText="1"/>
    </xf>
    <xf numFmtId="0" fontId="19" fillId="0" borderId="0" xfId="5512" applyFont="1"/>
    <xf numFmtId="14" fontId="4" fillId="0" borderId="47" xfId="5512" applyNumberFormat="1" applyFont="1" applyFill="1" applyBorder="1" applyAlignment="1">
      <alignment horizontal="center" vertical="center" wrapText="1"/>
    </xf>
    <xf numFmtId="0" fontId="4" fillId="0" borderId="5" xfId="5512" applyNumberFormat="1" applyFont="1" applyFill="1" applyBorder="1" applyAlignment="1">
      <alignment horizontal="center" vertical="center" wrapText="1"/>
    </xf>
    <xf numFmtId="0" fontId="4" fillId="0" borderId="6" xfId="5512" applyNumberFormat="1" applyFont="1" applyFill="1" applyBorder="1" applyAlignment="1">
      <alignment horizontal="center" vertical="center" wrapText="1"/>
    </xf>
    <xf numFmtId="0" fontId="4" fillId="0" borderId="46" xfId="5512" applyFont="1" applyFill="1" applyBorder="1" applyAlignment="1">
      <alignment horizontal="center" vertical="center" wrapText="1"/>
    </xf>
    <xf numFmtId="0" fontId="4" fillId="0" borderId="46" xfId="5512" applyFont="1" applyFill="1" applyBorder="1" applyAlignment="1">
      <alignment vertical="center" wrapText="1"/>
    </xf>
    <xf numFmtId="0" fontId="4" fillId="0" borderId="46" xfId="5512" applyFont="1" applyFill="1" applyBorder="1" applyAlignment="1">
      <alignment wrapText="1"/>
    </xf>
    <xf numFmtId="0" fontId="4" fillId="5" borderId="47" xfId="5512" applyFont="1" applyFill="1" applyBorder="1" applyAlignment="1">
      <alignment horizontal="center" vertical="center" wrapText="1"/>
    </xf>
    <xf numFmtId="0" fontId="4" fillId="5" borderId="5" xfId="5512" applyFont="1" applyFill="1" applyBorder="1" applyAlignment="1">
      <alignment horizontal="center" vertical="center" wrapText="1"/>
    </xf>
    <xf numFmtId="0" fontId="4" fillId="5" borderId="6" xfId="5512" applyFont="1" applyFill="1" applyBorder="1" applyAlignment="1">
      <alignment horizontal="center" vertical="center" wrapText="1"/>
    </xf>
    <xf numFmtId="0" fontId="4" fillId="5" borderId="47" xfId="5512" applyFont="1" applyFill="1" applyBorder="1" applyAlignment="1">
      <alignment vertical="center" wrapText="1"/>
    </xf>
    <xf numFmtId="0" fontId="4" fillId="5" borderId="5" xfId="5512" applyFont="1" applyFill="1" applyBorder="1" applyAlignment="1">
      <alignment vertical="center" wrapText="1"/>
    </xf>
    <xf numFmtId="0" fontId="4" fillId="0" borderId="47" xfId="5512" applyFont="1" applyFill="1" applyBorder="1" applyAlignment="1">
      <alignment wrapText="1"/>
    </xf>
    <xf numFmtId="0" fontId="4" fillId="0" borderId="5" xfId="5512" applyFont="1" applyFill="1" applyBorder="1" applyAlignment="1">
      <alignment wrapText="1"/>
    </xf>
    <xf numFmtId="0" fontId="4" fillId="5" borderId="46" xfId="5512" applyFont="1" applyFill="1" applyBorder="1" applyAlignment="1">
      <alignment vertical="center" wrapText="1"/>
    </xf>
    <xf numFmtId="49" fontId="4" fillId="0" borderId="46" xfId="5512" applyNumberFormat="1" applyFont="1" applyFill="1" applyBorder="1" applyAlignment="1">
      <alignment horizontal="center" vertical="center" wrapText="1"/>
    </xf>
    <xf numFmtId="49" fontId="4" fillId="0" borderId="47" xfId="5512" applyNumberFormat="1" applyFont="1" applyFill="1" applyBorder="1" applyAlignment="1">
      <alignment horizontal="center" vertical="center" wrapText="1"/>
    </xf>
    <xf numFmtId="49" fontId="4" fillId="0" borderId="5" xfId="5512" applyNumberFormat="1" applyFont="1" applyFill="1" applyBorder="1" applyAlignment="1">
      <alignment horizontal="center" vertical="center" wrapText="1"/>
    </xf>
    <xf numFmtId="0" fontId="4" fillId="0" borderId="47" xfId="5512" applyFont="1" applyFill="1" applyBorder="1" applyAlignment="1">
      <alignment horizontal="center" wrapText="1"/>
    </xf>
    <xf numFmtId="0" fontId="4" fillId="0" borderId="5" xfId="5512" applyFont="1" applyFill="1" applyBorder="1" applyAlignment="1">
      <alignment horizontal="center" wrapText="1"/>
    </xf>
    <xf numFmtId="0" fontId="4" fillId="0" borderId="6" xfId="5512" applyFont="1" applyFill="1" applyBorder="1" applyAlignment="1">
      <alignment horizontal="center" wrapText="1"/>
    </xf>
    <xf numFmtId="0" fontId="4" fillId="5" borderId="47" xfId="5512" applyFont="1" applyFill="1" applyBorder="1" applyAlignment="1">
      <alignment horizontal="left" vertical="center" wrapText="1"/>
    </xf>
    <xf numFmtId="0" fontId="4" fillId="5" borderId="5" xfId="5512" applyFont="1" applyFill="1" applyBorder="1" applyAlignment="1">
      <alignment horizontal="left" vertical="center" wrapText="1"/>
    </xf>
    <xf numFmtId="0" fontId="4" fillId="5" borderId="6" xfId="5512" applyFont="1" applyFill="1" applyBorder="1" applyAlignment="1">
      <alignment horizontal="left" vertical="center" wrapText="1"/>
    </xf>
    <xf numFmtId="0" fontId="4" fillId="0" borderId="47" xfId="5512" applyFont="1" applyFill="1" applyBorder="1" applyAlignment="1">
      <alignment horizontal="left" wrapText="1"/>
    </xf>
    <xf numFmtId="0" fontId="4" fillId="0" borderId="5" xfId="5512" applyFont="1" applyFill="1" applyBorder="1" applyAlignment="1">
      <alignment horizontal="left" wrapText="1"/>
    </xf>
    <xf numFmtId="0" fontId="4" fillId="0" borderId="6" xfId="5512" applyFont="1" applyFill="1" applyBorder="1" applyAlignment="1">
      <alignment horizontal="left" wrapText="1"/>
    </xf>
    <xf numFmtId="0" fontId="4" fillId="0" borderId="47" xfId="5512" applyFont="1" applyFill="1" applyBorder="1" applyAlignment="1">
      <alignment horizontal="left" vertical="center" wrapText="1"/>
    </xf>
    <xf numFmtId="0" fontId="4" fillId="0" borderId="5" xfId="5512" applyFont="1" applyFill="1" applyBorder="1" applyAlignment="1">
      <alignment horizontal="left" vertical="center" wrapText="1"/>
    </xf>
    <xf numFmtId="0" fontId="4" fillId="0" borderId="6" xfId="5512" applyFont="1" applyFill="1" applyBorder="1" applyAlignment="1">
      <alignment horizontal="left" vertical="center" wrapText="1"/>
    </xf>
    <xf numFmtId="0" fontId="177" fillId="0" borderId="0" xfId="5512" applyFont="1" applyAlignment="1">
      <alignment horizontal="center"/>
    </xf>
    <xf numFmtId="0" fontId="4" fillId="0" borderId="0" xfId="5512" applyFont="1" applyFill="1" applyAlignment="1">
      <alignment horizontal="center"/>
    </xf>
    <xf numFmtId="0" fontId="4" fillId="0" borderId="8" xfId="5512" applyFont="1" applyFill="1" applyBorder="1" applyAlignment="1">
      <alignment horizontal="center"/>
    </xf>
    <xf numFmtId="0" fontId="4" fillId="0" borderId="46" xfId="5512" applyFont="1" applyFill="1" applyBorder="1"/>
    <xf numFmtId="0" fontId="17" fillId="2" borderId="9" xfId="0" applyFont="1" applyFill="1" applyBorder="1" applyAlignment="1">
      <alignment horizontal="center" vertical="center"/>
    </xf>
    <xf numFmtId="0" fontId="17" fillId="2" borderId="10" xfId="0" applyFont="1" applyFill="1" applyBorder="1" applyAlignment="1">
      <alignment horizontal="center" vertical="center"/>
    </xf>
    <xf numFmtId="0" fontId="17" fillId="2" borderId="0" xfId="0" applyFont="1" applyFill="1" applyBorder="1" applyAlignment="1">
      <alignment horizontal="center" vertical="center"/>
    </xf>
    <xf numFmtId="0" fontId="17" fillId="2" borderId="11" xfId="0" applyFont="1" applyFill="1" applyBorder="1" applyAlignment="1">
      <alignment horizontal="center" vertical="center"/>
    </xf>
    <xf numFmtId="0" fontId="217" fillId="2" borderId="0" xfId="0" applyNumberFormat="1" applyFont="1" applyFill="1" applyAlignment="1">
      <alignment horizontal="center" wrapText="1"/>
    </xf>
    <xf numFmtId="0" fontId="17" fillId="2" borderId="1" xfId="0" applyFont="1" applyFill="1" applyBorder="1" applyAlignment="1">
      <alignment horizontal="center" vertical="center" wrapText="1"/>
    </xf>
    <xf numFmtId="0" fontId="17" fillId="2" borderId="9" xfId="0" applyFont="1" applyFill="1" applyBorder="1" applyAlignment="1">
      <alignment horizontal="center" vertical="center" wrapText="1"/>
    </xf>
    <xf numFmtId="0" fontId="17" fillId="2" borderId="10" xfId="0" applyFont="1" applyFill="1" applyBorder="1" applyAlignment="1">
      <alignment horizontal="center" vertical="center" wrapText="1"/>
    </xf>
    <xf numFmtId="0" fontId="17" fillId="2" borderId="55" xfId="0" applyFont="1" applyFill="1" applyBorder="1" applyAlignment="1">
      <alignment horizontal="center" vertical="center" wrapText="1"/>
    </xf>
    <xf numFmtId="0" fontId="17" fillId="2" borderId="11" xfId="0" applyFont="1" applyFill="1" applyBorder="1" applyAlignment="1">
      <alignment horizontal="center" vertical="center" wrapText="1"/>
    </xf>
    <xf numFmtId="0" fontId="25" fillId="2" borderId="0" xfId="0" applyFont="1" applyFill="1" applyAlignment="1">
      <alignment horizontal="left" vertical="top" wrapText="1"/>
    </xf>
    <xf numFmtId="0" fontId="17" fillId="2" borderId="8" xfId="0" applyFont="1" applyFill="1" applyBorder="1" applyAlignment="1">
      <alignment horizontal="center" vertical="center"/>
    </xf>
    <xf numFmtId="0" fontId="0" fillId="2" borderId="7" xfId="0" applyFill="1" applyBorder="1" applyAlignment="1">
      <alignment horizontal="center" vertical="center" wrapText="1"/>
    </xf>
    <xf numFmtId="0" fontId="0" fillId="2" borderId="0" xfId="0" applyFill="1" applyAlignment="1">
      <alignment horizontal="center" vertical="center" wrapText="1"/>
    </xf>
    <xf numFmtId="0" fontId="25" fillId="2" borderId="0" xfId="0" applyFont="1" applyFill="1" applyAlignment="1">
      <alignment horizontal="left" vertical="top"/>
    </xf>
    <xf numFmtId="0" fontId="219" fillId="0" borderId="8" xfId="0" applyNumberFormat="1" applyFont="1" applyBorder="1" applyAlignment="1">
      <alignment horizontal="center" vertical="center"/>
    </xf>
    <xf numFmtId="0" fontId="0" fillId="0" borderId="8" xfId="0" applyBorder="1" applyAlignment="1">
      <alignment vertical="center"/>
    </xf>
    <xf numFmtId="0" fontId="19" fillId="0" borderId="9" xfId="0" applyFont="1" applyFill="1" applyBorder="1" applyAlignment="1">
      <alignment horizontal="left" vertical="center" wrapText="1"/>
    </xf>
    <xf numFmtId="0" fontId="0" fillId="0" borderId="10" xfId="0" applyBorder="1" applyAlignment="1">
      <alignment horizontal="left" vertical="center" wrapText="1"/>
    </xf>
    <xf numFmtId="0" fontId="0" fillId="0" borderId="11" xfId="0" applyBorder="1" applyAlignment="1">
      <alignment horizontal="left" vertical="center" wrapText="1"/>
    </xf>
    <xf numFmtId="0" fontId="0" fillId="0" borderId="0" xfId="0" applyAlignment="1">
      <alignment horizontal="justify"/>
    </xf>
    <xf numFmtId="0" fontId="0" fillId="0" borderId="0" xfId="0" applyAlignment="1"/>
    <xf numFmtId="0" fontId="200" fillId="2" borderId="0" xfId="0" applyFont="1" applyFill="1" applyAlignment="1">
      <alignment horizontal="center" wrapText="1"/>
    </xf>
    <xf numFmtId="0" fontId="25" fillId="2" borderId="0" xfId="0" applyFont="1" applyFill="1" applyAlignment="1">
      <alignment horizontal="left" vertical="center" wrapText="1"/>
    </xf>
    <xf numFmtId="0" fontId="9" fillId="2" borderId="47" xfId="0" applyFont="1" applyFill="1" applyBorder="1" applyAlignment="1">
      <alignment horizontal="left" vertical="center" wrapText="1"/>
    </xf>
    <xf numFmtId="0" fontId="6" fillId="2" borderId="64" xfId="0" applyFont="1" applyFill="1" applyBorder="1" applyAlignment="1">
      <alignment horizontal="center"/>
    </xf>
    <xf numFmtId="0" fontId="1" fillId="145" borderId="47" xfId="0" applyFont="1" applyFill="1" applyBorder="1" applyAlignment="1">
      <alignment vertical="center" wrapText="1"/>
    </xf>
    <xf numFmtId="0" fontId="1" fillId="145" borderId="5" xfId="0" applyFont="1" applyFill="1" applyBorder="1" applyAlignment="1">
      <alignment vertical="center" wrapText="1"/>
    </xf>
    <xf numFmtId="0" fontId="1" fillId="145" borderId="6" xfId="0" applyFont="1" applyFill="1" applyBorder="1" applyAlignment="1">
      <alignment vertical="center" wrapText="1"/>
    </xf>
    <xf numFmtId="0" fontId="15" fillId="145" borderId="47" xfId="0" applyFont="1" applyFill="1" applyBorder="1" applyAlignment="1">
      <alignment horizontal="center" vertical="center" wrapText="1"/>
    </xf>
    <xf numFmtId="0" fontId="15" fillId="145" borderId="5" xfId="0" applyFont="1" applyFill="1" applyBorder="1" applyAlignment="1">
      <alignment horizontal="center" vertical="center" wrapText="1"/>
    </xf>
    <xf numFmtId="0" fontId="15" fillId="145" borderId="6" xfId="0" applyFont="1" applyFill="1" applyBorder="1" applyAlignment="1">
      <alignment horizontal="center" vertical="center" wrapText="1"/>
    </xf>
    <xf numFmtId="0" fontId="1" fillId="145" borderId="47" xfId="0" applyFont="1" applyFill="1" applyBorder="1" applyAlignment="1">
      <alignment horizontal="center" vertical="center" wrapText="1"/>
    </xf>
    <xf numFmtId="0" fontId="1" fillId="145" borderId="5" xfId="0" applyFont="1" applyFill="1" applyBorder="1" applyAlignment="1">
      <alignment horizontal="center" vertical="center" wrapText="1"/>
    </xf>
    <xf numFmtId="0" fontId="1" fillId="145" borderId="6" xfId="0" applyFont="1" applyFill="1" applyBorder="1" applyAlignment="1">
      <alignment horizontal="center" vertical="center" wrapText="1"/>
    </xf>
    <xf numFmtId="0" fontId="1" fillId="2" borderId="47" xfId="0" applyFont="1" applyFill="1" applyBorder="1" applyAlignment="1">
      <alignment horizontal="left" vertical="center" wrapText="1"/>
    </xf>
    <xf numFmtId="167" fontId="15" fillId="2" borderId="47" xfId="0" applyNumberFormat="1" applyFont="1" applyFill="1" applyBorder="1" applyAlignment="1">
      <alignment horizontal="center" vertical="top" wrapText="1"/>
    </xf>
    <xf numFmtId="49" fontId="225" fillId="2" borderId="47" xfId="0" applyNumberFormat="1" applyFont="1" applyFill="1" applyBorder="1" applyAlignment="1">
      <alignment horizontal="center" vertical="center" wrapText="1"/>
    </xf>
    <xf numFmtId="49" fontId="225" fillId="2" borderId="5" xfId="0" applyNumberFormat="1" applyFont="1" applyFill="1" applyBorder="1" applyAlignment="1">
      <alignment horizontal="center" vertical="center" wrapText="1"/>
    </xf>
    <xf numFmtId="49" fontId="225" fillId="2" borderId="6" xfId="0" applyNumberFormat="1" applyFont="1" applyFill="1" applyBorder="1" applyAlignment="1">
      <alignment horizontal="center" vertical="center" wrapText="1"/>
    </xf>
    <xf numFmtId="0" fontId="226" fillId="2" borderId="47" xfId="0" applyNumberFormat="1" applyFont="1" applyFill="1" applyBorder="1" applyAlignment="1">
      <alignment horizontal="center" vertical="center" wrapText="1"/>
    </xf>
    <xf numFmtId="0" fontId="226" fillId="2" borderId="5" xfId="0" applyNumberFormat="1" applyFont="1" applyFill="1" applyBorder="1" applyAlignment="1">
      <alignment horizontal="center" vertical="center" wrapText="1"/>
    </xf>
    <xf numFmtId="0" fontId="226" fillId="2" borderId="6" xfId="0" applyNumberFormat="1" applyFont="1" applyFill="1" applyBorder="1" applyAlignment="1">
      <alignment horizontal="center" vertical="center" wrapText="1"/>
    </xf>
    <xf numFmtId="0" fontId="234" fillId="2" borderId="47" xfId="0" applyFont="1" applyFill="1" applyBorder="1" applyAlignment="1">
      <alignment horizontal="center" vertical="center" wrapText="1"/>
    </xf>
    <xf numFmtId="0" fontId="234" fillId="2" borderId="5" xfId="0" applyFont="1" applyFill="1" applyBorder="1" applyAlignment="1">
      <alignment horizontal="center" vertical="center" wrapText="1"/>
    </xf>
    <xf numFmtId="0" fontId="234" fillId="2" borderId="6" xfId="0" applyFont="1" applyFill="1" applyBorder="1" applyAlignment="1">
      <alignment horizontal="center" vertical="center" wrapText="1"/>
    </xf>
    <xf numFmtId="0" fontId="235" fillId="2" borderId="47" xfId="0" applyFont="1" applyFill="1" applyBorder="1" applyAlignment="1">
      <alignment horizontal="center" vertical="center" wrapText="1"/>
    </xf>
    <xf numFmtId="0" fontId="235" fillId="2" borderId="5" xfId="0" applyFont="1" applyFill="1" applyBorder="1" applyAlignment="1">
      <alignment horizontal="center" vertical="center" wrapText="1"/>
    </xf>
    <xf numFmtId="0" fontId="235" fillId="2" borderId="6" xfId="0" applyFont="1" applyFill="1" applyBorder="1" applyAlignment="1">
      <alignment horizontal="center" vertical="center" wrapText="1"/>
    </xf>
    <xf numFmtId="0" fontId="236" fillId="2" borderId="1" xfId="0" applyFont="1" applyFill="1" applyBorder="1" applyAlignment="1">
      <alignment horizontal="center" vertical="center" wrapText="1"/>
    </xf>
    <xf numFmtId="0" fontId="236" fillId="145" borderId="47" xfId="0" applyFont="1" applyFill="1" applyBorder="1" applyAlignment="1">
      <alignment horizontal="center" vertical="center" wrapText="1"/>
    </xf>
    <xf numFmtId="0" fontId="236" fillId="145" borderId="5" xfId="0" applyFont="1" applyFill="1" applyBorder="1" applyAlignment="1">
      <alignment horizontal="center" vertical="center" wrapText="1"/>
    </xf>
    <xf numFmtId="0" fontId="236" fillId="145" borderId="6" xfId="0" applyFont="1" applyFill="1" applyBorder="1" applyAlignment="1">
      <alignment horizontal="center" vertical="center" wrapText="1"/>
    </xf>
    <xf numFmtId="0" fontId="237" fillId="2" borderId="1" xfId="0" applyFont="1" applyFill="1" applyBorder="1" applyAlignment="1">
      <alignment horizontal="center" vertical="center"/>
    </xf>
    <xf numFmtId="0" fontId="54" fillId="2" borderId="0" xfId="0" applyFont="1" applyFill="1"/>
    <xf numFmtId="0" fontId="240" fillId="0" borderId="0" xfId="0" applyFont="1" applyFill="1" applyAlignment="1">
      <alignment vertical="center"/>
    </xf>
    <xf numFmtId="167" fontId="240" fillId="0" borderId="0" xfId="0" applyNumberFormat="1" applyFont="1" applyFill="1" applyAlignment="1">
      <alignment horizontal="right" vertical="center"/>
    </xf>
    <xf numFmtId="0" fontId="238" fillId="0" borderId="0" xfId="0" applyFont="1" applyFill="1"/>
    <xf numFmtId="4" fontId="239" fillId="0" borderId="0" xfId="0" applyNumberFormat="1" applyFont="1" applyFill="1"/>
    <xf numFmtId="0" fontId="54" fillId="0" borderId="0" xfId="0" applyFont="1" applyFill="1"/>
    <xf numFmtId="4" fontId="239" fillId="0" borderId="8" xfId="0" applyNumberFormat="1" applyFont="1" applyFill="1" applyBorder="1" applyAlignment="1">
      <alignment horizontal="right"/>
    </xf>
    <xf numFmtId="4" fontId="239" fillId="0" borderId="8" xfId="0" applyNumberFormat="1" applyFont="1" applyFill="1" applyBorder="1" applyAlignment="1"/>
    <xf numFmtId="4" fontId="239" fillId="0" borderId="0" xfId="0" applyNumberFormat="1" applyFont="1" applyFill="1" applyBorder="1" applyAlignment="1"/>
    <xf numFmtId="0" fontId="239" fillId="0" borderId="0" xfId="0" applyFont="1" applyFill="1" applyAlignment="1">
      <alignment vertical="center"/>
    </xf>
    <xf numFmtId="0" fontId="240" fillId="0" borderId="0" xfId="0" applyFont="1" applyFill="1"/>
    <xf numFmtId="0" fontId="239" fillId="0" borderId="0" xfId="0" applyFont="1" applyFill="1"/>
    <xf numFmtId="0" fontId="9" fillId="0" borderId="8" xfId="0" applyNumberFormat="1" applyFont="1" applyFill="1" applyBorder="1" applyAlignment="1">
      <alignment horizontal="center"/>
    </xf>
    <xf numFmtId="4" fontId="6" fillId="0" borderId="1" xfId="0" applyNumberFormat="1" applyFont="1" applyFill="1" applyBorder="1" applyAlignment="1">
      <alignment horizontal="right" vertical="center" wrapText="1"/>
    </xf>
    <xf numFmtId="165" fontId="11" fillId="0" borderId="1" xfId="1" applyNumberFormat="1" applyFont="1" applyFill="1" applyBorder="1" applyAlignment="1">
      <alignment horizontal="right" vertical="center" wrapText="1"/>
    </xf>
    <xf numFmtId="165" fontId="6" fillId="0" borderId="1" xfId="0" applyNumberFormat="1" applyFont="1" applyFill="1" applyBorder="1" applyAlignment="1">
      <alignment horizontal="right" vertical="center" wrapText="1"/>
    </xf>
    <xf numFmtId="4" fontId="19" fillId="0" borderId="1" xfId="0" applyNumberFormat="1" applyFont="1" applyFill="1" applyBorder="1" applyAlignment="1">
      <alignment horizontal="right" vertical="center" wrapText="1"/>
    </xf>
    <xf numFmtId="4" fontId="19" fillId="0" borderId="1" xfId="1" applyNumberFormat="1" applyFont="1" applyFill="1" applyBorder="1" applyAlignment="1">
      <alignment horizontal="right" vertical="center" wrapText="1"/>
    </xf>
    <xf numFmtId="165" fontId="9" fillId="0" borderId="1" xfId="0" applyNumberFormat="1" applyFont="1" applyFill="1" applyBorder="1" applyAlignment="1">
      <alignment horizontal="right" wrapText="1"/>
    </xf>
    <xf numFmtId="4" fontId="16" fillId="0" borderId="1" xfId="1" applyNumberFormat="1" applyFont="1" applyFill="1" applyBorder="1" applyAlignment="1">
      <alignment horizontal="right" wrapText="1"/>
    </xf>
    <xf numFmtId="4" fontId="6" fillId="0" borderId="1" xfId="1" applyNumberFormat="1" applyFont="1" applyFill="1" applyBorder="1" applyAlignment="1">
      <alignment vertical="center" wrapText="1"/>
    </xf>
    <xf numFmtId="4" fontId="9" fillId="0" borderId="1" xfId="0" applyNumberFormat="1" applyFont="1" applyFill="1" applyBorder="1" applyAlignment="1">
      <alignment horizontal="right" vertical="top" wrapText="1"/>
    </xf>
    <xf numFmtId="0" fontId="9" fillId="0" borderId="0" xfId="3485" applyFont="1" applyFill="1" applyAlignment="1">
      <alignment vertical="center"/>
    </xf>
    <xf numFmtId="0" fontId="9" fillId="0" borderId="0" xfId="3485" applyFont="1" applyFill="1"/>
    <xf numFmtId="0" fontId="9" fillId="0" borderId="0" xfId="3485" applyFont="1" applyFill="1" applyAlignment="1">
      <alignment horizontal="center"/>
    </xf>
    <xf numFmtId="165" fontId="9" fillId="0" borderId="0" xfId="3485" applyNumberFormat="1" applyFont="1" applyFill="1" applyAlignment="1">
      <alignment horizontal="center"/>
    </xf>
    <xf numFmtId="165" fontId="9" fillId="0" borderId="0" xfId="3485" applyNumberFormat="1" applyFont="1" applyFill="1"/>
    <xf numFmtId="165" fontId="9" fillId="0" borderId="0" xfId="3485" applyNumberFormat="1" applyFont="1" applyFill="1" applyAlignment="1">
      <alignment horizontal="right" vertical="center"/>
    </xf>
    <xf numFmtId="165" fontId="9" fillId="0" borderId="0" xfId="3485" applyNumberFormat="1" applyFont="1" applyFill="1" applyAlignment="1">
      <alignment horizontal="center" vertical="center"/>
    </xf>
    <xf numFmtId="167" fontId="9" fillId="0" borderId="0" xfId="23901" applyNumberFormat="1" applyFont="1" applyFill="1" applyAlignment="1">
      <alignment horizontal="center"/>
    </xf>
    <xf numFmtId="9" fontId="9" fillId="0" borderId="0" xfId="23901" applyNumberFormat="1" applyFont="1" applyFill="1" applyAlignment="1">
      <alignment horizontal="center"/>
    </xf>
    <xf numFmtId="165" fontId="9" fillId="0" borderId="0" xfId="23901" applyNumberFormat="1" applyFont="1" applyFill="1" applyAlignment="1">
      <alignment horizontal="center"/>
    </xf>
    <xf numFmtId="0" fontId="9" fillId="0" borderId="0" xfId="3485" applyFont="1" applyFill="1" applyAlignment="1">
      <alignment horizontal="right" vertical="center"/>
    </xf>
    <xf numFmtId="0" fontId="16" fillId="0" borderId="0" xfId="3485" applyFont="1" applyFill="1" applyAlignment="1">
      <alignment horizontal="center"/>
    </xf>
    <xf numFmtId="0" fontId="57" fillId="0" borderId="0" xfId="3485" applyFont="1" applyFill="1" applyAlignment="1">
      <alignment vertical="center"/>
    </xf>
    <xf numFmtId="0" fontId="57" fillId="0" borderId="0" xfId="3485" applyFont="1" applyFill="1"/>
    <xf numFmtId="0" fontId="57" fillId="0" borderId="0" xfId="3485" applyFont="1" applyFill="1" applyAlignment="1">
      <alignment horizontal="center"/>
    </xf>
    <xf numFmtId="165" fontId="57" fillId="0" borderId="0" xfId="3485" applyNumberFormat="1" applyFont="1" applyFill="1" applyAlignment="1">
      <alignment horizontal="center"/>
    </xf>
    <xf numFmtId="165" fontId="57" fillId="0" borderId="0" xfId="3485" applyNumberFormat="1" applyFont="1" applyFill="1"/>
    <xf numFmtId="165" fontId="57" fillId="0" borderId="0" xfId="3485" applyNumberFormat="1" applyFont="1" applyFill="1" applyAlignment="1">
      <alignment horizontal="right"/>
    </xf>
    <xf numFmtId="167" fontId="10" fillId="0" borderId="0" xfId="23901" applyNumberFormat="1" applyFont="1" applyFill="1" applyAlignment="1">
      <alignment horizontal="center"/>
    </xf>
    <xf numFmtId="9" fontId="10" fillId="0" borderId="0" xfId="23901" applyNumberFormat="1" applyFont="1" applyFill="1" applyAlignment="1">
      <alignment horizontal="center"/>
    </xf>
    <xf numFmtId="165" fontId="10" fillId="0" borderId="0" xfId="23901" applyNumberFormat="1" applyFont="1" applyFill="1" applyAlignment="1">
      <alignment horizontal="center"/>
    </xf>
    <xf numFmtId="0" fontId="17" fillId="0" borderId="47" xfId="3485" applyFont="1" applyFill="1" applyBorder="1" applyAlignment="1">
      <alignment horizontal="center" vertical="center" wrapText="1"/>
    </xf>
    <xf numFmtId="4" fontId="17" fillId="0" borderId="47" xfId="3485" applyNumberFormat="1" applyFont="1" applyFill="1" applyBorder="1" applyAlignment="1">
      <alignment horizontal="center" vertical="center" wrapText="1"/>
    </xf>
    <xf numFmtId="165" fontId="17" fillId="0" borderId="47" xfId="3485" applyNumberFormat="1" applyFont="1" applyFill="1" applyBorder="1" applyAlignment="1">
      <alignment horizontal="center" vertical="center" wrapText="1"/>
    </xf>
    <xf numFmtId="165" fontId="17" fillId="0" borderId="48" xfId="3485" applyNumberFormat="1" applyFont="1" applyFill="1" applyBorder="1" applyAlignment="1">
      <alignment horizontal="center" vertical="center" wrapText="1"/>
    </xf>
    <xf numFmtId="165" fontId="17" fillId="0" borderId="49" xfId="3485" applyNumberFormat="1" applyFont="1" applyFill="1" applyBorder="1" applyAlignment="1">
      <alignment horizontal="center" vertical="center" wrapText="1"/>
    </xf>
    <xf numFmtId="165" fontId="17" fillId="0" borderId="50" xfId="3485" applyNumberFormat="1" applyFont="1" applyFill="1" applyBorder="1" applyAlignment="1">
      <alignment horizontal="center" vertical="center" wrapText="1"/>
    </xf>
    <xf numFmtId="9" fontId="17" fillId="0" borderId="47" xfId="23901" applyNumberFormat="1" applyFont="1" applyFill="1" applyBorder="1" applyAlignment="1">
      <alignment horizontal="center" vertical="center" wrapText="1"/>
    </xf>
    <xf numFmtId="165" fontId="17" fillId="0" borderId="47" xfId="23901" applyNumberFormat="1" applyFont="1" applyFill="1" applyBorder="1" applyAlignment="1">
      <alignment horizontal="center" vertical="center" wrapText="1"/>
    </xf>
    <xf numFmtId="0" fontId="17" fillId="0" borderId="6" xfId="3485" applyFont="1" applyFill="1" applyBorder="1" applyAlignment="1">
      <alignment horizontal="center" vertical="center" wrapText="1"/>
    </xf>
    <xf numFmtId="4" fontId="17" fillId="0" borderId="6" xfId="3485" applyNumberFormat="1" applyFont="1" applyFill="1" applyBorder="1" applyAlignment="1">
      <alignment horizontal="center" vertical="center" wrapText="1"/>
    </xf>
    <xf numFmtId="165" fontId="17" fillId="0" borderId="6" xfId="3485" applyNumberFormat="1" applyFont="1" applyFill="1" applyBorder="1" applyAlignment="1">
      <alignment horizontal="center" vertical="center" wrapText="1"/>
    </xf>
    <xf numFmtId="4" fontId="17" fillId="0" borderId="47" xfId="23902" applyNumberFormat="1" applyFont="1" applyFill="1" applyBorder="1" applyAlignment="1">
      <alignment horizontal="center" vertical="center" wrapText="1"/>
    </xf>
    <xf numFmtId="4" fontId="17" fillId="0" borderId="46" xfId="23902" applyNumberFormat="1" applyFont="1" applyFill="1" applyBorder="1" applyAlignment="1">
      <alignment horizontal="center" vertical="center" wrapText="1"/>
    </xf>
    <xf numFmtId="165" fontId="17" fillId="0" borderId="46" xfId="3485" applyNumberFormat="1" applyFont="1" applyFill="1" applyBorder="1" applyAlignment="1">
      <alignment horizontal="center" vertical="center" wrapText="1"/>
    </xf>
    <xf numFmtId="167" fontId="17" fillId="0" borderId="46" xfId="23901" applyNumberFormat="1" applyFont="1" applyFill="1" applyBorder="1" applyAlignment="1">
      <alignment horizontal="center" vertical="center" wrapText="1"/>
    </xf>
    <xf numFmtId="9" fontId="17" fillId="0" borderId="6" xfId="23901" applyNumberFormat="1" applyFont="1" applyFill="1" applyBorder="1" applyAlignment="1">
      <alignment horizontal="center" vertical="center" wrapText="1"/>
    </xf>
    <xf numFmtId="165" fontId="17" fillId="0" borderId="6" xfId="23901" applyNumberFormat="1" applyFont="1" applyFill="1" applyBorder="1" applyAlignment="1">
      <alignment horizontal="center" vertical="center" wrapText="1"/>
    </xf>
    <xf numFmtId="0" fontId="28" fillId="0" borderId="46" xfId="23903" applyFont="1" applyFill="1" applyBorder="1" applyAlignment="1">
      <alignment horizontal="center" vertical="center" wrapText="1"/>
    </xf>
    <xf numFmtId="0" fontId="28" fillId="0" borderId="46" xfId="23903" applyFont="1" applyFill="1" applyBorder="1" applyAlignment="1">
      <alignment horizontal="left" vertical="center" wrapText="1"/>
    </xf>
    <xf numFmtId="0" fontId="28" fillId="0" borderId="46" xfId="23903" applyFont="1" applyFill="1" applyBorder="1" applyAlignment="1">
      <alignment horizontal="center" vertical="center" wrapText="1"/>
    </xf>
    <xf numFmtId="165" fontId="17" fillId="0" borderId="46" xfId="23903" applyNumberFormat="1" applyFont="1" applyFill="1" applyBorder="1" applyAlignment="1">
      <alignment horizontal="right" vertical="center" wrapText="1"/>
    </xf>
    <xf numFmtId="167" fontId="17" fillId="0" borderId="46" xfId="23903" applyNumberFormat="1" applyFont="1" applyFill="1" applyBorder="1" applyAlignment="1">
      <alignment horizontal="right" vertical="center" wrapText="1"/>
    </xf>
    <xf numFmtId="9" fontId="28" fillId="0" borderId="46" xfId="23901" applyNumberFormat="1" applyFont="1" applyFill="1" applyBorder="1" applyAlignment="1">
      <alignment horizontal="center" vertical="center" wrapText="1"/>
    </xf>
    <xf numFmtId="165" fontId="28" fillId="0" borderId="47" xfId="23901" applyNumberFormat="1" applyFont="1" applyFill="1" applyBorder="1" applyAlignment="1">
      <alignment horizontal="center" vertical="center" wrapText="1"/>
    </xf>
    <xf numFmtId="165" fontId="28" fillId="0" borderId="46" xfId="23903" applyNumberFormat="1" applyFont="1" applyFill="1" applyBorder="1" applyAlignment="1">
      <alignment horizontal="left" vertical="center" wrapText="1"/>
    </xf>
    <xf numFmtId="0" fontId="17" fillId="0" borderId="46" xfId="23903" applyFont="1" applyFill="1" applyBorder="1" applyAlignment="1">
      <alignment horizontal="center" vertical="center" wrapText="1"/>
    </xf>
    <xf numFmtId="165" fontId="28" fillId="0" borderId="5" xfId="23901" applyNumberFormat="1" applyFont="1" applyFill="1" applyBorder="1" applyAlignment="1">
      <alignment horizontal="center" vertical="center" wrapText="1"/>
    </xf>
    <xf numFmtId="165" fontId="28" fillId="0" borderId="6" xfId="23901" applyNumberFormat="1" applyFont="1" applyFill="1" applyBorder="1" applyAlignment="1">
      <alignment horizontal="center" vertical="center" wrapText="1"/>
    </xf>
    <xf numFmtId="0" fontId="17" fillId="0" borderId="46" xfId="23903" applyFont="1" applyFill="1" applyBorder="1" applyAlignment="1">
      <alignment horizontal="left" vertical="center" wrapText="1"/>
    </xf>
    <xf numFmtId="0" fontId="17" fillId="0" borderId="46" xfId="23903" applyFont="1" applyFill="1" applyBorder="1" applyAlignment="1">
      <alignment horizontal="left" vertical="center"/>
    </xf>
    <xf numFmtId="165" fontId="17" fillId="0" borderId="46" xfId="23903" applyNumberFormat="1" applyFont="1" applyFill="1" applyBorder="1" applyAlignment="1">
      <alignment horizontal="center" vertical="center" wrapText="1"/>
    </xf>
    <xf numFmtId="165" fontId="17" fillId="0" borderId="46" xfId="23903" applyNumberFormat="1" applyFont="1" applyFill="1" applyBorder="1" applyAlignment="1">
      <alignment horizontal="left" vertical="center" wrapText="1"/>
    </xf>
    <xf numFmtId="167" fontId="17" fillId="0" borderId="46" xfId="23903" applyNumberFormat="1" applyFont="1" applyFill="1" applyBorder="1" applyAlignment="1">
      <alignment horizontal="center" vertical="center" wrapText="1"/>
    </xf>
    <xf numFmtId="0" fontId="199" fillId="0" borderId="47" xfId="23903" applyFont="1" applyFill="1" applyBorder="1" applyAlignment="1">
      <alignment horizontal="center" vertical="center" wrapText="1"/>
    </xf>
    <xf numFmtId="165" fontId="199" fillId="0" borderId="47" xfId="23903" applyNumberFormat="1" applyFont="1" applyFill="1" applyBorder="1" applyAlignment="1">
      <alignment horizontal="center" vertical="center" wrapText="1"/>
    </xf>
    <xf numFmtId="0" fontId="241" fillId="0" borderId="46" xfId="23903" applyFont="1" applyFill="1" applyBorder="1" applyAlignment="1">
      <alignment horizontal="center" vertical="center" wrapText="1"/>
    </xf>
    <xf numFmtId="165" fontId="199" fillId="0" borderId="6" xfId="23903" applyNumberFormat="1" applyFont="1" applyFill="1" applyBorder="1" applyAlignment="1">
      <alignment horizontal="center" vertical="center" wrapText="1"/>
    </xf>
    <xf numFmtId="9" fontId="199" fillId="0" borderId="47" xfId="23901" applyNumberFormat="1" applyFont="1" applyFill="1" applyBorder="1" applyAlignment="1">
      <alignment horizontal="center" vertical="center" wrapText="1"/>
    </xf>
    <xf numFmtId="165" fontId="199" fillId="0" borderId="47" xfId="23901" applyNumberFormat="1" applyFont="1" applyFill="1" applyBorder="1" applyAlignment="1">
      <alignment horizontal="center" vertical="center" wrapText="1"/>
    </xf>
    <xf numFmtId="0" fontId="199" fillId="0" borderId="47" xfId="23903" applyFont="1" applyFill="1" applyBorder="1" applyAlignment="1">
      <alignment horizontal="left" vertical="center" wrapText="1"/>
    </xf>
    <xf numFmtId="0" fontId="199" fillId="0" borderId="5" xfId="23903" applyFont="1" applyFill="1" applyBorder="1" applyAlignment="1">
      <alignment horizontal="center" vertical="center" wrapText="1"/>
    </xf>
    <xf numFmtId="165" fontId="199" fillId="0" borderId="5" xfId="23903" applyNumberFormat="1" applyFont="1" applyFill="1" applyBorder="1" applyAlignment="1">
      <alignment horizontal="center" vertical="center" wrapText="1"/>
    </xf>
    <xf numFmtId="0" fontId="199" fillId="0" borderId="46" xfId="23903" applyFont="1" applyFill="1" applyBorder="1" applyAlignment="1">
      <alignment horizontal="center" vertical="center" wrapText="1"/>
    </xf>
    <xf numFmtId="165" fontId="199" fillId="0" borderId="46" xfId="23903" applyNumberFormat="1" applyFont="1" applyFill="1" applyBorder="1" applyAlignment="1">
      <alignment horizontal="center" vertical="center" wrapText="1"/>
    </xf>
    <xf numFmtId="9" fontId="199" fillId="0" borderId="5" xfId="23901" applyNumberFormat="1" applyFont="1" applyFill="1" applyBorder="1" applyAlignment="1">
      <alignment horizontal="center" vertical="center" wrapText="1"/>
    </xf>
    <xf numFmtId="165" fontId="199" fillId="0" borderId="5" xfId="23901" applyNumberFormat="1" applyFont="1" applyFill="1" applyBorder="1" applyAlignment="1">
      <alignment horizontal="center" vertical="center" wrapText="1"/>
    </xf>
    <xf numFmtId="0" fontId="199" fillId="0" borderId="5" xfId="23903" applyFont="1" applyFill="1" applyBorder="1" applyAlignment="1">
      <alignment horizontal="left" vertical="center" wrapText="1"/>
    </xf>
    <xf numFmtId="0" fontId="199" fillId="0" borderId="6" xfId="23903" applyFont="1" applyFill="1" applyBorder="1" applyAlignment="1">
      <alignment horizontal="center" vertical="center" wrapText="1"/>
    </xf>
    <xf numFmtId="165" fontId="199" fillId="0" borderId="6" xfId="23903" applyNumberFormat="1" applyFont="1" applyFill="1" applyBorder="1" applyAlignment="1">
      <alignment horizontal="center" vertical="center" wrapText="1"/>
    </xf>
    <xf numFmtId="165" fontId="199" fillId="0" borderId="47" xfId="23903" applyNumberFormat="1" applyFont="1" applyFill="1" applyBorder="1" applyAlignment="1">
      <alignment horizontal="center" vertical="center" wrapText="1"/>
    </xf>
    <xf numFmtId="165" fontId="199" fillId="0" borderId="5" xfId="23903" applyNumberFormat="1" applyFont="1" applyFill="1" applyBorder="1" applyAlignment="1">
      <alignment horizontal="center" vertical="center" wrapText="1"/>
    </xf>
    <xf numFmtId="9" fontId="199" fillId="0" borderId="6" xfId="23901" applyNumberFormat="1" applyFont="1" applyFill="1" applyBorder="1" applyAlignment="1">
      <alignment horizontal="center" vertical="center" wrapText="1"/>
    </xf>
    <xf numFmtId="165" fontId="199" fillId="0" borderId="6" xfId="23901" applyNumberFormat="1" applyFont="1" applyFill="1" applyBorder="1" applyAlignment="1">
      <alignment horizontal="center" vertical="center" wrapText="1"/>
    </xf>
    <xf numFmtId="0" fontId="199" fillId="0" borderId="6" xfId="23903" applyFont="1" applyFill="1" applyBorder="1" applyAlignment="1">
      <alignment horizontal="left" vertical="center" wrapText="1"/>
    </xf>
    <xf numFmtId="0" fontId="199" fillId="0" borderId="47" xfId="23904" applyFont="1" applyFill="1" applyBorder="1" applyAlignment="1">
      <alignment horizontal="center" vertical="center"/>
    </xf>
    <xf numFmtId="0" fontId="199" fillId="0" borderId="46" xfId="23904" applyFont="1" applyFill="1" applyBorder="1" applyAlignment="1">
      <alignment horizontal="center" vertical="center" wrapText="1"/>
    </xf>
    <xf numFmtId="0" fontId="199" fillId="0" borderId="47" xfId="23904" applyFont="1" applyFill="1" applyBorder="1" applyAlignment="1">
      <alignment horizontal="center" vertical="center" wrapText="1"/>
    </xf>
    <xf numFmtId="170" fontId="199" fillId="0" borderId="46" xfId="23904" applyNumberFormat="1" applyFont="1" applyFill="1" applyBorder="1" applyAlignment="1">
      <alignment horizontal="center" vertical="center" wrapText="1"/>
    </xf>
    <xf numFmtId="165" fontId="199" fillId="0" borderId="46" xfId="23904" applyNumberFormat="1" applyFont="1" applyFill="1" applyBorder="1" applyAlignment="1">
      <alignment horizontal="center" vertical="center" wrapText="1"/>
    </xf>
    <xf numFmtId="9" fontId="199" fillId="0" borderId="47" xfId="23904" applyNumberFormat="1" applyFont="1" applyFill="1" applyBorder="1" applyAlignment="1">
      <alignment horizontal="center" vertical="center" wrapText="1"/>
    </xf>
    <xf numFmtId="165" fontId="199" fillId="0" borderId="47" xfId="23904" applyNumberFormat="1" applyFont="1" applyFill="1" applyBorder="1" applyAlignment="1">
      <alignment horizontal="center" vertical="center" wrapText="1"/>
    </xf>
    <xf numFmtId="0" fontId="199" fillId="0" borderId="47" xfId="23902" applyFont="1" applyFill="1" applyBorder="1" applyAlignment="1">
      <alignment horizontal="left" vertical="center" wrapText="1"/>
    </xf>
    <xf numFmtId="0" fontId="199" fillId="0" borderId="5" xfId="23904" applyFont="1" applyFill="1" applyBorder="1" applyAlignment="1">
      <alignment horizontal="center" vertical="center"/>
    </xf>
    <xf numFmtId="0" fontId="199" fillId="0" borderId="5" xfId="23904" applyFont="1" applyFill="1" applyBorder="1" applyAlignment="1">
      <alignment horizontal="center" vertical="center" wrapText="1"/>
    </xf>
    <xf numFmtId="165" fontId="199" fillId="0" borderId="5" xfId="23904" applyNumberFormat="1" applyFont="1" applyFill="1" applyBorder="1" applyAlignment="1">
      <alignment horizontal="center" vertical="center" wrapText="1"/>
    </xf>
    <xf numFmtId="0" fontId="199" fillId="0" borderId="5" xfId="23902" applyFont="1" applyFill="1" applyBorder="1" applyAlignment="1">
      <alignment horizontal="left" vertical="center" wrapText="1"/>
    </xf>
    <xf numFmtId="0" fontId="199" fillId="0" borderId="6" xfId="23904" applyFont="1" applyFill="1" applyBorder="1" applyAlignment="1">
      <alignment horizontal="center" vertical="center"/>
    </xf>
    <xf numFmtId="0" fontId="199" fillId="0" borderId="6" xfId="23904" applyFont="1" applyFill="1" applyBorder="1" applyAlignment="1">
      <alignment horizontal="center" vertical="center" wrapText="1"/>
    </xf>
    <xf numFmtId="165" fontId="199" fillId="0" borderId="6" xfId="23904" applyNumberFormat="1" applyFont="1" applyFill="1" applyBorder="1" applyAlignment="1">
      <alignment horizontal="center" vertical="center" wrapText="1"/>
    </xf>
    <xf numFmtId="0" fontId="199" fillId="0" borderId="6" xfId="23902" applyFont="1" applyFill="1" applyBorder="1" applyAlignment="1">
      <alignment horizontal="left" vertical="center" wrapText="1"/>
    </xf>
    <xf numFmtId="165" fontId="199" fillId="0" borderId="46" xfId="23904" applyNumberFormat="1" applyFont="1" applyFill="1" applyBorder="1" applyAlignment="1">
      <alignment horizontal="center" vertical="center" wrapText="1"/>
    </xf>
    <xf numFmtId="165" fontId="199" fillId="0" borderId="47" xfId="23904" applyNumberFormat="1" applyFont="1" applyFill="1" applyBorder="1" applyAlignment="1">
      <alignment horizontal="center" vertical="center"/>
    </xf>
    <xf numFmtId="0" fontId="199" fillId="0" borderId="47" xfId="23902" applyFont="1" applyFill="1" applyBorder="1" applyAlignment="1">
      <alignment horizontal="left" vertical="top" wrapText="1"/>
    </xf>
    <xf numFmtId="165" fontId="199" fillId="0" borderId="46" xfId="23904" applyNumberFormat="1" applyFont="1" applyFill="1" applyBorder="1" applyAlignment="1">
      <alignment horizontal="center" vertical="center"/>
    </xf>
    <xf numFmtId="0" fontId="199" fillId="0" borderId="5" xfId="23902" applyFont="1" applyFill="1" applyBorder="1" applyAlignment="1">
      <alignment horizontal="left" vertical="top" wrapText="1"/>
    </xf>
    <xf numFmtId="0" fontId="199" fillId="0" borderId="6" xfId="23902" applyFont="1" applyFill="1" applyBorder="1" applyAlignment="1">
      <alignment horizontal="left" vertical="top" wrapText="1"/>
    </xf>
    <xf numFmtId="9" fontId="199" fillId="0" borderId="5" xfId="23904" applyNumberFormat="1" applyFont="1" applyFill="1" applyBorder="1" applyAlignment="1">
      <alignment horizontal="center" vertical="center" wrapText="1"/>
    </xf>
    <xf numFmtId="9" fontId="199" fillId="0" borderId="6" xfId="23904" applyNumberFormat="1" applyFont="1" applyFill="1" applyBorder="1" applyAlignment="1">
      <alignment horizontal="center" vertical="center" wrapText="1"/>
    </xf>
    <xf numFmtId="0" fontId="199" fillId="0" borderId="47" xfId="23876" applyFont="1" applyFill="1" applyBorder="1" applyAlignment="1">
      <alignment horizontal="center" vertical="center" wrapText="1"/>
    </xf>
    <xf numFmtId="0" fontId="199" fillId="0" borderId="47" xfId="23905" applyFont="1" applyFill="1" applyBorder="1" applyAlignment="1">
      <alignment horizontal="center" vertical="center" wrapText="1"/>
    </xf>
    <xf numFmtId="165" fontId="199" fillId="0" borderId="47" xfId="23905" applyNumberFormat="1" applyFont="1" applyFill="1" applyBorder="1" applyAlignment="1">
      <alignment horizontal="center" vertical="center" wrapText="1"/>
    </xf>
    <xf numFmtId="165" fontId="199" fillId="0" borderId="46" xfId="23905" applyNumberFormat="1" applyFont="1" applyFill="1" applyBorder="1" applyAlignment="1">
      <alignment horizontal="center" vertical="center" wrapText="1"/>
    </xf>
    <xf numFmtId="0" fontId="199" fillId="0" borderId="47" xfId="23905" applyFont="1" applyFill="1" applyBorder="1" applyAlignment="1">
      <alignment horizontal="left" vertical="center" wrapText="1"/>
    </xf>
    <xf numFmtId="0" fontId="199" fillId="0" borderId="5" xfId="23876" applyFont="1" applyFill="1" applyBorder="1" applyAlignment="1">
      <alignment horizontal="center" vertical="center" wrapText="1"/>
    </xf>
    <xf numFmtId="0" fontId="199" fillId="0" borderId="5" xfId="23905" applyFont="1" applyFill="1" applyBorder="1" applyAlignment="1">
      <alignment horizontal="center" vertical="center" wrapText="1"/>
    </xf>
    <xf numFmtId="165" fontId="199" fillId="0" borderId="5" xfId="23905" applyNumberFormat="1" applyFont="1" applyFill="1" applyBorder="1" applyAlignment="1">
      <alignment horizontal="center" vertical="center" wrapText="1"/>
    </xf>
    <xf numFmtId="0" fontId="199" fillId="0" borderId="5" xfId="23905" applyFont="1" applyFill="1" applyBorder="1" applyAlignment="1">
      <alignment horizontal="left" vertical="center" wrapText="1"/>
    </xf>
    <xf numFmtId="0" fontId="199" fillId="0" borderId="6" xfId="23876" applyFont="1" applyFill="1" applyBorder="1" applyAlignment="1">
      <alignment horizontal="center" vertical="center" wrapText="1"/>
    </xf>
    <xf numFmtId="0" fontId="199" fillId="0" borderId="6" xfId="23905" applyFont="1" applyFill="1" applyBorder="1" applyAlignment="1">
      <alignment horizontal="center" vertical="center" wrapText="1"/>
    </xf>
    <xf numFmtId="165" fontId="199" fillId="0" borderId="6" xfId="23905" applyNumberFormat="1" applyFont="1" applyFill="1" applyBorder="1" applyAlignment="1">
      <alignment horizontal="center" vertical="center" wrapText="1"/>
    </xf>
    <xf numFmtId="0" fontId="199" fillId="0" borderId="6" xfId="23905" applyFont="1" applyFill="1" applyBorder="1" applyAlignment="1">
      <alignment horizontal="left" vertical="center" wrapText="1"/>
    </xf>
    <xf numFmtId="0" fontId="199" fillId="0" borderId="47" xfId="23905" applyFont="1" applyFill="1" applyBorder="1" applyAlignment="1">
      <alignment horizontal="center" vertical="center"/>
    </xf>
    <xf numFmtId="0" fontId="199" fillId="0" borderId="5" xfId="23905" applyFont="1" applyFill="1" applyBorder="1" applyAlignment="1">
      <alignment horizontal="center" vertical="center"/>
    </xf>
    <xf numFmtId="0" fontId="199" fillId="0" borderId="6" xfId="23905" applyFont="1" applyFill="1" applyBorder="1" applyAlignment="1">
      <alignment horizontal="center" vertical="center"/>
    </xf>
    <xf numFmtId="0" fontId="199" fillId="0" borderId="47" xfId="23876" applyFont="1" applyFill="1" applyBorder="1" applyAlignment="1">
      <alignment horizontal="center" wrapText="1"/>
    </xf>
    <xf numFmtId="4" fontId="199" fillId="0" borderId="47" xfId="23876" applyNumberFormat="1" applyFont="1" applyFill="1" applyBorder="1" applyAlignment="1">
      <alignment horizontal="center" vertical="center"/>
    </xf>
    <xf numFmtId="0" fontId="199" fillId="0" borderId="5" xfId="23876" applyFont="1" applyFill="1" applyBorder="1" applyAlignment="1">
      <alignment horizontal="center" vertical="center"/>
    </xf>
    <xf numFmtId="0" fontId="199" fillId="0" borderId="5" xfId="23876" applyFont="1" applyFill="1" applyBorder="1" applyAlignment="1">
      <alignment horizontal="center"/>
    </xf>
    <xf numFmtId="4" fontId="199" fillId="0" borderId="5" xfId="23876" applyNumberFormat="1" applyFont="1" applyFill="1" applyBorder="1" applyAlignment="1">
      <alignment horizontal="center" vertical="center"/>
    </xf>
    <xf numFmtId="0" fontId="199" fillId="0" borderId="6" xfId="23876" applyFont="1" applyFill="1" applyBorder="1" applyAlignment="1">
      <alignment horizontal="center" vertical="center"/>
    </xf>
    <xf numFmtId="0" fontId="199" fillId="0" borderId="6" xfId="23876" applyFont="1" applyFill="1" applyBorder="1" applyAlignment="1">
      <alignment horizontal="center"/>
    </xf>
    <xf numFmtId="4" fontId="199" fillId="0" borderId="6" xfId="23876" applyNumberFormat="1" applyFont="1" applyFill="1" applyBorder="1" applyAlignment="1">
      <alignment horizontal="center" vertical="center"/>
    </xf>
    <xf numFmtId="0" fontId="41" fillId="0" borderId="0" xfId="23876" applyFont="1" applyFill="1" applyAlignment="1">
      <alignment vertical="center"/>
    </xf>
    <xf numFmtId="0" fontId="41" fillId="0" borderId="0" xfId="23876" applyFont="1" applyFill="1"/>
    <xf numFmtId="10" fontId="54" fillId="2" borderId="0" xfId="0" applyNumberFormat="1" applyFont="1" applyFill="1"/>
    <xf numFmtId="0" fontId="243" fillId="2" borderId="0" xfId="0" applyFont="1" applyFill="1"/>
    <xf numFmtId="2" fontId="54" fillId="2" borderId="0" xfId="0" applyNumberFormat="1" applyFont="1" applyFill="1"/>
    <xf numFmtId="0" fontId="54" fillId="2" borderId="0" xfId="0" applyFont="1" applyFill="1" applyAlignment="1">
      <alignment vertical="center"/>
    </xf>
    <xf numFmtId="9" fontId="54" fillId="2" borderId="0" xfId="23907" applyFont="1" applyFill="1" applyAlignment="1">
      <alignment vertical="center"/>
    </xf>
    <xf numFmtId="0" fontId="244" fillId="2" borderId="0" xfId="0" applyFont="1" applyFill="1"/>
    <xf numFmtId="0" fontId="216" fillId="0" borderId="0" xfId="0" applyFont="1" applyFill="1"/>
    <xf numFmtId="0" fontId="216" fillId="0" borderId="0" xfId="0" applyFont="1" applyFill="1" applyAlignment="1">
      <alignment horizontal="left" vertical="center"/>
    </xf>
    <xf numFmtId="0" fontId="17" fillId="0" borderId="1" xfId="0" applyFont="1" applyFill="1" applyBorder="1" applyAlignment="1">
      <alignment horizontal="center" vertical="center" wrapText="1"/>
    </xf>
    <xf numFmtId="0" fontId="17" fillId="0" borderId="1" xfId="11811" applyFont="1" applyFill="1" applyBorder="1" applyAlignment="1">
      <alignment horizontal="center" vertical="center" wrapText="1"/>
    </xf>
    <xf numFmtId="0" fontId="17" fillId="0" borderId="1" xfId="11811" applyFont="1" applyFill="1" applyBorder="1" applyAlignment="1">
      <alignment horizontal="left" vertical="center" wrapText="1"/>
    </xf>
    <xf numFmtId="0" fontId="17" fillId="0" borderId="1" xfId="0" applyFont="1" applyFill="1" applyBorder="1" applyAlignment="1">
      <alignment horizontal="left" vertical="center" wrapText="1"/>
    </xf>
    <xf numFmtId="167" fontId="0" fillId="0" borderId="1" xfId="0" applyNumberFormat="1" applyFill="1" applyBorder="1"/>
    <xf numFmtId="0" fontId="17" fillId="0" borderId="11" xfId="0" applyFont="1" applyFill="1" applyBorder="1" applyAlignment="1">
      <alignment horizontal="center" vertical="center" wrapText="1"/>
    </xf>
    <xf numFmtId="0" fontId="18" fillId="0" borderId="1" xfId="0" applyFont="1" applyFill="1" applyBorder="1" applyAlignment="1">
      <alignment horizontal="center" vertical="center" wrapText="1"/>
    </xf>
    <xf numFmtId="167" fontId="17" fillId="0" borderId="1" xfId="0" applyNumberFormat="1" applyFont="1" applyFill="1" applyBorder="1" applyAlignment="1">
      <alignment horizontal="center" vertical="center" wrapText="1"/>
    </xf>
    <xf numFmtId="0" fontId="17" fillId="0" borderId="1" xfId="0" applyFont="1" applyFill="1" applyBorder="1" applyAlignment="1">
      <alignment vertical="center" wrapText="1"/>
    </xf>
    <xf numFmtId="166" fontId="17" fillId="0" borderId="11" xfId="0" applyNumberFormat="1" applyFont="1" applyFill="1" applyBorder="1" applyAlignment="1">
      <alignment horizontal="center" vertical="center" wrapText="1"/>
    </xf>
    <xf numFmtId="2" fontId="17" fillId="0" borderId="11" xfId="0" applyNumberFormat="1" applyFont="1" applyFill="1" applyBorder="1" applyAlignment="1">
      <alignment horizontal="center" vertical="center" wrapText="1"/>
    </xf>
    <xf numFmtId="10" fontId="17" fillId="0" borderId="1" xfId="0" applyNumberFormat="1" applyFont="1" applyFill="1" applyBorder="1" applyAlignment="1">
      <alignment horizontal="center" vertical="center" wrapText="1"/>
    </xf>
    <xf numFmtId="0" fontId="18" fillId="0" borderId="11" xfId="0" applyFont="1" applyFill="1" applyBorder="1" applyAlignment="1">
      <alignment horizontal="center" vertical="center" wrapText="1"/>
    </xf>
    <xf numFmtId="10" fontId="17" fillId="0" borderId="11" xfId="0" applyNumberFormat="1" applyFont="1" applyFill="1" applyBorder="1" applyAlignment="1">
      <alignment horizontal="center" vertical="center" wrapText="1"/>
    </xf>
    <xf numFmtId="166" fontId="17" fillId="0" borderId="52" xfId="0" applyNumberFormat="1" applyFont="1" applyFill="1" applyBorder="1" applyAlignment="1">
      <alignment horizontal="center" vertical="center" wrapText="1"/>
    </xf>
    <xf numFmtId="10" fontId="17" fillId="0" borderId="1" xfId="23907" applyNumberFormat="1" applyFont="1" applyFill="1" applyBorder="1" applyAlignment="1">
      <alignment horizontal="center" vertical="center" wrapText="1"/>
    </xf>
    <xf numFmtId="0" fontId="17" fillId="0" borderId="1" xfId="0" applyFont="1" applyFill="1" applyBorder="1" applyAlignment="1">
      <alignment horizontal="center" vertical="top" wrapText="1"/>
    </xf>
    <xf numFmtId="1" fontId="17" fillId="0" borderId="11" xfId="0" applyNumberFormat="1" applyFont="1" applyFill="1" applyBorder="1" applyAlignment="1">
      <alignment horizontal="center" vertical="center" wrapText="1"/>
    </xf>
    <xf numFmtId="0" fontId="17" fillId="0" borderId="6" xfId="0" applyFont="1" applyFill="1" applyBorder="1" applyAlignment="1">
      <alignment vertical="center" wrapText="1"/>
    </xf>
    <xf numFmtId="0" fontId="17" fillId="0" borderId="5" xfId="0" applyFont="1" applyFill="1" applyBorder="1" applyAlignment="1">
      <alignment vertical="center" wrapText="1"/>
    </xf>
    <xf numFmtId="0" fontId="0" fillId="0" borderId="0" xfId="0" applyFill="1" applyAlignment="1">
      <alignment horizontal="center" vertical="center" wrapText="1"/>
    </xf>
    <xf numFmtId="0" fontId="218" fillId="0" borderId="0" xfId="0" applyFont="1" applyFill="1"/>
    <xf numFmtId="0" fontId="218" fillId="0" borderId="0" xfId="0" applyFont="1" applyFill="1" applyAlignment="1">
      <alignment horizontal="left" vertical="center"/>
    </xf>
  </cellXfs>
  <cellStyles count="23936">
    <cellStyle name="20% - Accent1" xfId="42"/>
    <cellStyle name="20% - Accent1 10" xfId="5513"/>
    <cellStyle name="20% - Accent1 11" xfId="5514"/>
    <cellStyle name="20% - Accent1 12" xfId="5515"/>
    <cellStyle name="20% - Accent1 2" xfId="43"/>
    <cellStyle name="20% - Accent1 2 10" xfId="5516"/>
    <cellStyle name="20% - Accent1 2 11" xfId="5517"/>
    <cellStyle name="20% - Accent1 2 12" xfId="5518"/>
    <cellStyle name="20% - Accent1 2 2" xfId="44"/>
    <cellStyle name="20% - Accent1 2 2 2" xfId="5519"/>
    <cellStyle name="20% - Accent1 2 2 3" xfId="5520"/>
    <cellStyle name="20% - Accent1 2 2 4" xfId="5521"/>
    <cellStyle name="20% - Accent1 2 2 5" xfId="5522"/>
    <cellStyle name="20% - Accent1 2 2 6" xfId="5523"/>
    <cellStyle name="20% - Accent1 2 2 7" xfId="5524"/>
    <cellStyle name="20% - Accent1 2 2 8" xfId="5525"/>
    <cellStyle name="20% - Accent1 2 2 9" xfId="5526"/>
    <cellStyle name="20% - Accent1 2 3" xfId="45"/>
    <cellStyle name="20% - Accent1 2 3 2" xfId="5527"/>
    <cellStyle name="20% - Accent1 2 3 3" xfId="5528"/>
    <cellStyle name="20% - Accent1 2 3 4" xfId="5529"/>
    <cellStyle name="20% - Accent1 2 3 5" xfId="5530"/>
    <cellStyle name="20% - Accent1 2 3 6" xfId="5531"/>
    <cellStyle name="20% - Accent1 2 3 7" xfId="5532"/>
    <cellStyle name="20% - Accent1 2 3 8" xfId="5533"/>
    <cellStyle name="20% - Accent1 2 3 9" xfId="5534"/>
    <cellStyle name="20% - Accent1 2 4" xfId="46"/>
    <cellStyle name="20% - Accent1 2 4 2" xfId="5535"/>
    <cellStyle name="20% - Accent1 2 4 3" xfId="5536"/>
    <cellStyle name="20% - Accent1 2 4 4" xfId="5537"/>
    <cellStyle name="20% - Accent1 2 4 5" xfId="5538"/>
    <cellStyle name="20% - Accent1 2 4 6" xfId="5539"/>
    <cellStyle name="20% - Accent1 2 4 7" xfId="5540"/>
    <cellStyle name="20% - Accent1 2 4 8" xfId="5541"/>
    <cellStyle name="20% - Accent1 2 4 9" xfId="5542"/>
    <cellStyle name="20% - Accent1 2 5" xfId="5543"/>
    <cellStyle name="20% - Accent1 2 6" xfId="5544"/>
    <cellStyle name="20% - Accent1 2 7" xfId="5545"/>
    <cellStyle name="20% - Accent1 2 8" xfId="5546"/>
    <cellStyle name="20% - Accent1 2 9" xfId="5547"/>
    <cellStyle name="20% - Accent1 3" xfId="47"/>
    <cellStyle name="20% - Accent1 3 10" xfId="5548"/>
    <cellStyle name="20% - Accent1 3 11" xfId="5549"/>
    <cellStyle name="20% - Accent1 3 2" xfId="48"/>
    <cellStyle name="20% - Accent1 3 2 2" xfId="5550"/>
    <cellStyle name="20% - Accent1 3 2 3" xfId="5551"/>
    <cellStyle name="20% - Accent1 3 2 4" xfId="5552"/>
    <cellStyle name="20% - Accent1 3 2 5" xfId="5553"/>
    <cellStyle name="20% - Accent1 3 2 6" xfId="5554"/>
    <cellStyle name="20% - Accent1 3 2 7" xfId="5555"/>
    <cellStyle name="20% - Accent1 3 2 8" xfId="5556"/>
    <cellStyle name="20% - Accent1 3 2 9" xfId="5557"/>
    <cellStyle name="20% - Accent1 3 3" xfId="49"/>
    <cellStyle name="20% - Accent1 3 3 2" xfId="5558"/>
    <cellStyle name="20% - Accent1 3 3 3" xfId="5559"/>
    <cellStyle name="20% - Accent1 3 3 4" xfId="5560"/>
    <cellStyle name="20% - Accent1 3 3 5" xfId="5561"/>
    <cellStyle name="20% - Accent1 3 3 6" xfId="5562"/>
    <cellStyle name="20% - Accent1 3 3 7" xfId="5563"/>
    <cellStyle name="20% - Accent1 3 3 8" xfId="5564"/>
    <cellStyle name="20% - Accent1 3 3 9" xfId="5565"/>
    <cellStyle name="20% - Accent1 3 4" xfId="5566"/>
    <cellStyle name="20% - Accent1 3 5" xfId="5567"/>
    <cellStyle name="20% - Accent1 3 6" xfId="5568"/>
    <cellStyle name="20% - Accent1 3 7" xfId="5569"/>
    <cellStyle name="20% - Accent1 3 8" xfId="5570"/>
    <cellStyle name="20% - Accent1 3 9" xfId="5571"/>
    <cellStyle name="20% - Accent1 4" xfId="50"/>
    <cellStyle name="20% - Accent1 4 2" xfId="5572"/>
    <cellStyle name="20% - Accent1 4 3" xfId="5573"/>
    <cellStyle name="20% - Accent1 4 4" xfId="5574"/>
    <cellStyle name="20% - Accent1 4 5" xfId="5575"/>
    <cellStyle name="20% - Accent1 4 6" xfId="5576"/>
    <cellStyle name="20% - Accent1 4 7" xfId="5577"/>
    <cellStyle name="20% - Accent1 4 8" xfId="5578"/>
    <cellStyle name="20% - Accent1 4 9" xfId="5579"/>
    <cellStyle name="20% - Accent1 5" xfId="5580"/>
    <cellStyle name="20% - Accent1 6" xfId="5581"/>
    <cellStyle name="20% - Accent1 7" xfId="5582"/>
    <cellStyle name="20% - Accent1 8" xfId="5583"/>
    <cellStyle name="20% - Accent1 9" xfId="5584"/>
    <cellStyle name="20% - Accent2" xfId="51"/>
    <cellStyle name="20% - Accent2 10" xfId="5585"/>
    <cellStyle name="20% - Accent2 11" xfId="5586"/>
    <cellStyle name="20% - Accent2 12" xfId="5587"/>
    <cellStyle name="20% - Accent2 13" xfId="5588"/>
    <cellStyle name="20% - Accent2 2" xfId="52"/>
    <cellStyle name="20% - Accent2 2 10" xfId="5589"/>
    <cellStyle name="20% - Accent2 2 11" xfId="5590"/>
    <cellStyle name="20% - Accent2 2 12" xfId="5591"/>
    <cellStyle name="20% - Accent2 2 2" xfId="53"/>
    <cellStyle name="20% - Accent2 2 2 10" xfId="5592"/>
    <cellStyle name="20% - Accent2 2 2 11" xfId="5593"/>
    <cellStyle name="20% - Accent2 2 2 12" xfId="5594"/>
    <cellStyle name="20% - Accent2 2 2 2" xfId="54"/>
    <cellStyle name="20% - Accent2 2 2 2 2" xfId="5595"/>
    <cellStyle name="20% - Accent2 2 2 2 3" xfId="5596"/>
    <cellStyle name="20% - Accent2 2 2 2 4" xfId="5597"/>
    <cellStyle name="20% - Accent2 2 2 2 5" xfId="5598"/>
    <cellStyle name="20% - Accent2 2 2 2 6" xfId="5599"/>
    <cellStyle name="20% - Accent2 2 2 2 7" xfId="5600"/>
    <cellStyle name="20% - Accent2 2 2 2 8" xfId="5601"/>
    <cellStyle name="20% - Accent2 2 2 2 9" xfId="5602"/>
    <cellStyle name="20% - Accent2 2 2 3" xfId="55"/>
    <cellStyle name="20% - Accent2 2 2 3 2" xfId="5603"/>
    <cellStyle name="20% - Accent2 2 2 3 3" xfId="5604"/>
    <cellStyle name="20% - Accent2 2 2 3 4" xfId="5605"/>
    <cellStyle name="20% - Accent2 2 2 3 5" xfId="5606"/>
    <cellStyle name="20% - Accent2 2 2 3 6" xfId="5607"/>
    <cellStyle name="20% - Accent2 2 2 3 7" xfId="5608"/>
    <cellStyle name="20% - Accent2 2 2 3 8" xfId="5609"/>
    <cellStyle name="20% - Accent2 2 2 3 9" xfId="5610"/>
    <cellStyle name="20% - Accent2 2 2 4" xfId="56"/>
    <cellStyle name="20% - Accent2 2 2 4 2" xfId="5611"/>
    <cellStyle name="20% - Accent2 2 2 4 3" xfId="5612"/>
    <cellStyle name="20% - Accent2 2 2 4 4" xfId="5613"/>
    <cellStyle name="20% - Accent2 2 2 4 5" xfId="5614"/>
    <cellStyle name="20% - Accent2 2 2 4 6" xfId="5615"/>
    <cellStyle name="20% - Accent2 2 2 4 7" xfId="5616"/>
    <cellStyle name="20% - Accent2 2 2 4 8" xfId="5617"/>
    <cellStyle name="20% - Accent2 2 2 4 9" xfId="5618"/>
    <cellStyle name="20% - Accent2 2 2 5" xfId="5619"/>
    <cellStyle name="20% - Accent2 2 2 6" xfId="5620"/>
    <cellStyle name="20% - Accent2 2 2 7" xfId="5621"/>
    <cellStyle name="20% - Accent2 2 2 8" xfId="5622"/>
    <cellStyle name="20% - Accent2 2 2 9" xfId="5623"/>
    <cellStyle name="20% - Accent2 2 3" xfId="57"/>
    <cellStyle name="20% - Accent2 2 3 10" xfId="5624"/>
    <cellStyle name="20% - Accent2 2 3 11" xfId="5625"/>
    <cellStyle name="20% - Accent2 2 3 2" xfId="58"/>
    <cellStyle name="20% - Accent2 2 3 2 2" xfId="5626"/>
    <cellStyle name="20% - Accent2 2 3 2 3" xfId="5627"/>
    <cellStyle name="20% - Accent2 2 3 2 4" xfId="5628"/>
    <cellStyle name="20% - Accent2 2 3 2 5" xfId="5629"/>
    <cellStyle name="20% - Accent2 2 3 2 6" xfId="5630"/>
    <cellStyle name="20% - Accent2 2 3 2 7" xfId="5631"/>
    <cellStyle name="20% - Accent2 2 3 2 8" xfId="5632"/>
    <cellStyle name="20% - Accent2 2 3 2 9" xfId="5633"/>
    <cellStyle name="20% - Accent2 2 3 3" xfId="59"/>
    <cellStyle name="20% - Accent2 2 3 3 2" xfId="5634"/>
    <cellStyle name="20% - Accent2 2 3 3 3" xfId="5635"/>
    <cellStyle name="20% - Accent2 2 3 3 4" xfId="5636"/>
    <cellStyle name="20% - Accent2 2 3 3 5" xfId="5637"/>
    <cellStyle name="20% - Accent2 2 3 3 6" xfId="5638"/>
    <cellStyle name="20% - Accent2 2 3 3 7" xfId="5639"/>
    <cellStyle name="20% - Accent2 2 3 3 8" xfId="5640"/>
    <cellStyle name="20% - Accent2 2 3 3 9" xfId="5641"/>
    <cellStyle name="20% - Accent2 2 3 4" xfId="5642"/>
    <cellStyle name="20% - Accent2 2 3 5" xfId="5643"/>
    <cellStyle name="20% - Accent2 2 3 6" xfId="5644"/>
    <cellStyle name="20% - Accent2 2 3 7" xfId="5645"/>
    <cellStyle name="20% - Accent2 2 3 8" xfId="5646"/>
    <cellStyle name="20% - Accent2 2 3 9" xfId="5647"/>
    <cellStyle name="20% - Accent2 2 4" xfId="60"/>
    <cellStyle name="20% - Accent2 2 4 2" xfId="5648"/>
    <cellStyle name="20% - Accent2 2 4 3" xfId="5649"/>
    <cellStyle name="20% - Accent2 2 4 4" xfId="5650"/>
    <cellStyle name="20% - Accent2 2 4 5" xfId="5651"/>
    <cellStyle name="20% - Accent2 2 4 6" xfId="5652"/>
    <cellStyle name="20% - Accent2 2 4 7" xfId="5653"/>
    <cellStyle name="20% - Accent2 2 4 8" xfId="5654"/>
    <cellStyle name="20% - Accent2 2 4 9" xfId="5655"/>
    <cellStyle name="20% - Accent2 2 5" xfId="5656"/>
    <cellStyle name="20% - Accent2 2 6" xfId="5657"/>
    <cellStyle name="20% - Accent2 2 7" xfId="5658"/>
    <cellStyle name="20% - Accent2 2 8" xfId="5659"/>
    <cellStyle name="20% - Accent2 2 9" xfId="5660"/>
    <cellStyle name="20% - Accent2 3" xfId="61"/>
    <cellStyle name="20% - Accent2 3 10" xfId="5661"/>
    <cellStyle name="20% - Accent2 3 11" xfId="5662"/>
    <cellStyle name="20% - Accent2 3 12" xfId="5663"/>
    <cellStyle name="20% - Accent2 3 2" xfId="62"/>
    <cellStyle name="20% - Accent2 3 2 2" xfId="5664"/>
    <cellStyle name="20% - Accent2 3 2 3" xfId="5665"/>
    <cellStyle name="20% - Accent2 3 2 4" xfId="5666"/>
    <cellStyle name="20% - Accent2 3 2 5" xfId="5667"/>
    <cellStyle name="20% - Accent2 3 2 6" xfId="5668"/>
    <cellStyle name="20% - Accent2 3 2 7" xfId="5669"/>
    <cellStyle name="20% - Accent2 3 2 8" xfId="5670"/>
    <cellStyle name="20% - Accent2 3 2 9" xfId="5671"/>
    <cellStyle name="20% - Accent2 3 3" xfId="63"/>
    <cellStyle name="20% - Accent2 3 3 2" xfId="5672"/>
    <cellStyle name="20% - Accent2 3 3 3" xfId="5673"/>
    <cellStyle name="20% - Accent2 3 3 4" xfId="5674"/>
    <cellStyle name="20% - Accent2 3 3 5" xfId="5675"/>
    <cellStyle name="20% - Accent2 3 3 6" xfId="5676"/>
    <cellStyle name="20% - Accent2 3 3 7" xfId="5677"/>
    <cellStyle name="20% - Accent2 3 3 8" xfId="5678"/>
    <cellStyle name="20% - Accent2 3 3 9" xfId="5679"/>
    <cellStyle name="20% - Accent2 3 4" xfId="64"/>
    <cellStyle name="20% - Accent2 3 4 2" xfId="5680"/>
    <cellStyle name="20% - Accent2 3 4 3" xfId="5681"/>
    <cellStyle name="20% - Accent2 3 4 4" xfId="5682"/>
    <cellStyle name="20% - Accent2 3 4 5" xfId="5683"/>
    <cellStyle name="20% - Accent2 3 4 6" xfId="5684"/>
    <cellStyle name="20% - Accent2 3 4 7" xfId="5685"/>
    <cellStyle name="20% - Accent2 3 4 8" xfId="5686"/>
    <cellStyle name="20% - Accent2 3 4 9" xfId="5687"/>
    <cellStyle name="20% - Accent2 3 5" xfId="5688"/>
    <cellStyle name="20% - Accent2 3 6" xfId="5689"/>
    <cellStyle name="20% - Accent2 3 7" xfId="5690"/>
    <cellStyle name="20% - Accent2 3 8" xfId="5691"/>
    <cellStyle name="20% - Accent2 3 9" xfId="5692"/>
    <cellStyle name="20% - Accent2 4" xfId="65"/>
    <cellStyle name="20% - Accent2 4 10" xfId="5693"/>
    <cellStyle name="20% - Accent2 4 11" xfId="5694"/>
    <cellStyle name="20% - Accent2 4 2" xfId="66"/>
    <cellStyle name="20% - Accent2 4 2 2" xfId="5695"/>
    <cellStyle name="20% - Accent2 4 2 3" xfId="5696"/>
    <cellStyle name="20% - Accent2 4 2 4" xfId="5697"/>
    <cellStyle name="20% - Accent2 4 2 5" xfId="5698"/>
    <cellStyle name="20% - Accent2 4 2 6" xfId="5699"/>
    <cellStyle name="20% - Accent2 4 2 7" xfId="5700"/>
    <cellStyle name="20% - Accent2 4 2 8" xfId="5701"/>
    <cellStyle name="20% - Accent2 4 2 9" xfId="5702"/>
    <cellStyle name="20% - Accent2 4 3" xfId="67"/>
    <cellStyle name="20% - Accent2 4 3 2" xfId="5703"/>
    <cellStyle name="20% - Accent2 4 3 3" xfId="5704"/>
    <cellStyle name="20% - Accent2 4 3 4" xfId="5705"/>
    <cellStyle name="20% - Accent2 4 3 5" xfId="5706"/>
    <cellStyle name="20% - Accent2 4 3 6" xfId="5707"/>
    <cellStyle name="20% - Accent2 4 3 7" xfId="5708"/>
    <cellStyle name="20% - Accent2 4 3 8" xfId="5709"/>
    <cellStyle name="20% - Accent2 4 3 9" xfId="5710"/>
    <cellStyle name="20% - Accent2 4 4" xfId="5711"/>
    <cellStyle name="20% - Accent2 4 5" xfId="5712"/>
    <cellStyle name="20% - Accent2 4 6" xfId="5713"/>
    <cellStyle name="20% - Accent2 4 7" xfId="5714"/>
    <cellStyle name="20% - Accent2 4 8" xfId="5715"/>
    <cellStyle name="20% - Accent2 4 9" xfId="5716"/>
    <cellStyle name="20% - Accent2 5" xfId="68"/>
    <cellStyle name="20% - Accent2 5 2" xfId="5717"/>
    <cellStyle name="20% - Accent2 5 3" xfId="5718"/>
    <cellStyle name="20% - Accent2 5 4" xfId="5719"/>
    <cellStyle name="20% - Accent2 5 5" xfId="5720"/>
    <cellStyle name="20% - Accent2 5 6" xfId="5721"/>
    <cellStyle name="20% - Accent2 5 7" xfId="5722"/>
    <cellStyle name="20% - Accent2 5 8" xfId="5723"/>
    <cellStyle name="20% - Accent2 5 9" xfId="5724"/>
    <cellStyle name="20% - Accent2 6" xfId="5725"/>
    <cellStyle name="20% - Accent2 7" xfId="5726"/>
    <cellStyle name="20% - Accent2 8" xfId="5727"/>
    <cellStyle name="20% - Accent2 9" xfId="5728"/>
    <cellStyle name="20% - Accent3" xfId="69"/>
    <cellStyle name="20% - Accent3 10" xfId="5729"/>
    <cellStyle name="20% - Accent3 11" xfId="5730"/>
    <cellStyle name="20% - Accent3 12" xfId="5731"/>
    <cellStyle name="20% - Accent3 2" xfId="70"/>
    <cellStyle name="20% - Accent3 2 10" xfId="5732"/>
    <cellStyle name="20% - Accent3 2 11" xfId="5733"/>
    <cellStyle name="20% - Accent3 2 12" xfId="5734"/>
    <cellStyle name="20% - Accent3 2 2" xfId="71"/>
    <cellStyle name="20% - Accent3 2 2 2" xfId="5735"/>
    <cellStyle name="20% - Accent3 2 2 3" xfId="5736"/>
    <cellStyle name="20% - Accent3 2 2 4" xfId="5737"/>
    <cellStyle name="20% - Accent3 2 2 5" xfId="5738"/>
    <cellStyle name="20% - Accent3 2 2 6" xfId="5739"/>
    <cellStyle name="20% - Accent3 2 2 7" xfId="5740"/>
    <cellStyle name="20% - Accent3 2 2 8" xfId="5741"/>
    <cellStyle name="20% - Accent3 2 2 9" xfId="5742"/>
    <cellStyle name="20% - Accent3 2 3" xfId="72"/>
    <cellStyle name="20% - Accent3 2 3 2" xfId="5743"/>
    <cellStyle name="20% - Accent3 2 3 3" xfId="5744"/>
    <cellStyle name="20% - Accent3 2 3 4" xfId="5745"/>
    <cellStyle name="20% - Accent3 2 3 5" xfId="5746"/>
    <cellStyle name="20% - Accent3 2 3 6" xfId="5747"/>
    <cellStyle name="20% - Accent3 2 3 7" xfId="5748"/>
    <cellStyle name="20% - Accent3 2 3 8" xfId="5749"/>
    <cellStyle name="20% - Accent3 2 3 9" xfId="5750"/>
    <cellStyle name="20% - Accent3 2 4" xfId="73"/>
    <cellStyle name="20% - Accent3 2 4 2" xfId="5751"/>
    <cellStyle name="20% - Accent3 2 4 3" xfId="5752"/>
    <cellStyle name="20% - Accent3 2 4 4" xfId="5753"/>
    <cellStyle name="20% - Accent3 2 4 5" xfId="5754"/>
    <cellStyle name="20% - Accent3 2 4 6" xfId="5755"/>
    <cellStyle name="20% - Accent3 2 4 7" xfId="5756"/>
    <cellStyle name="20% - Accent3 2 4 8" xfId="5757"/>
    <cellStyle name="20% - Accent3 2 4 9" xfId="5758"/>
    <cellStyle name="20% - Accent3 2 5" xfId="5759"/>
    <cellStyle name="20% - Accent3 2 6" xfId="5760"/>
    <cellStyle name="20% - Accent3 2 7" xfId="5761"/>
    <cellStyle name="20% - Accent3 2 8" xfId="5762"/>
    <cellStyle name="20% - Accent3 2 9" xfId="5763"/>
    <cellStyle name="20% - Accent3 3" xfId="74"/>
    <cellStyle name="20% - Accent3 3 10" xfId="5764"/>
    <cellStyle name="20% - Accent3 3 11" xfId="5765"/>
    <cellStyle name="20% - Accent3 3 2" xfId="75"/>
    <cellStyle name="20% - Accent3 3 2 2" xfId="5766"/>
    <cellStyle name="20% - Accent3 3 2 3" xfId="5767"/>
    <cellStyle name="20% - Accent3 3 2 4" xfId="5768"/>
    <cellStyle name="20% - Accent3 3 2 5" xfId="5769"/>
    <cellStyle name="20% - Accent3 3 2 6" xfId="5770"/>
    <cellStyle name="20% - Accent3 3 2 7" xfId="5771"/>
    <cellStyle name="20% - Accent3 3 2 8" xfId="5772"/>
    <cellStyle name="20% - Accent3 3 2 9" xfId="5773"/>
    <cellStyle name="20% - Accent3 3 3" xfId="76"/>
    <cellStyle name="20% - Accent3 3 3 2" xfId="5774"/>
    <cellStyle name="20% - Accent3 3 3 3" xfId="5775"/>
    <cellStyle name="20% - Accent3 3 3 4" xfId="5776"/>
    <cellStyle name="20% - Accent3 3 3 5" xfId="5777"/>
    <cellStyle name="20% - Accent3 3 3 6" xfId="5778"/>
    <cellStyle name="20% - Accent3 3 3 7" xfId="5779"/>
    <cellStyle name="20% - Accent3 3 3 8" xfId="5780"/>
    <cellStyle name="20% - Accent3 3 3 9" xfId="5781"/>
    <cellStyle name="20% - Accent3 3 4" xfId="5782"/>
    <cellStyle name="20% - Accent3 3 5" xfId="5783"/>
    <cellStyle name="20% - Accent3 3 6" xfId="5784"/>
    <cellStyle name="20% - Accent3 3 7" xfId="5785"/>
    <cellStyle name="20% - Accent3 3 8" xfId="5786"/>
    <cellStyle name="20% - Accent3 3 9" xfId="5787"/>
    <cellStyle name="20% - Accent3 4" xfId="77"/>
    <cellStyle name="20% - Accent3 4 2" xfId="5788"/>
    <cellStyle name="20% - Accent3 4 3" xfId="5789"/>
    <cellStyle name="20% - Accent3 4 4" xfId="5790"/>
    <cellStyle name="20% - Accent3 4 5" xfId="5791"/>
    <cellStyle name="20% - Accent3 4 6" xfId="5792"/>
    <cellStyle name="20% - Accent3 4 7" xfId="5793"/>
    <cellStyle name="20% - Accent3 4 8" xfId="5794"/>
    <cellStyle name="20% - Accent3 4 9" xfId="5795"/>
    <cellStyle name="20% - Accent3 5" xfId="5796"/>
    <cellStyle name="20% - Accent3 6" xfId="5797"/>
    <cellStyle name="20% - Accent3 7" xfId="5798"/>
    <cellStyle name="20% - Accent3 8" xfId="5799"/>
    <cellStyle name="20% - Accent3 9" xfId="5800"/>
    <cellStyle name="20% - Accent4" xfId="78"/>
    <cellStyle name="20% - Accent4 10" xfId="5801"/>
    <cellStyle name="20% - Accent4 11" xfId="5802"/>
    <cellStyle name="20% - Accent4 12" xfId="5803"/>
    <cellStyle name="20% - Accent4 2" xfId="79"/>
    <cellStyle name="20% - Accent4 2 10" xfId="5804"/>
    <cellStyle name="20% - Accent4 2 11" xfId="5805"/>
    <cellStyle name="20% - Accent4 2 12" xfId="5806"/>
    <cellStyle name="20% - Accent4 2 2" xfId="80"/>
    <cellStyle name="20% - Accent4 2 2 2" xfId="5807"/>
    <cellStyle name="20% - Accent4 2 2 3" xfId="5808"/>
    <cellStyle name="20% - Accent4 2 2 4" xfId="5809"/>
    <cellStyle name="20% - Accent4 2 2 5" xfId="5810"/>
    <cellStyle name="20% - Accent4 2 2 6" xfId="5811"/>
    <cellStyle name="20% - Accent4 2 2 7" xfId="5812"/>
    <cellStyle name="20% - Accent4 2 2 8" xfId="5813"/>
    <cellStyle name="20% - Accent4 2 2 9" xfId="5814"/>
    <cellStyle name="20% - Accent4 2 3" xfId="81"/>
    <cellStyle name="20% - Accent4 2 3 2" xfId="5815"/>
    <cellStyle name="20% - Accent4 2 3 3" xfId="5816"/>
    <cellStyle name="20% - Accent4 2 3 4" xfId="5817"/>
    <cellStyle name="20% - Accent4 2 3 5" xfId="5818"/>
    <cellStyle name="20% - Accent4 2 3 6" xfId="5819"/>
    <cellStyle name="20% - Accent4 2 3 7" xfId="5820"/>
    <cellStyle name="20% - Accent4 2 3 8" xfId="5821"/>
    <cellStyle name="20% - Accent4 2 3 9" xfId="5822"/>
    <cellStyle name="20% - Accent4 2 4" xfId="82"/>
    <cellStyle name="20% - Accent4 2 4 2" xfId="5823"/>
    <cellStyle name="20% - Accent4 2 4 3" xfId="5824"/>
    <cellStyle name="20% - Accent4 2 4 4" xfId="5825"/>
    <cellStyle name="20% - Accent4 2 4 5" xfId="5826"/>
    <cellStyle name="20% - Accent4 2 4 6" xfId="5827"/>
    <cellStyle name="20% - Accent4 2 4 7" xfId="5828"/>
    <cellStyle name="20% - Accent4 2 4 8" xfId="5829"/>
    <cellStyle name="20% - Accent4 2 4 9" xfId="5830"/>
    <cellStyle name="20% - Accent4 2 5" xfId="5831"/>
    <cellStyle name="20% - Accent4 2 6" xfId="5832"/>
    <cellStyle name="20% - Accent4 2 7" xfId="5833"/>
    <cellStyle name="20% - Accent4 2 8" xfId="5834"/>
    <cellStyle name="20% - Accent4 2 9" xfId="5835"/>
    <cellStyle name="20% - Accent4 3" xfId="83"/>
    <cellStyle name="20% - Accent4 3 10" xfId="5836"/>
    <cellStyle name="20% - Accent4 3 11" xfId="5837"/>
    <cellStyle name="20% - Accent4 3 2" xfId="84"/>
    <cellStyle name="20% - Accent4 3 2 2" xfId="5838"/>
    <cellStyle name="20% - Accent4 3 2 3" xfId="5839"/>
    <cellStyle name="20% - Accent4 3 2 4" xfId="5840"/>
    <cellStyle name="20% - Accent4 3 2 5" xfId="5841"/>
    <cellStyle name="20% - Accent4 3 2 6" xfId="5842"/>
    <cellStyle name="20% - Accent4 3 2 7" xfId="5843"/>
    <cellStyle name="20% - Accent4 3 2 8" xfId="5844"/>
    <cellStyle name="20% - Accent4 3 2 9" xfId="5845"/>
    <cellStyle name="20% - Accent4 3 3" xfId="85"/>
    <cellStyle name="20% - Accent4 3 3 2" xfId="5846"/>
    <cellStyle name="20% - Accent4 3 3 3" xfId="5847"/>
    <cellStyle name="20% - Accent4 3 3 4" xfId="5848"/>
    <cellStyle name="20% - Accent4 3 3 5" xfId="5849"/>
    <cellStyle name="20% - Accent4 3 3 6" xfId="5850"/>
    <cellStyle name="20% - Accent4 3 3 7" xfId="5851"/>
    <cellStyle name="20% - Accent4 3 3 8" xfId="5852"/>
    <cellStyle name="20% - Accent4 3 3 9" xfId="5853"/>
    <cellStyle name="20% - Accent4 3 4" xfId="5854"/>
    <cellStyle name="20% - Accent4 3 5" xfId="5855"/>
    <cellStyle name="20% - Accent4 3 6" xfId="5856"/>
    <cellStyle name="20% - Accent4 3 7" xfId="5857"/>
    <cellStyle name="20% - Accent4 3 8" xfId="5858"/>
    <cellStyle name="20% - Accent4 3 9" xfId="5859"/>
    <cellStyle name="20% - Accent4 4" xfId="86"/>
    <cellStyle name="20% - Accent4 4 2" xfId="5860"/>
    <cellStyle name="20% - Accent4 4 3" xfId="5861"/>
    <cellStyle name="20% - Accent4 4 4" xfId="5862"/>
    <cellStyle name="20% - Accent4 4 5" xfId="5863"/>
    <cellStyle name="20% - Accent4 4 6" xfId="5864"/>
    <cellStyle name="20% - Accent4 4 7" xfId="5865"/>
    <cellStyle name="20% - Accent4 4 8" xfId="5866"/>
    <cellStyle name="20% - Accent4 4 9" xfId="5867"/>
    <cellStyle name="20% - Accent4 5" xfId="5868"/>
    <cellStyle name="20% - Accent4 6" xfId="5869"/>
    <cellStyle name="20% - Accent4 7" xfId="5870"/>
    <cellStyle name="20% - Accent4 8" xfId="5871"/>
    <cellStyle name="20% - Accent4 9" xfId="5872"/>
    <cellStyle name="20% - Accent5" xfId="87"/>
    <cellStyle name="20% - Accent5 10" xfId="5873"/>
    <cellStyle name="20% - Accent5 11" xfId="5874"/>
    <cellStyle name="20% - Accent5 12" xfId="5875"/>
    <cellStyle name="20% - Accent5 2" xfId="88"/>
    <cellStyle name="20% - Accent5 2 10" xfId="5876"/>
    <cellStyle name="20% - Accent5 2 11" xfId="5877"/>
    <cellStyle name="20% - Accent5 2 12" xfId="5878"/>
    <cellStyle name="20% - Accent5 2 2" xfId="89"/>
    <cellStyle name="20% - Accent5 2 2 2" xfId="5879"/>
    <cellStyle name="20% - Accent5 2 2 3" xfId="5880"/>
    <cellStyle name="20% - Accent5 2 2 4" xfId="5881"/>
    <cellStyle name="20% - Accent5 2 2 5" xfId="5882"/>
    <cellStyle name="20% - Accent5 2 2 6" xfId="5883"/>
    <cellStyle name="20% - Accent5 2 2 7" xfId="5884"/>
    <cellStyle name="20% - Accent5 2 2 8" xfId="5885"/>
    <cellStyle name="20% - Accent5 2 2 9" xfId="5886"/>
    <cellStyle name="20% - Accent5 2 3" xfId="90"/>
    <cellStyle name="20% - Accent5 2 3 2" xfId="5887"/>
    <cellStyle name="20% - Accent5 2 3 3" xfId="5888"/>
    <cellStyle name="20% - Accent5 2 3 4" xfId="5889"/>
    <cellStyle name="20% - Accent5 2 3 5" xfId="5890"/>
    <cellStyle name="20% - Accent5 2 3 6" xfId="5891"/>
    <cellStyle name="20% - Accent5 2 3 7" xfId="5892"/>
    <cellStyle name="20% - Accent5 2 3 8" xfId="5893"/>
    <cellStyle name="20% - Accent5 2 3 9" xfId="5894"/>
    <cellStyle name="20% - Accent5 2 4" xfId="91"/>
    <cellStyle name="20% - Accent5 2 4 2" xfId="5895"/>
    <cellStyle name="20% - Accent5 2 4 3" xfId="5896"/>
    <cellStyle name="20% - Accent5 2 4 4" xfId="5897"/>
    <cellStyle name="20% - Accent5 2 4 5" xfId="5898"/>
    <cellStyle name="20% - Accent5 2 4 6" xfId="5899"/>
    <cellStyle name="20% - Accent5 2 4 7" xfId="5900"/>
    <cellStyle name="20% - Accent5 2 4 8" xfId="5901"/>
    <cellStyle name="20% - Accent5 2 4 9" xfId="5902"/>
    <cellStyle name="20% - Accent5 2 5" xfId="5903"/>
    <cellStyle name="20% - Accent5 2 6" xfId="5904"/>
    <cellStyle name="20% - Accent5 2 7" xfId="5905"/>
    <cellStyle name="20% - Accent5 2 8" xfId="5906"/>
    <cellStyle name="20% - Accent5 2 9" xfId="5907"/>
    <cellStyle name="20% - Accent5 3" xfId="92"/>
    <cellStyle name="20% - Accent5 3 10" xfId="5908"/>
    <cellStyle name="20% - Accent5 3 11" xfId="5909"/>
    <cellStyle name="20% - Accent5 3 2" xfId="93"/>
    <cellStyle name="20% - Accent5 3 2 2" xfId="5910"/>
    <cellStyle name="20% - Accent5 3 2 3" xfId="5911"/>
    <cellStyle name="20% - Accent5 3 2 4" xfId="5912"/>
    <cellStyle name="20% - Accent5 3 2 5" xfId="5913"/>
    <cellStyle name="20% - Accent5 3 2 6" xfId="5914"/>
    <cellStyle name="20% - Accent5 3 2 7" xfId="5915"/>
    <cellStyle name="20% - Accent5 3 2 8" xfId="5916"/>
    <cellStyle name="20% - Accent5 3 2 9" xfId="5917"/>
    <cellStyle name="20% - Accent5 3 3" xfId="94"/>
    <cellStyle name="20% - Accent5 3 3 2" xfId="5918"/>
    <cellStyle name="20% - Accent5 3 3 3" xfId="5919"/>
    <cellStyle name="20% - Accent5 3 3 4" xfId="5920"/>
    <cellStyle name="20% - Accent5 3 3 5" xfId="5921"/>
    <cellStyle name="20% - Accent5 3 3 6" xfId="5922"/>
    <cellStyle name="20% - Accent5 3 3 7" xfId="5923"/>
    <cellStyle name="20% - Accent5 3 3 8" xfId="5924"/>
    <cellStyle name="20% - Accent5 3 3 9" xfId="5925"/>
    <cellStyle name="20% - Accent5 3 4" xfId="5926"/>
    <cellStyle name="20% - Accent5 3 5" xfId="5927"/>
    <cellStyle name="20% - Accent5 3 6" xfId="5928"/>
    <cellStyle name="20% - Accent5 3 7" xfId="5929"/>
    <cellStyle name="20% - Accent5 3 8" xfId="5930"/>
    <cellStyle name="20% - Accent5 3 9" xfId="5931"/>
    <cellStyle name="20% - Accent5 4" xfId="95"/>
    <cellStyle name="20% - Accent5 4 2" xfId="5932"/>
    <cellStyle name="20% - Accent5 4 3" xfId="5933"/>
    <cellStyle name="20% - Accent5 4 4" xfId="5934"/>
    <cellStyle name="20% - Accent5 4 5" xfId="5935"/>
    <cellStyle name="20% - Accent5 4 6" xfId="5936"/>
    <cellStyle name="20% - Accent5 4 7" xfId="5937"/>
    <cellStyle name="20% - Accent5 4 8" xfId="5938"/>
    <cellStyle name="20% - Accent5 4 9" xfId="5939"/>
    <cellStyle name="20% - Accent5 5" xfId="5940"/>
    <cellStyle name="20% - Accent5 6" xfId="5941"/>
    <cellStyle name="20% - Accent5 7" xfId="5942"/>
    <cellStyle name="20% - Accent5 8" xfId="5943"/>
    <cellStyle name="20% - Accent5 9" xfId="5944"/>
    <cellStyle name="20% - Accent6" xfId="96"/>
    <cellStyle name="20% - Accent6 10" xfId="5945"/>
    <cellStyle name="20% - Accent6 11" xfId="5946"/>
    <cellStyle name="20% - Accent6 12" xfId="5947"/>
    <cellStyle name="20% - Accent6 2" xfId="97"/>
    <cellStyle name="20% - Accent6 2 10" xfId="5948"/>
    <cellStyle name="20% - Accent6 2 11" xfId="5949"/>
    <cellStyle name="20% - Accent6 2 12" xfId="5950"/>
    <cellStyle name="20% - Accent6 2 2" xfId="98"/>
    <cellStyle name="20% - Accent6 2 2 2" xfId="5951"/>
    <cellStyle name="20% - Accent6 2 2 3" xfId="5952"/>
    <cellStyle name="20% - Accent6 2 2 4" xfId="5953"/>
    <cellStyle name="20% - Accent6 2 2 5" xfId="5954"/>
    <cellStyle name="20% - Accent6 2 2 6" xfId="5955"/>
    <cellStyle name="20% - Accent6 2 2 7" xfId="5956"/>
    <cellStyle name="20% - Accent6 2 2 8" xfId="5957"/>
    <cellStyle name="20% - Accent6 2 2 9" xfId="5958"/>
    <cellStyle name="20% - Accent6 2 3" xfId="99"/>
    <cellStyle name="20% - Accent6 2 3 2" xfId="5959"/>
    <cellStyle name="20% - Accent6 2 3 3" xfId="5960"/>
    <cellStyle name="20% - Accent6 2 3 4" xfId="5961"/>
    <cellStyle name="20% - Accent6 2 3 5" xfId="5962"/>
    <cellStyle name="20% - Accent6 2 3 6" xfId="5963"/>
    <cellStyle name="20% - Accent6 2 3 7" xfId="5964"/>
    <cellStyle name="20% - Accent6 2 3 8" xfId="5965"/>
    <cellStyle name="20% - Accent6 2 3 9" xfId="5966"/>
    <cellStyle name="20% - Accent6 2 4" xfId="100"/>
    <cellStyle name="20% - Accent6 2 4 2" xfId="5967"/>
    <cellStyle name="20% - Accent6 2 4 3" xfId="5968"/>
    <cellStyle name="20% - Accent6 2 4 4" xfId="5969"/>
    <cellStyle name="20% - Accent6 2 4 5" xfId="5970"/>
    <cellStyle name="20% - Accent6 2 4 6" xfId="5971"/>
    <cellStyle name="20% - Accent6 2 4 7" xfId="5972"/>
    <cellStyle name="20% - Accent6 2 4 8" xfId="5973"/>
    <cellStyle name="20% - Accent6 2 4 9" xfId="5974"/>
    <cellStyle name="20% - Accent6 2 5" xfId="5975"/>
    <cellStyle name="20% - Accent6 2 6" xfId="5976"/>
    <cellStyle name="20% - Accent6 2 7" xfId="5977"/>
    <cellStyle name="20% - Accent6 2 8" xfId="5978"/>
    <cellStyle name="20% - Accent6 2 9" xfId="5979"/>
    <cellStyle name="20% - Accent6 3" xfId="101"/>
    <cellStyle name="20% - Accent6 3 10" xfId="5980"/>
    <cellStyle name="20% - Accent6 3 11" xfId="5981"/>
    <cellStyle name="20% - Accent6 3 2" xfId="102"/>
    <cellStyle name="20% - Accent6 3 2 2" xfId="5982"/>
    <cellStyle name="20% - Accent6 3 2 3" xfId="5983"/>
    <cellStyle name="20% - Accent6 3 2 4" xfId="5984"/>
    <cellStyle name="20% - Accent6 3 2 5" xfId="5985"/>
    <cellStyle name="20% - Accent6 3 2 6" xfId="5986"/>
    <cellStyle name="20% - Accent6 3 2 7" xfId="5987"/>
    <cellStyle name="20% - Accent6 3 2 8" xfId="5988"/>
    <cellStyle name="20% - Accent6 3 2 9" xfId="5989"/>
    <cellStyle name="20% - Accent6 3 3" xfId="103"/>
    <cellStyle name="20% - Accent6 3 3 2" xfId="5990"/>
    <cellStyle name="20% - Accent6 3 3 3" xfId="5991"/>
    <cellStyle name="20% - Accent6 3 3 4" xfId="5992"/>
    <cellStyle name="20% - Accent6 3 3 5" xfId="5993"/>
    <cellStyle name="20% - Accent6 3 3 6" xfId="5994"/>
    <cellStyle name="20% - Accent6 3 3 7" xfId="5995"/>
    <cellStyle name="20% - Accent6 3 3 8" xfId="5996"/>
    <cellStyle name="20% - Accent6 3 3 9" xfId="5997"/>
    <cellStyle name="20% - Accent6 3 4" xfId="5998"/>
    <cellStyle name="20% - Accent6 3 5" xfId="5999"/>
    <cellStyle name="20% - Accent6 3 6" xfId="6000"/>
    <cellStyle name="20% - Accent6 3 7" xfId="6001"/>
    <cellStyle name="20% - Accent6 3 8" xfId="6002"/>
    <cellStyle name="20% - Accent6 3 9" xfId="6003"/>
    <cellStyle name="20% - Accent6 4" xfId="104"/>
    <cellStyle name="20% - Accent6 4 2" xfId="6004"/>
    <cellStyle name="20% - Accent6 4 3" xfId="6005"/>
    <cellStyle name="20% - Accent6 4 4" xfId="6006"/>
    <cellStyle name="20% - Accent6 4 5" xfId="6007"/>
    <cellStyle name="20% - Accent6 4 6" xfId="6008"/>
    <cellStyle name="20% - Accent6 4 7" xfId="6009"/>
    <cellStyle name="20% - Accent6 4 8" xfId="6010"/>
    <cellStyle name="20% - Accent6 4 9" xfId="6011"/>
    <cellStyle name="20% - Accent6 5" xfId="6012"/>
    <cellStyle name="20% - Accent6 6" xfId="6013"/>
    <cellStyle name="20% - Accent6 7" xfId="6014"/>
    <cellStyle name="20% - Accent6 8" xfId="6015"/>
    <cellStyle name="20% - Accent6 9" xfId="6016"/>
    <cellStyle name="20% - Акцент1 2" xfId="105"/>
    <cellStyle name="20% - Акцент1 2 2" xfId="106"/>
    <cellStyle name="20% - Акцент1 2 2 2" xfId="107"/>
    <cellStyle name="20% - Акцент1 2 2 2 2" xfId="108"/>
    <cellStyle name="20% - Акцент1 2 2 2 3" xfId="109"/>
    <cellStyle name="20% - Акцент1 2 2 3" xfId="110"/>
    <cellStyle name="20% - Акцент1 2 2 4" xfId="111"/>
    <cellStyle name="20% - Акцент1 2 2 4 2" xfId="6017"/>
    <cellStyle name="20% - Акцент1 2 2 4 3" xfId="6018"/>
    <cellStyle name="20% - Акцент1 2 2 4 4" xfId="6019"/>
    <cellStyle name="20% - Акцент1 2 2 4 5" xfId="6020"/>
    <cellStyle name="20% - Акцент1 2 2 5" xfId="6021"/>
    <cellStyle name="20% - Акцент1 2 2 6" xfId="6022"/>
    <cellStyle name="20% - Акцент1 2 2 7" xfId="6023"/>
    <cellStyle name="20% - Акцент1 2 2 8" xfId="6024"/>
    <cellStyle name="20% - Акцент1 2 3" xfId="112"/>
    <cellStyle name="20% - Акцент1 2 3 2" xfId="113"/>
    <cellStyle name="20% - Акцент1 2 3 3" xfId="114"/>
    <cellStyle name="20% - Акцент1 2 4" xfId="115"/>
    <cellStyle name="20% - Акцент1 2 5" xfId="116"/>
    <cellStyle name="20% - Акцент1 2 5 2" xfId="6025"/>
    <cellStyle name="20% - Акцент1 2 5 3" xfId="6026"/>
    <cellStyle name="20% - Акцент1 2 5 4" xfId="6027"/>
    <cellStyle name="20% - Акцент1 2 5 5" xfId="6028"/>
    <cellStyle name="20% - Акцент1 2 6" xfId="6029"/>
    <cellStyle name="20% - Акцент1 2 7" xfId="6030"/>
    <cellStyle name="20% - Акцент1 2 8" xfId="6031"/>
    <cellStyle name="20% - Акцент1 2 9" xfId="6032"/>
    <cellStyle name="20% - Акцент1 2_Расчет программы" xfId="117"/>
    <cellStyle name="20% - Акцент2 2" xfId="118"/>
    <cellStyle name="20% - Акцент2 2 2" xfId="119"/>
    <cellStyle name="20% - Акцент2 2 2 2" xfId="120"/>
    <cellStyle name="20% - Акцент2 2 2 2 2" xfId="121"/>
    <cellStyle name="20% - Акцент2 2 2 2 3" xfId="122"/>
    <cellStyle name="20% - Акцент2 2 2 3" xfId="123"/>
    <cellStyle name="20% - Акцент2 2 2 4" xfId="124"/>
    <cellStyle name="20% - Акцент2 2 2 4 2" xfId="6033"/>
    <cellStyle name="20% - Акцент2 2 2 4 3" xfId="6034"/>
    <cellStyle name="20% - Акцент2 2 2 4 4" xfId="6035"/>
    <cellStyle name="20% - Акцент2 2 2 4 5" xfId="6036"/>
    <cellStyle name="20% - Акцент2 2 2 5" xfId="6037"/>
    <cellStyle name="20% - Акцент2 2 2 6" xfId="6038"/>
    <cellStyle name="20% - Акцент2 2 2 7" xfId="6039"/>
    <cellStyle name="20% - Акцент2 2 2 8" xfId="6040"/>
    <cellStyle name="20% - Акцент2 2 3" xfId="125"/>
    <cellStyle name="20% - Акцент2 2 3 2" xfId="126"/>
    <cellStyle name="20% - Акцент2 2 3 3" xfId="127"/>
    <cellStyle name="20% - Акцент2 2 4" xfId="128"/>
    <cellStyle name="20% - Акцент2 2 5" xfId="129"/>
    <cellStyle name="20% - Акцент2 2 5 2" xfId="6041"/>
    <cellStyle name="20% - Акцент2 2 5 3" xfId="6042"/>
    <cellStyle name="20% - Акцент2 2 5 4" xfId="6043"/>
    <cellStyle name="20% - Акцент2 2 5 5" xfId="6044"/>
    <cellStyle name="20% - Акцент2 2 6" xfId="6045"/>
    <cellStyle name="20% - Акцент2 2 7" xfId="6046"/>
    <cellStyle name="20% - Акцент2 2 8" xfId="6047"/>
    <cellStyle name="20% - Акцент2 2 9" xfId="6048"/>
    <cellStyle name="20% - Акцент2 2_Расчет программы" xfId="130"/>
    <cellStyle name="20% - Акцент3 2" xfId="131"/>
    <cellStyle name="20% - Акцент3 2 2" xfId="132"/>
    <cellStyle name="20% - Акцент3 2 2 2" xfId="133"/>
    <cellStyle name="20% - Акцент3 2 2 2 2" xfId="134"/>
    <cellStyle name="20% - Акцент3 2 2 2 3" xfId="135"/>
    <cellStyle name="20% - Акцент3 2 2 3" xfId="136"/>
    <cellStyle name="20% - Акцент3 2 2 4" xfId="137"/>
    <cellStyle name="20% - Акцент3 2 2 4 2" xfId="6049"/>
    <cellStyle name="20% - Акцент3 2 2 4 3" xfId="6050"/>
    <cellStyle name="20% - Акцент3 2 2 4 4" xfId="6051"/>
    <cellStyle name="20% - Акцент3 2 2 4 5" xfId="6052"/>
    <cellStyle name="20% - Акцент3 2 2 5" xfId="6053"/>
    <cellStyle name="20% - Акцент3 2 2 6" xfId="6054"/>
    <cellStyle name="20% - Акцент3 2 2 7" xfId="6055"/>
    <cellStyle name="20% - Акцент3 2 2 8" xfId="6056"/>
    <cellStyle name="20% - Акцент3 2 3" xfId="138"/>
    <cellStyle name="20% - Акцент3 2 3 2" xfId="139"/>
    <cellStyle name="20% - Акцент3 2 3 3" xfId="140"/>
    <cellStyle name="20% - Акцент3 2 4" xfId="141"/>
    <cellStyle name="20% - Акцент3 2 5" xfId="142"/>
    <cellStyle name="20% - Акцент3 2 5 2" xfId="6057"/>
    <cellStyle name="20% - Акцент3 2 5 3" xfId="6058"/>
    <cellStyle name="20% - Акцент3 2 5 4" xfId="6059"/>
    <cellStyle name="20% - Акцент3 2 5 5" xfId="6060"/>
    <cellStyle name="20% - Акцент3 2 6" xfId="6061"/>
    <cellStyle name="20% - Акцент3 2 7" xfId="6062"/>
    <cellStyle name="20% - Акцент3 2 8" xfId="6063"/>
    <cellStyle name="20% - Акцент3 2 9" xfId="6064"/>
    <cellStyle name="20% - Акцент3 2_Расчет программы" xfId="143"/>
    <cellStyle name="20% - Акцент4 2" xfId="144"/>
    <cellStyle name="20% - Акцент4 2 2" xfId="145"/>
    <cellStyle name="20% - Акцент4 2 2 2" xfId="146"/>
    <cellStyle name="20% - Акцент4 2 2 2 2" xfId="147"/>
    <cellStyle name="20% - Акцент4 2 2 2 3" xfId="148"/>
    <cellStyle name="20% - Акцент4 2 2 3" xfId="149"/>
    <cellStyle name="20% - Акцент4 2 2 4" xfId="150"/>
    <cellStyle name="20% - Акцент4 2 2 4 2" xfId="6065"/>
    <cellStyle name="20% - Акцент4 2 2 4 3" xfId="6066"/>
    <cellStyle name="20% - Акцент4 2 2 4 4" xfId="6067"/>
    <cellStyle name="20% - Акцент4 2 2 4 5" xfId="6068"/>
    <cellStyle name="20% - Акцент4 2 2 5" xfId="6069"/>
    <cellStyle name="20% - Акцент4 2 2 6" xfId="6070"/>
    <cellStyle name="20% - Акцент4 2 2 7" xfId="6071"/>
    <cellStyle name="20% - Акцент4 2 2 8" xfId="6072"/>
    <cellStyle name="20% - Акцент4 2 3" xfId="151"/>
    <cellStyle name="20% - Акцент4 2 3 2" xfId="152"/>
    <cellStyle name="20% - Акцент4 2 3 3" xfId="153"/>
    <cellStyle name="20% - Акцент4 2 4" xfId="154"/>
    <cellStyle name="20% - Акцент4 2 5" xfId="155"/>
    <cellStyle name="20% - Акцент4 2 5 2" xfId="6073"/>
    <cellStyle name="20% - Акцент4 2 5 3" xfId="6074"/>
    <cellStyle name="20% - Акцент4 2 5 4" xfId="6075"/>
    <cellStyle name="20% - Акцент4 2 5 5" xfId="6076"/>
    <cellStyle name="20% - Акцент4 2 6" xfId="6077"/>
    <cellStyle name="20% - Акцент4 2 7" xfId="6078"/>
    <cellStyle name="20% - Акцент4 2 8" xfId="6079"/>
    <cellStyle name="20% - Акцент4 2 9" xfId="6080"/>
    <cellStyle name="20% - Акцент4 2_Расчет программы" xfId="156"/>
    <cellStyle name="20% - Акцент5 2" xfId="157"/>
    <cellStyle name="20% - Акцент5 2 2" xfId="158"/>
    <cellStyle name="20% - Акцент5 2 2 2" xfId="159"/>
    <cellStyle name="20% - Акцент5 2 2 2 2" xfId="160"/>
    <cellStyle name="20% - Акцент5 2 2 2 3" xfId="161"/>
    <cellStyle name="20% - Акцент5 2 2 3" xfId="162"/>
    <cellStyle name="20% - Акцент5 2 2 4" xfId="163"/>
    <cellStyle name="20% - Акцент5 2 2 4 2" xfId="6081"/>
    <cellStyle name="20% - Акцент5 2 2 4 3" xfId="6082"/>
    <cellStyle name="20% - Акцент5 2 2 4 4" xfId="6083"/>
    <cellStyle name="20% - Акцент5 2 2 4 5" xfId="6084"/>
    <cellStyle name="20% - Акцент5 2 2 5" xfId="6085"/>
    <cellStyle name="20% - Акцент5 2 2 6" xfId="6086"/>
    <cellStyle name="20% - Акцент5 2 2 7" xfId="6087"/>
    <cellStyle name="20% - Акцент5 2 2 8" xfId="6088"/>
    <cellStyle name="20% - Акцент5 2 3" xfId="164"/>
    <cellStyle name="20% - Акцент5 2 3 2" xfId="165"/>
    <cellStyle name="20% - Акцент5 2 3 3" xfId="166"/>
    <cellStyle name="20% - Акцент5 2 4" xfId="167"/>
    <cellStyle name="20% - Акцент5 2 5" xfId="168"/>
    <cellStyle name="20% - Акцент5 2 5 2" xfId="6089"/>
    <cellStyle name="20% - Акцент5 2 5 3" xfId="6090"/>
    <cellStyle name="20% - Акцент5 2 5 4" xfId="6091"/>
    <cellStyle name="20% - Акцент5 2 5 5" xfId="6092"/>
    <cellStyle name="20% - Акцент5 2 6" xfId="6093"/>
    <cellStyle name="20% - Акцент5 2 7" xfId="6094"/>
    <cellStyle name="20% - Акцент5 2 8" xfId="6095"/>
    <cellStyle name="20% - Акцент5 2 9" xfId="6096"/>
    <cellStyle name="20% - Акцент5 2_Расчет программы" xfId="169"/>
    <cellStyle name="20% - Акцент6 2" xfId="170"/>
    <cellStyle name="20% - Акцент6 2 2" xfId="171"/>
    <cellStyle name="20% - Акцент6 2 2 2" xfId="172"/>
    <cellStyle name="20% - Акцент6 2 2 2 2" xfId="173"/>
    <cellStyle name="20% - Акцент6 2 2 2 3" xfId="174"/>
    <cellStyle name="20% - Акцент6 2 2 3" xfId="175"/>
    <cellStyle name="20% - Акцент6 2 2 4" xfId="176"/>
    <cellStyle name="20% - Акцент6 2 2 4 2" xfId="6097"/>
    <cellStyle name="20% - Акцент6 2 2 4 3" xfId="6098"/>
    <cellStyle name="20% - Акцент6 2 2 4 4" xfId="6099"/>
    <cellStyle name="20% - Акцент6 2 2 4 5" xfId="6100"/>
    <cellStyle name="20% - Акцент6 2 2 5" xfId="6101"/>
    <cellStyle name="20% - Акцент6 2 2 6" xfId="6102"/>
    <cellStyle name="20% - Акцент6 2 2 7" xfId="6103"/>
    <cellStyle name="20% - Акцент6 2 2 8" xfId="6104"/>
    <cellStyle name="20% - Акцент6 2 3" xfId="177"/>
    <cellStyle name="20% - Акцент6 2 3 2" xfId="178"/>
    <cellStyle name="20% - Акцент6 2 3 3" xfId="179"/>
    <cellStyle name="20% - Акцент6 2 4" xfId="180"/>
    <cellStyle name="20% - Акцент6 2 5" xfId="181"/>
    <cellStyle name="20% - Акцент6 2 5 2" xfId="6105"/>
    <cellStyle name="20% - Акцент6 2 5 3" xfId="6106"/>
    <cellStyle name="20% - Акцент6 2 5 4" xfId="6107"/>
    <cellStyle name="20% - Акцент6 2 5 5" xfId="6108"/>
    <cellStyle name="20% - Акцент6 2 6" xfId="6109"/>
    <cellStyle name="20% - Акцент6 2 7" xfId="6110"/>
    <cellStyle name="20% - Акцент6 2 8" xfId="6111"/>
    <cellStyle name="20% - Акцент6 2 9" xfId="6112"/>
    <cellStyle name="20% - Акцент6 2_Расчет программы" xfId="182"/>
    <cellStyle name="40% - Accent1" xfId="183"/>
    <cellStyle name="40% - Accent1 10" xfId="6113"/>
    <cellStyle name="40% - Accent1 11" xfId="6114"/>
    <cellStyle name="40% - Accent1 12" xfId="6115"/>
    <cellStyle name="40% - Accent1 2" xfId="184"/>
    <cellStyle name="40% - Accent1 2 10" xfId="6116"/>
    <cellStyle name="40% - Accent1 2 11" xfId="6117"/>
    <cellStyle name="40% - Accent1 2 12" xfId="6118"/>
    <cellStyle name="40% - Accent1 2 2" xfId="185"/>
    <cellStyle name="40% - Accent1 2 2 2" xfId="6119"/>
    <cellStyle name="40% - Accent1 2 2 3" xfId="6120"/>
    <cellStyle name="40% - Accent1 2 2 4" xfId="6121"/>
    <cellStyle name="40% - Accent1 2 2 5" xfId="6122"/>
    <cellStyle name="40% - Accent1 2 2 6" xfId="6123"/>
    <cellStyle name="40% - Accent1 2 2 7" xfId="6124"/>
    <cellStyle name="40% - Accent1 2 2 8" xfId="6125"/>
    <cellStyle name="40% - Accent1 2 2 9" xfId="6126"/>
    <cellStyle name="40% - Accent1 2 3" xfId="186"/>
    <cellStyle name="40% - Accent1 2 3 2" xfId="6127"/>
    <cellStyle name="40% - Accent1 2 3 3" xfId="6128"/>
    <cellStyle name="40% - Accent1 2 3 4" xfId="6129"/>
    <cellStyle name="40% - Accent1 2 3 5" xfId="6130"/>
    <cellStyle name="40% - Accent1 2 3 6" xfId="6131"/>
    <cellStyle name="40% - Accent1 2 3 7" xfId="6132"/>
    <cellStyle name="40% - Accent1 2 3 8" xfId="6133"/>
    <cellStyle name="40% - Accent1 2 3 9" xfId="6134"/>
    <cellStyle name="40% - Accent1 2 4" xfId="187"/>
    <cellStyle name="40% - Accent1 2 4 2" xfId="6135"/>
    <cellStyle name="40% - Accent1 2 4 3" xfId="6136"/>
    <cellStyle name="40% - Accent1 2 4 4" xfId="6137"/>
    <cellStyle name="40% - Accent1 2 4 5" xfId="6138"/>
    <cellStyle name="40% - Accent1 2 4 6" xfId="6139"/>
    <cellStyle name="40% - Accent1 2 4 7" xfId="6140"/>
    <cellStyle name="40% - Accent1 2 4 8" xfId="6141"/>
    <cellStyle name="40% - Accent1 2 4 9" xfId="6142"/>
    <cellStyle name="40% - Accent1 2 5" xfId="6143"/>
    <cellStyle name="40% - Accent1 2 6" xfId="6144"/>
    <cellStyle name="40% - Accent1 2 7" xfId="6145"/>
    <cellStyle name="40% - Accent1 2 8" xfId="6146"/>
    <cellStyle name="40% - Accent1 2 9" xfId="6147"/>
    <cellStyle name="40% - Accent1 3" xfId="188"/>
    <cellStyle name="40% - Accent1 3 10" xfId="6148"/>
    <cellStyle name="40% - Accent1 3 11" xfId="6149"/>
    <cellStyle name="40% - Accent1 3 2" xfId="189"/>
    <cellStyle name="40% - Accent1 3 2 2" xfId="6150"/>
    <cellStyle name="40% - Accent1 3 2 3" xfId="6151"/>
    <cellStyle name="40% - Accent1 3 2 4" xfId="6152"/>
    <cellStyle name="40% - Accent1 3 2 5" xfId="6153"/>
    <cellStyle name="40% - Accent1 3 2 6" xfId="6154"/>
    <cellStyle name="40% - Accent1 3 2 7" xfId="6155"/>
    <cellStyle name="40% - Accent1 3 2 8" xfId="6156"/>
    <cellStyle name="40% - Accent1 3 2 9" xfId="6157"/>
    <cellStyle name="40% - Accent1 3 3" xfId="190"/>
    <cellStyle name="40% - Accent1 3 3 2" xfId="6158"/>
    <cellStyle name="40% - Accent1 3 3 3" xfId="6159"/>
    <cellStyle name="40% - Accent1 3 3 4" xfId="6160"/>
    <cellStyle name="40% - Accent1 3 3 5" xfId="6161"/>
    <cellStyle name="40% - Accent1 3 3 6" xfId="6162"/>
    <cellStyle name="40% - Accent1 3 3 7" xfId="6163"/>
    <cellStyle name="40% - Accent1 3 3 8" xfId="6164"/>
    <cellStyle name="40% - Accent1 3 3 9" xfId="6165"/>
    <cellStyle name="40% - Accent1 3 4" xfId="6166"/>
    <cellStyle name="40% - Accent1 3 5" xfId="6167"/>
    <cellStyle name="40% - Accent1 3 6" xfId="6168"/>
    <cellStyle name="40% - Accent1 3 7" xfId="6169"/>
    <cellStyle name="40% - Accent1 3 8" xfId="6170"/>
    <cellStyle name="40% - Accent1 3 9" xfId="6171"/>
    <cellStyle name="40% - Accent1 4" xfId="191"/>
    <cellStyle name="40% - Accent1 4 2" xfId="6172"/>
    <cellStyle name="40% - Accent1 4 3" xfId="6173"/>
    <cellStyle name="40% - Accent1 4 4" xfId="6174"/>
    <cellStyle name="40% - Accent1 4 5" xfId="6175"/>
    <cellStyle name="40% - Accent1 4 6" xfId="6176"/>
    <cellStyle name="40% - Accent1 4 7" xfId="6177"/>
    <cellStyle name="40% - Accent1 4 8" xfId="6178"/>
    <cellStyle name="40% - Accent1 4 9" xfId="6179"/>
    <cellStyle name="40% - Accent1 5" xfId="6180"/>
    <cellStyle name="40% - Accent1 6" xfId="6181"/>
    <cellStyle name="40% - Accent1 7" xfId="6182"/>
    <cellStyle name="40% - Accent1 8" xfId="6183"/>
    <cellStyle name="40% - Accent1 9" xfId="6184"/>
    <cellStyle name="40% - Accent2" xfId="192"/>
    <cellStyle name="40% - Accent2 10" xfId="6185"/>
    <cellStyle name="40% - Accent2 11" xfId="6186"/>
    <cellStyle name="40% - Accent2 12" xfId="6187"/>
    <cellStyle name="40% - Accent2 2" xfId="193"/>
    <cellStyle name="40% - Accent2 2 10" xfId="6188"/>
    <cellStyle name="40% - Accent2 2 11" xfId="6189"/>
    <cellStyle name="40% - Accent2 2 12" xfId="6190"/>
    <cellStyle name="40% - Accent2 2 2" xfId="194"/>
    <cellStyle name="40% - Accent2 2 2 2" xfId="6191"/>
    <cellStyle name="40% - Accent2 2 2 3" xfId="6192"/>
    <cellStyle name="40% - Accent2 2 2 4" xfId="6193"/>
    <cellStyle name="40% - Accent2 2 2 5" xfId="6194"/>
    <cellStyle name="40% - Accent2 2 2 6" xfId="6195"/>
    <cellStyle name="40% - Accent2 2 2 7" xfId="6196"/>
    <cellStyle name="40% - Accent2 2 2 8" xfId="6197"/>
    <cellStyle name="40% - Accent2 2 2 9" xfId="6198"/>
    <cellStyle name="40% - Accent2 2 3" xfId="195"/>
    <cellStyle name="40% - Accent2 2 3 2" xfId="6199"/>
    <cellStyle name="40% - Accent2 2 3 3" xfId="6200"/>
    <cellStyle name="40% - Accent2 2 3 4" xfId="6201"/>
    <cellStyle name="40% - Accent2 2 3 5" xfId="6202"/>
    <cellStyle name="40% - Accent2 2 3 6" xfId="6203"/>
    <cellStyle name="40% - Accent2 2 3 7" xfId="6204"/>
    <cellStyle name="40% - Accent2 2 3 8" xfId="6205"/>
    <cellStyle name="40% - Accent2 2 3 9" xfId="6206"/>
    <cellStyle name="40% - Accent2 2 4" xfId="196"/>
    <cellStyle name="40% - Accent2 2 4 2" xfId="6207"/>
    <cellStyle name="40% - Accent2 2 4 3" xfId="6208"/>
    <cellStyle name="40% - Accent2 2 4 4" xfId="6209"/>
    <cellStyle name="40% - Accent2 2 4 5" xfId="6210"/>
    <cellStyle name="40% - Accent2 2 4 6" xfId="6211"/>
    <cellStyle name="40% - Accent2 2 4 7" xfId="6212"/>
    <cellStyle name="40% - Accent2 2 4 8" xfId="6213"/>
    <cellStyle name="40% - Accent2 2 4 9" xfId="6214"/>
    <cellStyle name="40% - Accent2 2 5" xfId="6215"/>
    <cellStyle name="40% - Accent2 2 6" xfId="6216"/>
    <cellStyle name="40% - Accent2 2 7" xfId="6217"/>
    <cellStyle name="40% - Accent2 2 8" xfId="6218"/>
    <cellStyle name="40% - Accent2 2 9" xfId="6219"/>
    <cellStyle name="40% - Accent2 3" xfId="197"/>
    <cellStyle name="40% - Accent2 3 10" xfId="6220"/>
    <cellStyle name="40% - Accent2 3 11" xfId="6221"/>
    <cellStyle name="40% - Accent2 3 2" xfId="198"/>
    <cellStyle name="40% - Accent2 3 2 2" xfId="6222"/>
    <cellStyle name="40% - Accent2 3 2 3" xfId="6223"/>
    <cellStyle name="40% - Accent2 3 2 4" xfId="6224"/>
    <cellStyle name="40% - Accent2 3 2 5" xfId="6225"/>
    <cellStyle name="40% - Accent2 3 2 6" xfId="6226"/>
    <cellStyle name="40% - Accent2 3 2 7" xfId="6227"/>
    <cellStyle name="40% - Accent2 3 2 8" xfId="6228"/>
    <cellStyle name="40% - Accent2 3 2 9" xfId="6229"/>
    <cellStyle name="40% - Accent2 3 3" xfId="199"/>
    <cellStyle name="40% - Accent2 3 3 2" xfId="6230"/>
    <cellStyle name="40% - Accent2 3 3 3" xfId="6231"/>
    <cellStyle name="40% - Accent2 3 3 4" xfId="6232"/>
    <cellStyle name="40% - Accent2 3 3 5" xfId="6233"/>
    <cellStyle name="40% - Accent2 3 3 6" xfId="6234"/>
    <cellStyle name="40% - Accent2 3 3 7" xfId="6235"/>
    <cellStyle name="40% - Accent2 3 3 8" xfId="6236"/>
    <cellStyle name="40% - Accent2 3 3 9" xfId="6237"/>
    <cellStyle name="40% - Accent2 3 4" xfId="6238"/>
    <cellStyle name="40% - Accent2 3 5" xfId="6239"/>
    <cellStyle name="40% - Accent2 3 6" xfId="6240"/>
    <cellStyle name="40% - Accent2 3 7" xfId="6241"/>
    <cellStyle name="40% - Accent2 3 8" xfId="6242"/>
    <cellStyle name="40% - Accent2 3 9" xfId="6243"/>
    <cellStyle name="40% - Accent2 4" xfId="200"/>
    <cellStyle name="40% - Accent2 4 2" xfId="6244"/>
    <cellStyle name="40% - Accent2 4 3" xfId="6245"/>
    <cellStyle name="40% - Accent2 4 4" xfId="6246"/>
    <cellStyle name="40% - Accent2 4 5" xfId="6247"/>
    <cellStyle name="40% - Accent2 4 6" xfId="6248"/>
    <cellStyle name="40% - Accent2 4 7" xfId="6249"/>
    <cellStyle name="40% - Accent2 4 8" xfId="6250"/>
    <cellStyle name="40% - Accent2 4 9" xfId="6251"/>
    <cellStyle name="40% - Accent2 5" xfId="6252"/>
    <cellStyle name="40% - Accent2 6" xfId="6253"/>
    <cellStyle name="40% - Accent2 7" xfId="6254"/>
    <cellStyle name="40% - Accent2 8" xfId="6255"/>
    <cellStyle name="40% - Accent2 9" xfId="6256"/>
    <cellStyle name="40% - Accent3" xfId="201"/>
    <cellStyle name="40% - Accent3 10" xfId="6257"/>
    <cellStyle name="40% - Accent3 11" xfId="6258"/>
    <cellStyle name="40% - Accent3 12" xfId="6259"/>
    <cellStyle name="40% - Accent3 13" xfId="6260"/>
    <cellStyle name="40% - Accent3 2" xfId="202"/>
    <cellStyle name="40% - Accent3 2 10" xfId="6261"/>
    <cellStyle name="40% - Accent3 2 11" xfId="6262"/>
    <cellStyle name="40% - Accent3 2 12" xfId="6263"/>
    <cellStyle name="40% - Accent3 2 2" xfId="203"/>
    <cellStyle name="40% - Accent3 2 2 10" xfId="6264"/>
    <cellStyle name="40% - Accent3 2 2 11" xfId="6265"/>
    <cellStyle name="40% - Accent3 2 2 12" xfId="6266"/>
    <cellStyle name="40% - Accent3 2 2 2" xfId="204"/>
    <cellStyle name="40% - Accent3 2 2 2 2" xfId="6267"/>
    <cellStyle name="40% - Accent3 2 2 2 3" xfId="6268"/>
    <cellStyle name="40% - Accent3 2 2 2 4" xfId="6269"/>
    <cellStyle name="40% - Accent3 2 2 2 5" xfId="6270"/>
    <cellStyle name="40% - Accent3 2 2 2 6" xfId="6271"/>
    <cellStyle name="40% - Accent3 2 2 2 7" xfId="6272"/>
    <cellStyle name="40% - Accent3 2 2 2 8" xfId="6273"/>
    <cellStyle name="40% - Accent3 2 2 2 9" xfId="6274"/>
    <cellStyle name="40% - Accent3 2 2 3" xfId="205"/>
    <cellStyle name="40% - Accent3 2 2 3 2" xfId="6275"/>
    <cellStyle name="40% - Accent3 2 2 3 3" xfId="6276"/>
    <cellStyle name="40% - Accent3 2 2 3 4" xfId="6277"/>
    <cellStyle name="40% - Accent3 2 2 3 5" xfId="6278"/>
    <cellStyle name="40% - Accent3 2 2 3 6" xfId="6279"/>
    <cellStyle name="40% - Accent3 2 2 3 7" xfId="6280"/>
    <cellStyle name="40% - Accent3 2 2 3 8" xfId="6281"/>
    <cellStyle name="40% - Accent3 2 2 3 9" xfId="6282"/>
    <cellStyle name="40% - Accent3 2 2 4" xfId="206"/>
    <cellStyle name="40% - Accent3 2 2 4 2" xfId="6283"/>
    <cellStyle name="40% - Accent3 2 2 4 3" xfId="6284"/>
    <cellStyle name="40% - Accent3 2 2 4 4" xfId="6285"/>
    <cellStyle name="40% - Accent3 2 2 4 5" xfId="6286"/>
    <cellStyle name="40% - Accent3 2 2 4 6" xfId="6287"/>
    <cellStyle name="40% - Accent3 2 2 4 7" xfId="6288"/>
    <cellStyle name="40% - Accent3 2 2 4 8" xfId="6289"/>
    <cellStyle name="40% - Accent3 2 2 4 9" xfId="6290"/>
    <cellStyle name="40% - Accent3 2 2 5" xfId="6291"/>
    <cellStyle name="40% - Accent3 2 2 6" xfId="6292"/>
    <cellStyle name="40% - Accent3 2 2 7" xfId="6293"/>
    <cellStyle name="40% - Accent3 2 2 8" xfId="6294"/>
    <cellStyle name="40% - Accent3 2 2 9" xfId="6295"/>
    <cellStyle name="40% - Accent3 2 3" xfId="207"/>
    <cellStyle name="40% - Accent3 2 3 10" xfId="6296"/>
    <cellStyle name="40% - Accent3 2 3 11" xfId="6297"/>
    <cellStyle name="40% - Accent3 2 3 2" xfId="208"/>
    <cellStyle name="40% - Accent3 2 3 2 2" xfId="6298"/>
    <cellStyle name="40% - Accent3 2 3 2 3" xfId="6299"/>
    <cellStyle name="40% - Accent3 2 3 2 4" xfId="6300"/>
    <cellStyle name="40% - Accent3 2 3 2 5" xfId="6301"/>
    <cellStyle name="40% - Accent3 2 3 2 6" xfId="6302"/>
    <cellStyle name="40% - Accent3 2 3 2 7" xfId="6303"/>
    <cellStyle name="40% - Accent3 2 3 2 8" xfId="6304"/>
    <cellStyle name="40% - Accent3 2 3 2 9" xfId="6305"/>
    <cellStyle name="40% - Accent3 2 3 3" xfId="209"/>
    <cellStyle name="40% - Accent3 2 3 3 2" xfId="6306"/>
    <cellStyle name="40% - Accent3 2 3 3 3" xfId="6307"/>
    <cellStyle name="40% - Accent3 2 3 3 4" xfId="6308"/>
    <cellStyle name="40% - Accent3 2 3 3 5" xfId="6309"/>
    <cellStyle name="40% - Accent3 2 3 3 6" xfId="6310"/>
    <cellStyle name="40% - Accent3 2 3 3 7" xfId="6311"/>
    <cellStyle name="40% - Accent3 2 3 3 8" xfId="6312"/>
    <cellStyle name="40% - Accent3 2 3 3 9" xfId="6313"/>
    <cellStyle name="40% - Accent3 2 3 4" xfId="6314"/>
    <cellStyle name="40% - Accent3 2 3 5" xfId="6315"/>
    <cellStyle name="40% - Accent3 2 3 6" xfId="6316"/>
    <cellStyle name="40% - Accent3 2 3 7" xfId="6317"/>
    <cellStyle name="40% - Accent3 2 3 8" xfId="6318"/>
    <cellStyle name="40% - Accent3 2 3 9" xfId="6319"/>
    <cellStyle name="40% - Accent3 2 4" xfId="210"/>
    <cellStyle name="40% - Accent3 2 4 2" xfId="6320"/>
    <cellStyle name="40% - Accent3 2 4 3" xfId="6321"/>
    <cellStyle name="40% - Accent3 2 4 4" xfId="6322"/>
    <cellStyle name="40% - Accent3 2 4 5" xfId="6323"/>
    <cellStyle name="40% - Accent3 2 4 6" xfId="6324"/>
    <cellStyle name="40% - Accent3 2 4 7" xfId="6325"/>
    <cellStyle name="40% - Accent3 2 4 8" xfId="6326"/>
    <cellStyle name="40% - Accent3 2 4 9" xfId="6327"/>
    <cellStyle name="40% - Accent3 2 5" xfId="6328"/>
    <cellStyle name="40% - Accent3 2 6" xfId="6329"/>
    <cellStyle name="40% - Accent3 2 7" xfId="6330"/>
    <cellStyle name="40% - Accent3 2 8" xfId="6331"/>
    <cellStyle name="40% - Accent3 2 9" xfId="6332"/>
    <cellStyle name="40% - Accent3 3" xfId="211"/>
    <cellStyle name="40% - Accent3 3 10" xfId="6333"/>
    <cellStyle name="40% - Accent3 3 11" xfId="6334"/>
    <cellStyle name="40% - Accent3 3 12" xfId="6335"/>
    <cellStyle name="40% - Accent3 3 2" xfId="212"/>
    <cellStyle name="40% - Accent3 3 2 2" xfId="6336"/>
    <cellStyle name="40% - Accent3 3 2 3" xfId="6337"/>
    <cellStyle name="40% - Accent3 3 2 4" xfId="6338"/>
    <cellStyle name="40% - Accent3 3 2 5" xfId="6339"/>
    <cellStyle name="40% - Accent3 3 2 6" xfId="6340"/>
    <cellStyle name="40% - Accent3 3 2 7" xfId="6341"/>
    <cellStyle name="40% - Accent3 3 2 8" xfId="6342"/>
    <cellStyle name="40% - Accent3 3 2 9" xfId="6343"/>
    <cellStyle name="40% - Accent3 3 3" xfId="213"/>
    <cellStyle name="40% - Accent3 3 3 2" xfId="6344"/>
    <cellStyle name="40% - Accent3 3 3 3" xfId="6345"/>
    <cellStyle name="40% - Accent3 3 3 4" xfId="6346"/>
    <cellStyle name="40% - Accent3 3 3 5" xfId="6347"/>
    <cellStyle name="40% - Accent3 3 3 6" xfId="6348"/>
    <cellStyle name="40% - Accent3 3 3 7" xfId="6349"/>
    <cellStyle name="40% - Accent3 3 3 8" xfId="6350"/>
    <cellStyle name="40% - Accent3 3 3 9" xfId="6351"/>
    <cellStyle name="40% - Accent3 3 4" xfId="214"/>
    <cellStyle name="40% - Accent3 3 4 2" xfId="6352"/>
    <cellStyle name="40% - Accent3 3 4 3" xfId="6353"/>
    <cellStyle name="40% - Accent3 3 4 4" xfId="6354"/>
    <cellStyle name="40% - Accent3 3 4 5" xfId="6355"/>
    <cellStyle name="40% - Accent3 3 4 6" xfId="6356"/>
    <cellStyle name="40% - Accent3 3 4 7" xfId="6357"/>
    <cellStyle name="40% - Accent3 3 4 8" xfId="6358"/>
    <cellStyle name="40% - Accent3 3 4 9" xfId="6359"/>
    <cellStyle name="40% - Accent3 3 5" xfId="6360"/>
    <cellStyle name="40% - Accent3 3 6" xfId="6361"/>
    <cellStyle name="40% - Accent3 3 7" xfId="6362"/>
    <cellStyle name="40% - Accent3 3 8" xfId="6363"/>
    <cellStyle name="40% - Accent3 3 9" xfId="6364"/>
    <cellStyle name="40% - Accent3 4" xfId="215"/>
    <cellStyle name="40% - Accent3 4 10" xfId="6365"/>
    <cellStyle name="40% - Accent3 4 11" xfId="6366"/>
    <cellStyle name="40% - Accent3 4 2" xfId="216"/>
    <cellStyle name="40% - Accent3 4 2 2" xfId="6367"/>
    <cellStyle name="40% - Accent3 4 2 3" xfId="6368"/>
    <cellStyle name="40% - Accent3 4 2 4" xfId="6369"/>
    <cellStyle name="40% - Accent3 4 2 5" xfId="6370"/>
    <cellStyle name="40% - Accent3 4 2 6" xfId="6371"/>
    <cellStyle name="40% - Accent3 4 2 7" xfId="6372"/>
    <cellStyle name="40% - Accent3 4 2 8" xfId="6373"/>
    <cellStyle name="40% - Accent3 4 2 9" xfId="6374"/>
    <cellStyle name="40% - Accent3 4 3" xfId="217"/>
    <cellStyle name="40% - Accent3 4 3 2" xfId="6375"/>
    <cellStyle name="40% - Accent3 4 3 3" xfId="6376"/>
    <cellStyle name="40% - Accent3 4 3 4" xfId="6377"/>
    <cellStyle name="40% - Accent3 4 3 5" xfId="6378"/>
    <cellStyle name="40% - Accent3 4 3 6" xfId="6379"/>
    <cellStyle name="40% - Accent3 4 3 7" xfId="6380"/>
    <cellStyle name="40% - Accent3 4 3 8" xfId="6381"/>
    <cellStyle name="40% - Accent3 4 3 9" xfId="6382"/>
    <cellStyle name="40% - Accent3 4 4" xfId="6383"/>
    <cellStyle name="40% - Accent3 4 5" xfId="6384"/>
    <cellStyle name="40% - Accent3 4 6" xfId="6385"/>
    <cellStyle name="40% - Accent3 4 7" xfId="6386"/>
    <cellStyle name="40% - Accent3 4 8" xfId="6387"/>
    <cellStyle name="40% - Accent3 4 9" xfId="6388"/>
    <cellStyle name="40% - Accent3 5" xfId="218"/>
    <cellStyle name="40% - Accent3 5 2" xfId="6389"/>
    <cellStyle name="40% - Accent3 5 3" xfId="6390"/>
    <cellStyle name="40% - Accent3 5 4" xfId="6391"/>
    <cellStyle name="40% - Accent3 5 5" xfId="6392"/>
    <cellStyle name="40% - Accent3 5 6" xfId="6393"/>
    <cellStyle name="40% - Accent3 5 7" xfId="6394"/>
    <cellStyle name="40% - Accent3 5 8" xfId="6395"/>
    <cellStyle name="40% - Accent3 5 9" xfId="6396"/>
    <cellStyle name="40% - Accent3 6" xfId="6397"/>
    <cellStyle name="40% - Accent3 7" xfId="6398"/>
    <cellStyle name="40% - Accent3 8" xfId="6399"/>
    <cellStyle name="40% - Accent3 9" xfId="6400"/>
    <cellStyle name="40% - Accent4" xfId="219"/>
    <cellStyle name="40% - Accent4 10" xfId="6401"/>
    <cellStyle name="40% - Accent4 11" xfId="6402"/>
    <cellStyle name="40% - Accent4 12" xfId="6403"/>
    <cellStyle name="40% - Accent4 2" xfId="220"/>
    <cellStyle name="40% - Accent4 2 10" xfId="6404"/>
    <cellStyle name="40% - Accent4 2 11" xfId="6405"/>
    <cellStyle name="40% - Accent4 2 12" xfId="6406"/>
    <cellStyle name="40% - Accent4 2 2" xfId="221"/>
    <cellStyle name="40% - Accent4 2 2 2" xfId="6407"/>
    <cellStyle name="40% - Accent4 2 2 3" xfId="6408"/>
    <cellStyle name="40% - Accent4 2 2 4" xfId="6409"/>
    <cellStyle name="40% - Accent4 2 2 5" xfId="6410"/>
    <cellStyle name="40% - Accent4 2 2 6" xfId="6411"/>
    <cellStyle name="40% - Accent4 2 2 7" xfId="6412"/>
    <cellStyle name="40% - Accent4 2 2 8" xfId="6413"/>
    <cellStyle name="40% - Accent4 2 2 9" xfId="6414"/>
    <cellStyle name="40% - Accent4 2 3" xfId="222"/>
    <cellStyle name="40% - Accent4 2 3 2" xfId="6415"/>
    <cellStyle name="40% - Accent4 2 3 3" xfId="6416"/>
    <cellStyle name="40% - Accent4 2 3 4" xfId="6417"/>
    <cellStyle name="40% - Accent4 2 3 5" xfId="6418"/>
    <cellStyle name="40% - Accent4 2 3 6" xfId="6419"/>
    <cellStyle name="40% - Accent4 2 3 7" xfId="6420"/>
    <cellStyle name="40% - Accent4 2 3 8" xfId="6421"/>
    <cellStyle name="40% - Accent4 2 3 9" xfId="6422"/>
    <cellStyle name="40% - Accent4 2 4" xfId="223"/>
    <cellStyle name="40% - Accent4 2 4 2" xfId="6423"/>
    <cellStyle name="40% - Accent4 2 4 3" xfId="6424"/>
    <cellStyle name="40% - Accent4 2 4 4" xfId="6425"/>
    <cellStyle name="40% - Accent4 2 4 5" xfId="6426"/>
    <cellStyle name="40% - Accent4 2 4 6" xfId="6427"/>
    <cellStyle name="40% - Accent4 2 4 7" xfId="6428"/>
    <cellStyle name="40% - Accent4 2 4 8" xfId="6429"/>
    <cellStyle name="40% - Accent4 2 4 9" xfId="6430"/>
    <cellStyle name="40% - Accent4 2 5" xfId="6431"/>
    <cellStyle name="40% - Accent4 2 6" xfId="6432"/>
    <cellStyle name="40% - Accent4 2 7" xfId="6433"/>
    <cellStyle name="40% - Accent4 2 8" xfId="6434"/>
    <cellStyle name="40% - Accent4 2 9" xfId="6435"/>
    <cellStyle name="40% - Accent4 3" xfId="224"/>
    <cellStyle name="40% - Accent4 3 10" xfId="6436"/>
    <cellStyle name="40% - Accent4 3 11" xfId="6437"/>
    <cellStyle name="40% - Accent4 3 2" xfId="225"/>
    <cellStyle name="40% - Accent4 3 2 2" xfId="6438"/>
    <cellStyle name="40% - Accent4 3 2 3" xfId="6439"/>
    <cellStyle name="40% - Accent4 3 2 4" xfId="6440"/>
    <cellStyle name="40% - Accent4 3 2 5" xfId="6441"/>
    <cellStyle name="40% - Accent4 3 2 6" xfId="6442"/>
    <cellStyle name="40% - Accent4 3 2 7" xfId="6443"/>
    <cellStyle name="40% - Accent4 3 2 8" xfId="6444"/>
    <cellStyle name="40% - Accent4 3 2 9" xfId="6445"/>
    <cellStyle name="40% - Accent4 3 3" xfId="226"/>
    <cellStyle name="40% - Accent4 3 3 2" xfId="6446"/>
    <cellStyle name="40% - Accent4 3 3 3" xfId="6447"/>
    <cellStyle name="40% - Accent4 3 3 4" xfId="6448"/>
    <cellStyle name="40% - Accent4 3 3 5" xfId="6449"/>
    <cellStyle name="40% - Accent4 3 3 6" xfId="6450"/>
    <cellStyle name="40% - Accent4 3 3 7" xfId="6451"/>
    <cellStyle name="40% - Accent4 3 3 8" xfId="6452"/>
    <cellStyle name="40% - Accent4 3 3 9" xfId="6453"/>
    <cellStyle name="40% - Accent4 3 4" xfId="6454"/>
    <cellStyle name="40% - Accent4 3 5" xfId="6455"/>
    <cellStyle name="40% - Accent4 3 6" xfId="6456"/>
    <cellStyle name="40% - Accent4 3 7" xfId="6457"/>
    <cellStyle name="40% - Accent4 3 8" xfId="6458"/>
    <cellStyle name="40% - Accent4 3 9" xfId="6459"/>
    <cellStyle name="40% - Accent4 4" xfId="227"/>
    <cellStyle name="40% - Accent4 4 2" xfId="6460"/>
    <cellStyle name="40% - Accent4 4 3" xfId="6461"/>
    <cellStyle name="40% - Accent4 4 4" xfId="6462"/>
    <cellStyle name="40% - Accent4 4 5" xfId="6463"/>
    <cellStyle name="40% - Accent4 4 6" xfId="6464"/>
    <cellStyle name="40% - Accent4 4 7" xfId="6465"/>
    <cellStyle name="40% - Accent4 4 8" xfId="6466"/>
    <cellStyle name="40% - Accent4 4 9" xfId="6467"/>
    <cellStyle name="40% - Accent4 5" xfId="6468"/>
    <cellStyle name="40% - Accent4 6" xfId="6469"/>
    <cellStyle name="40% - Accent4 7" xfId="6470"/>
    <cellStyle name="40% - Accent4 8" xfId="6471"/>
    <cellStyle name="40% - Accent4 9" xfId="6472"/>
    <cellStyle name="40% - Accent5" xfId="228"/>
    <cellStyle name="40% - Accent5 10" xfId="6473"/>
    <cellStyle name="40% - Accent5 11" xfId="6474"/>
    <cellStyle name="40% - Accent5 12" xfId="6475"/>
    <cellStyle name="40% - Accent5 2" xfId="229"/>
    <cellStyle name="40% - Accent5 2 10" xfId="6476"/>
    <cellStyle name="40% - Accent5 2 11" xfId="6477"/>
    <cellStyle name="40% - Accent5 2 12" xfId="6478"/>
    <cellStyle name="40% - Accent5 2 2" xfId="230"/>
    <cellStyle name="40% - Accent5 2 2 2" xfId="6479"/>
    <cellStyle name="40% - Accent5 2 2 3" xfId="6480"/>
    <cellStyle name="40% - Accent5 2 2 4" xfId="6481"/>
    <cellStyle name="40% - Accent5 2 2 5" xfId="6482"/>
    <cellStyle name="40% - Accent5 2 2 6" xfId="6483"/>
    <cellStyle name="40% - Accent5 2 2 7" xfId="6484"/>
    <cellStyle name="40% - Accent5 2 2 8" xfId="6485"/>
    <cellStyle name="40% - Accent5 2 2 9" xfId="6486"/>
    <cellStyle name="40% - Accent5 2 3" xfId="231"/>
    <cellStyle name="40% - Accent5 2 3 2" xfId="6487"/>
    <cellStyle name="40% - Accent5 2 3 3" xfId="6488"/>
    <cellStyle name="40% - Accent5 2 3 4" xfId="6489"/>
    <cellStyle name="40% - Accent5 2 3 5" xfId="6490"/>
    <cellStyle name="40% - Accent5 2 3 6" xfId="6491"/>
    <cellStyle name="40% - Accent5 2 3 7" xfId="6492"/>
    <cellStyle name="40% - Accent5 2 3 8" xfId="6493"/>
    <cellStyle name="40% - Accent5 2 3 9" xfId="6494"/>
    <cellStyle name="40% - Accent5 2 4" xfId="232"/>
    <cellStyle name="40% - Accent5 2 4 2" xfId="6495"/>
    <cellStyle name="40% - Accent5 2 4 3" xfId="6496"/>
    <cellStyle name="40% - Accent5 2 4 4" xfId="6497"/>
    <cellStyle name="40% - Accent5 2 4 5" xfId="6498"/>
    <cellStyle name="40% - Accent5 2 4 6" xfId="6499"/>
    <cellStyle name="40% - Accent5 2 4 7" xfId="6500"/>
    <cellStyle name="40% - Accent5 2 4 8" xfId="6501"/>
    <cellStyle name="40% - Accent5 2 4 9" xfId="6502"/>
    <cellStyle name="40% - Accent5 2 5" xfId="6503"/>
    <cellStyle name="40% - Accent5 2 6" xfId="6504"/>
    <cellStyle name="40% - Accent5 2 7" xfId="6505"/>
    <cellStyle name="40% - Accent5 2 8" xfId="6506"/>
    <cellStyle name="40% - Accent5 2 9" xfId="6507"/>
    <cellStyle name="40% - Accent5 3" xfId="233"/>
    <cellStyle name="40% - Accent5 3 10" xfId="6508"/>
    <cellStyle name="40% - Accent5 3 11" xfId="6509"/>
    <cellStyle name="40% - Accent5 3 2" xfId="234"/>
    <cellStyle name="40% - Accent5 3 2 2" xfId="6510"/>
    <cellStyle name="40% - Accent5 3 2 3" xfId="6511"/>
    <cellStyle name="40% - Accent5 3 2 4" xfId="6512"/>
    <cellStyle name="40% - Accent5 3 2 5" xfId="6513"/>
    <cellStyle name="40% - Accent5 3 2 6" xfId="6514"/>
    <cellStyle name="40% - Accent5 3 2 7" xfId="6515"/>
    <cellStyle name="40% - Accent5 3 2 8" xfId="6516"/>
    <cellStyle name="40% - Accent5 3 2 9" xfId="6517"/>
    <cellStyle name="40% - Accent5 3 3" xfId="235"/>
    <cellStyle name="40% - Accent5 3 3 2" xfId="6518"/>
    <cellStyle name="40% - Accent5 3 3 3" xfId="6519"/>
    <cellStyle name="40% - Accent5 3 3 4" xfId="6520"/>
    <cellStyle name="40% - Accent5 3 3 5" xfId="6521"/>
    <cellStyle name="40% - Accent5 3 3 6" xfId="6522"/>
    <cellStyle name="40% - Accent5 3 3 7" xfId="6523"/>
    <cellStyle name="40% - Accent5 3 3 8" xfId="6524"/>
    <cellStyle name="40% - Accent5 3 3 9" xfId="6525"/>
    <cellStyle name="40% - Accent5 3 4" xfId="6526"/>
    <cellStyle name="40% - Accent5 3 5" xfId="6527"/>
    <cellStyle name="40% - Accent5 3 6" xfId="6528"/>
    <cellStyle name="40% - Accent5 3 7" xfId="6529"/>
    <cellStyle name="40% - Accent5 3 8" xfId="6530"/>
    <cellStyle name="40% - Accent5 3 9" xfId="6531"/>
    <cellStyle name="40% - Accent5 4" xfId="236"/>
    <cellStyle name="40% - Accent5 4 2" xfId="6532"/>
    <cellStyle name="40% - Accent5 4 3" xfId="6533"/>
    <cellStyle name="40% - Accent5 4 4" xfId="6534"/>
    <cellStyle name="40% - Accent5 4 5" xfId="6535"/>
    <cellStyle name="40% - Accent5 4 6" xfId="6536"/>
    <cellStyle name="40% - Accent5 4 7" xfId="6537"/>
    <cellStyle name="40% - Accent5 4 8" xfId="6538"/>
    <cellStyle name="40% - Accent5 4 9" xfId="6539"/>
    <cellStyle name="40% - Accent5 5" xfId="6540"/>
    <cellStyle name="40% - Accent5 6" xfId="6541"/>
    <cellStyle name="40% - Accent5 7" xfId="6542"/>
    <cellStyle name="40% - Accent5 8" xfId="6543"/>
    <cellStyle name="40% - Accent5 9" xfId="6544"/>
    <cellStyle name="40% - Accent6" xfId="237"/>
    <cellStyle name="40% - Accent6 10" xfId="6545"/>
    <cellStyle name="40% - Accent6 11" xfId="6546"/>
    <cellStyle name="40% - Accent6 12" xfId="6547"/>
    <cellStyle name="40% - Accent6 2" xfId="238"/>
    <cellStyle name="40% - Accent6 2 10" xfId="6548"/>
    <cellStyle name="40% - Accent6 2 11" xfId="6549"/>
    <cellStyle name="40% - Accent6 2 12" xfId="6550"/>
    <cellStyle name="40% - Accent6 2 2" xfId="239"/>
    <cellStyle name="40% - Accent6 2 2 2" xfId="6551"/>
    <cellStyle name="40% - Accent6 2 2 3" xfId="6552"/>
    <cellStyle name="40% - Accent6 2 2 4" xfId="6553"/>
    <cellStyle name="40% - Accent6 2 2 5" xfId="6554"/>
    <cellStyle name="40% - Accent6 2 2 6" xfId="6555"/>
    <cellStyle name="40% - Accent6 2 2 7" xfId="6556"/>
    <cellStyle name="40% - Accent6 2 2 8" xfId="6557"/>
    <cellStyle name="40% - Accent6 2 2 9" xfId="6558"/>
    <cellStyle name="40% - Accent6 2 3" xfId="240"/>
    <cellStyle name="40% - Accent6 2 3 2" xfId="6559"/>
    <cellStyle name="40% - Accent6 2 3 3" xfId="6560"/>
    <cellStyle name="40% - Accent6 2 3 4" xfId="6561"/>
    <cellStyle name="40% - Accent6 2 3 5" xfId="6562"/>
    <cellStyle name="40% - Accent6 2 3 6" xfId="6563"/>
    <cellStyle name="40% - Accent6 2 3 7" xfId="6564"/>
    <cellStyle name="40% - Accent6 2 3 8" xfId="6565"/>
    <cellStyle name="40% - Accent6 2 3 9" xfId="6566"/>
    <cellStyle name="40% - Accent6 2 4" xfId="241"/>
    <cellStyle name="40% - Accent6 2 4 2" xfId="6567"/>
    <cellStyle name="40% - Accent6 2 4 3" xfId="6568"/>
    <cellStyle name="40% - Accent6 2 4 4" xfId="6569"/>
    <cellStyle name="40% - Accent6 2 4 5" xfId="6570"/>
    <cellStyle name="40% - Accent6 2 4 6" xfId="6571"/>
    <cellStyle name="40% - Accent6 2 4 7" xfId="6572"/>
    <cellStyle name="40% - Accent6 2 4 8" xfId="6573"/>
    <cellStyle name="40% - Accent6 2 4 9" xfId="6574"/>
    <cellStyle name="40% - Accent6 2 5" xfId="6575"/>
    <cellStyle name="40% - Accent6 2 6" xfId="6576"/>
    <cellStyle name="40% - Accent6 2 7" xfId="6577"/>
    <cellStyle name="40% - Accent6 2 8" xfId="6578"/>
    <cellStyle name="40% - Accent6 2 9" xfId="6579"/>
    <cellStyle name="40% - Accent6 3" xfId="242"/>
    <cellStyle name="40% - Accent6 3 10" xfId="6580"/>
    <cellStyle name="40% - Accent6 3 11" xfId="6581"/>
    <cellStyle name="40% - Accent6 3 2" xfId="243"/>
    <cellStyle name="40% - Accent6 3 2 2" xfId="6582"/>
    <cellStyle name="40% - Accent6 3 2 3" xfId="6583"/>
    <cellStyle name="40% - Accent6 3 2 4" xfId="6584"/>
    <cellStyle name="40% - Accent6 3 2 5" xfId="6585"/>
    <cellStyle name="40% - Accent6 3 2 6" xfId="6586"/>
    <cellStyle name="40% - Accent6 3 2 7" xfId="6587"/>
    <cellStyle name="40% - Accent6 3 2 8" xfId="6588"/>
    <cellStyle name="40% - Accent6 3 2 9" xfId="6589"/>
    <cellStyle name="40% - Accent6 3 3" xfId="244"/>
    <cellStyle name="40% - Accent6 3 3 2" xfId="6590"/>
    <cellStyle name="40% - Accent6 3 3 3" xfId="6591"/>
    <cellStyle name="40% - Accent6 3 3 4" xfId="6592"/>
    <cellStyle name="40% - Accent6 3 3 5" xfId="6593"/>
    <cellStyle name="40% - Accent6 3 3 6" xfId="6594"/>
    <cellStyle name="40% - Accent6 3 3 7" xfId="6595"/>
    <cellStyle name="40% - Accent6 3 3 8" xfId="6596"/>
    <cellStyle name="40% - Accent6 3 3 9" xfId="6597"/>
    <cellStyle name="40% - Accent6 3 4" xfId="6598"/>
    <cellStyle name="40% - Accent6 3 5" xfId="6599"/>
    <cellStyle name="40% - Accent6 3 6" xfId="6600"/>
    <cellStyle name="40% - Accent6 3 7" xfId="6601"/>
    <cellStyle name="40% - Accent6 3 8" xfId="6602"/>
    <cellStyle name="40% - Accent6 3 9" xfId="6603"/>
    <cellStyle name="40% - Accent6 4" xfId="245"/>
    <cellStyle name="40% - Accent6 4 2" xfId="6604"/>
    <cellStyle name="40% - Accent6 4 3" xfId="6605"/>
    <cellStyle name="40% - Accent6 4 4" xfId="6606"/>
    <cellStyle name="40% - Accent6 4 5" xfId="6607"/>
    <cellStyle name="40% - Accent6 4 6" xfId="6608"/>
    <cellStyle name="40% - Accent6 4 7" xfId="6609"/>
    <cellStyle name="40% - Accent6 4 8" xfId="6610"/>
    <cellStyle name="40% - Accent6 4 9" xfId="6611"/>
    <cellStyle name="40% - Accent6 5" xfId="6612"/>
    <cellStyle name="40% - Accent6 6" xfId="6613"/>
    <cellStyle name="40% - Accent6 7" xfId="6614"/>
    <cellStyle name="40% - Accent6 8" xfId="6615"/>
    <cellStyle name="40% - Accent6 9" xfId="6616"/>
    <cellStyle name="40% - Акцент1 2" xfId="246"/>
    <cellStyle name="40% - Акцент1 2 2" xfId="247"/>
    <cellStyle name="40% - Акцент1 2 2 2" xfId="248"/>
    <cellStyle name="40% - Акцент1 2 2 2 2" xfId="249"/>
    <cellStyle name="40% - Акцент1 2 2 2 3" xfId="250"/>
    <cellStyle name="40% - Акцент1 2 2 3" xfId="251"/>
    <cellStyle name="40% - Акцент1 2 2 4" xfId="252"/>
    <cellStyle name="40% - Акцент1 2 2 4 2" xfId="6617"/>
    <cellStyle name="40% - Акцент1 2 2 4 3" xfId="6618"/>
    <cellStyle name="40% - Акцент1 2 2 4 4" xfId="6619"/>
    <cellStyle name="40% - Акцент1 2 2 4 5" xfId="6620"/>
    <cellStyle name="40% - Акцент1 2 2 5" xfId="6621"/>
    <cellStyle name="40% - Акцент1 2 2 6" xfId="6622"/>
    <cellStyle name="40% - Акцент1 2 2 7" xfId="6623"/>
    <cellStyle name="40% - Акцент1 2 2 8" xfId="6624"/>
    <cellStyle name="40% - Акцент1 2 3" xfId="253"/>
    <cellStyle name="40% - Акцент1 2 3 2" xfId="254"/>
    <cellStyle name="40% - Акцент1 2 3 3" xfId="255"/>
    <cellStyle name="40% - Акцент1 2 4" xfId="256"/>
    <cellStyle name="40% - Акцент1 2 5" xfId="257"/>
    <cellStyle name="40% - Акцент1 2 5 2" xfId="6625"/>
    <cellStyle name="40% - Акцент1 2 5 3" xfId="6626"/>
    <cellStyle name="40% - Акцент1 2 5 4" xfId="6627"/>
    <cellStyle name="40% - Акцент1 2 5 5" xfId="6628"/>
    <cellStyle name="40% - Акцент1 2 6" xfId="6629"/>
    <cellStyle name="40% - Акцент1 2 7" xfId="6630"/>
    <cellStyle name="40% - Акцент1 2 8" xfId="6631"/>
    <cellStyle name="40% - Акцент1 2 9" xfId="6632"/>
    <cellStyle name="40% - Акцент1 2_Расчет программы" xfId="258"/>
    <cellStyle name="40% - Акцент2 2" xfId="259"/>
    <cellStyle name="40% - Акцент2 2 2" xfId="260"/>
    <cellStyle name="40% - Акцент2 2 2 2" xfId="261"/>
    <cellStyle name="40% - Акцент2 2 2 2 2" xfId="262"/>
    <cellStyle name="40% - Акцент2 2 2 2 3" xfId="263"/>
    <cellStyle name="40% - Акцент2 2 2 3" xfId="264"/>
    <cellStyle name="40% - Акцент2 2 2 4" xfId="265"/>
    <cellStyle name="40% - Акцент2 2 2 4 2" xfId="6633"/>
    <cellStyle name="40% - Акцент2 2 2 4 3" xfId="6634"/>
    <cellStyle name="40% - Акцент2 2 2 4 4" xfId="6635"/>
    <cellStyle name="40% - Акцент2 2 2 4 5" xfId="6636"/>
    <cellStyle name="40% - Акцент2 2 2 5" xfId="6637"/>
    <cellStyle name="40% - Акцент2 2 2 6" xfId="6638"/>
    <cellStyle name="40% - Акцент2 2 2 7" xfId="6639"/>
    <cellStyle name="40% - Акцент2 2 2 8" xfId="6640"/>
    <cellStyle name="40% - Акцент2 2 3" xfId="266"/>
    <cellStyle name="40% - Акцент2 2 3 2" xfId="267"/>
    <cellStyle name="40% - Акцент2 2 3 3" xfId="268"/>
    <cellStyle name="40% - Акцент2 2 4" xfId="269"/>
    <cellStyle name="40% - Акцент2 2 5" xfId="270"/>
    <cellStyle name="40% - Акцент2 2 5 2" xfId="6641"/>
    <cellStyle name="40% - Акцент2 2 5 3" xfId="6642"/>
    <cellStyle name="40% - Акцент2 2 5 4" xfId="6643"/>
    <cellStyle name="40% - Акцент2 2 5 5" xfId="6644"/>
    <cellStyle name="40% - Акцент2 2 6" xfId="6645"/>
    <cellStyle name="40% - Акцент2 2 7" xfId="6646"/>
    <cellStyle name="40% - Акцент2 2 8" xfId="6647"/>
    <cellStyle name="40% - Акцент2 2 9" xfId="6648"/>
    <cellStyle name="40% - Акцент2 2_Расчет программы" xfId="271"/>
    <cellStyle name="40% - Акцент3 2" xfId="272"/>
    <cellStyle name="40% - Акцент3 2 2" xfId="273"/>
    <cellStyle name="40% - Акцент3 2 2 2" xfId="274"/>
    <cellStyle name="40% - Акцент3 2 2 2 2" xfId="275"/>
    <cellStyle name="40% - Акцент3 2 2 2 3" xfId="276"/>
    <cellStyle name="40% - Акцент3 2 2 3" xfId="277"/>
    <cellStyle name="40% - Акцент3 2 2 4" xfId="278"/>
    <cellStyle name="40% - Акцент3 2 2 4 2" xfId="6649"/>
    <cellStyle name="40% - Акцент3 2 2 4 3" xfId="6650"/>
    <cellStyle name="40% - Акцент3 2 2 4 4" xfId="6651"/>
    <cellStyle name="40% - Акцент3 2 2 4 5" xfId="6652"/>
    <cellStyle name="40% - Акцент3 2 2 5" xfId="6653"/>
    <cellStyle name="40% - Акцент3 2 2 6" xfId="6654"/>
    <cellStyle name="40% - Акцент3 2 2 7" xfId="6655"/>
    <cellStyle name="40% - Акцент3 2 2 8" xfId="6656"/>
    <cellStyle name="40% - Акцент3 2 3" xfId="279"/>
    <cellStyle name="40% - Акцент3 2 3 2" xfId="280"/>
    <cellStyle name="40% - Акцент3 2 3 3" xfId="281"/>
    <cellStyle name="40% - Акцент3 2 4" xfId="282"/>
    <cellStyle name="40% - Акцент3 2 5" xfId="283"/>
    <cellStyle name="40% - Акцент3 2 5 2" xfId="6657"/>
    <cellStyle name="40% - Акцент3 2 5 3" xfId="6658"/>
    <cellStyle name="40% - Акцент3 2 5 4" xfId="6659"/>
    <cellStyle name="40% - Акцент3 2 5 5" xfId="6660"/>
    <cellStyle name="40% - Акцент3 2 6" xfId="6661"/>
    <cellStyle name="40% - Акцент3 2 7" xfId="6662"/>
    <cellStyle name="40% - Акцент3 2 8" xfId="6663"/>
    <cellStyle name="40% - Акцент3 2 9" xfId="6664"/>
    <cellStyle name="40% - Акцент3 2_Расчет программы" xfId="284"/>
    <cellStyle name="40% - Акцент4 2" xfId="285"/>
    <cellStyle name="40% - Акцент4 2 2" xfId="286"/>
    <cellStyle name="40% - Акцент4 2 2 2" xfId="287"/>
    <cellStyle name="40% - Акцент4 2 2 2 2" xfId="288"/>
    <cellStyle name="40% - Акцент4 2 2 2 3" xfId="289"/>
    <cellStyle name="40% - Акцент4 2 2 3" xfId="290"/>
    <cellStyle name="40% - Акцент4 2 2 4" xfId="291"/>
    <cellStyle name="40% - Акцент4 2 2 4 2" xfId="6665"/>
    <cellStyle name="40% - Акцент4 2 2 4 3" xfId="6666"/>
    <cellStyle name="40% - Акцент4 2 2 4 4" xfId="6667"/>
    <cellStyle name="40% - Акцент4 2 2 4 5" xfId="6668"/>
    <cellStyle name="40% - Акцент4 2 2 5" xfId="6669"/>
    <cellStyle name="40% - Акцент4 2 2 6" xfId="6670"/>
    <cellStyle name="40% - Акцент4 2 2 7" xfId="6671"/>
    <cellStyle name="40% - Акцент4 2 2 8" xfId="6672"/>
    <cellStyle name="40% - Акцент4 2 3" xfId="292"/>
    <cellStyle name="40% - Акцент4 2 3 2" xfId="293"/>
    <cellStyle name="40% - Акцент4 2 3 3" xfId="294"/>
    <cellStyle name="40% - Акцент4 2 4" xfId="295"/>
    <cellStyle name="40% - Акцент4 2 5" xfId="296"/>
    <cellStyle name="40% - Акцент4 2 5 2" xfId="6673"/>
    <cellStyle name="40% - Акцент4 2 5 3" xfId="6674"/>
    <cellStyle name="40% - Акцент4 2 5 4" xfId="6675"/>
    <cellStyle name="40% - Акцент4 2 5 5" xfId="6676"/>
    <cellStyle name="40% - Акцент4 2 6" xfId="6677"/>
    <cellStyle name="40% - Акцент4 2 7" xfId="6678"/>
    <cellStyle name="40% - Акцент4 2 8" xfId="6679"/>
    <cellStyle name="40% - Акцент4 2 9" xfId="6680"/>
    <cellStyle name="40% - Акцент4 2_Расчет программы" xfId="297"/>
    <cellStyle name="40% - Акцент5 2" xfId="298"/>
    <cellStyle name="40% - Акцент5 2 2" xfId="299"/>
    <cellStyle name="40% - Акцент5 2 2 2" xfId="300"/>
    <cellStyle name="40% - Акцент5 2 2 2 2" xfId="301"/>
    <cellStyle name="40% - Акцент5 2 2 2 3" xfId="302"/>
    <cellStyle name="40% - Акцент5 2 2 3" xfId="303"/>
    <cellStyle name="40% - Акцент5 2 2 4" xfId="304"/>
    <cellStyle name="40% - Акцент5 2 2 4 2" xfId="6681"/>
    <cellStyle name="40% - Акцент5 2 2 4 3" xfId="6682"/>
    <cellStyle name="40% - Акцент5 2 2 4 4" xfId="6683"/>
    <cellStyle name="40% - Акцент5 2 2 4 5" xfId="6684"/>
    <cellStyle name="40% - Акцент5 2 2 5" xfId="6685"/>
    <cellStyle name="40% - Акцент5 2 2 6" xfId="6686"/>
    <cellStyle name="40% - Акцент5 2 2 7" xfId="6687"/>
    <cellStyle name="40% - Акцент5 2 2 8" xfId="6688"/>
    <cellStyle name="40% - Акцент5 2 3" xfId="305"/>
    <cellStyle name="40% - Акцент5 2 3 2" xfId="306"/>
    <cellStyle name="40% - Акцент5 2 3 3" xfId="307"/>
    <cellStyle name="40% - Акцент5 2 4" xfId="308"/>
    <cellStyle name="40% - Акцент5 2 5" xfId="309"/>
    <cellStyle name="40% - Акцент5 2 5 2" xfId="6689"/>
    <cellStyle name="40% - Акцент5 2 5 3" xfId="6690"/>
    <cellStyle name="40% - Акцент5 2 5 4" xfId="6691"/>
    <cellStyle name="40% - Акцент5 2 5 5" xfId="6692"/>
    <cellStyle name="40% - Акцент5 2 6" xfId="6693"/>
    <cellStyle name="40% - Акцент5 2 7" xfId="6694"/>
    <cellStyle name="40% - Акцент5 2 8" xfId="6695"/>
    <cellStyle name="40% - Акцент5 2 9" xfId="6696"/>
    <cellStyle name="40% - Акцент5 2_Расчет программы" xfId="310"/>
    <cellStyle name="40% - Акцент6 2" xfId="311"/>
    <cellStyle name="40% - Акцент6 2 2" xfId="312"/>
    <cellStyle name="40% - Акцент6 2 2 2" xfId="313"/>
    <cellStyle name="40% - Акцент6 2 2 2 2" xfId="314"/>
    <cellStyle name="40% - Акцент6 2 2 2 3" xfId="315"/>
    <cellStyle name="40% - Акцент6 2 2 3" xfId="316"/>
    <cellStyle name="40% - Акцент6 2 2 4" xfId="317"/>
    <cellStyle name="40% - Акцент6 2 2 4 2" xfId="6697"/>
    <cellStyle name="40% - Акцент6 2 2 4 3" xfId="6698"/>
    <cellStyle name="40% - Акцент6 2 2 4 4" xfId="6699"/>
    <cellStyle name="40% - Акцент6 2 2 4 5" xfId="6700"/>
    <cellStyle name="40% - Акцент6 2 2 5" xfId="6701"/>
    <cellStyle name="40% - Акцент6 2 2 6" xfId="6702"/>
    <cellStyle name="40% - Акцент6 2 2 7" xfId="6703"/>
    <cellStyle name="40% - Акцент6 2 2 8" xfId="6704"/>
    <cellStyle name="40% - Акцент6 2 3" xfId="318"/>
    <cellStyle name="40% - Акцент6 2 3 2" xfId="319"/>
    <cellStyle name="40% - Акцент6 2 3 3" xfId="320"/>
    <cellStyle name="40% - Акцент6 2 4" xfId="321"/>
    <cellStyle name="40% - Акцент6 2 5" xfId="322"/>
    <cellStyle name="40% - Акцент6 2 5 2" xfId="6705"/>
    <cellStyle name="40% - Акцент6 2 5 3" xfId="6706"/>
    <cellStyle name="40% - Акцент6 2 5 4" xfId="6707"/>
    <cellStyle name="40% - Акцент6 2 5 5" xfId="6708"/>
    <cellStyle name="40% - Акцент6 2 6" xfId="6709"/>
    <cellStyle name="40% - Акцент6 2 7" xfId="6710"/>
    <cellStyle name="40% - Акцент6 2 8" xfId="6711"/>
    <cellStyle name="40% - Акцент6 2 9" xfId="6712"/>
    <cellStyle name="40% - Акцент6 2_Расчет программы" xfId="323"/>
    <cellStyle name="60% - Accent1" xfId="324"/>
    <cellStyle name="60% - Accent1 2" xfId="325"/>
    <cellStyle name="60% - Accent1 2 2" xfId="326"/>
    <cellStyle name="60% - Accent1 2 2 2" xfId="6713"/>
    <cellStyle name="60% - Accent1 2 2 3" xfId="6714"/>
    <cellStyle name="60% - Accent1 2 2 4" xfId="6715"/>
    <cellStyle name="60% - Accent1 2 2 5" xfId="6716"/>
    <cellStyle name="60% - Accent1 2 2 6" xfId="6717"/>
    <cellStyle name="60% - Accent1 2 3" xfId="327"/>
    <cellStyle name="60% - Accent1 2 3 2" xfId="6718"/>
    <cellStyle name="60% - Accent1 2 3 3" xfId="6719"/>
    <cellStyle name="60% - Accent1 2 3 4" xfId="6720"/>
    <cellStyle name="60% - Accent1 2 3 5" xfId="6721"/>
    <cellStyle name="60% - Accent1 2 3 6" xfId="6722"/>
    <cellStyle name="60% - Accent1 2 4" xfId="6723"/>
    <cellStyle name="60% - Accent1 2 5" xfId="6724"/>
    <cellStyle name="60% - Accent1 2 6" xfId="6725"/>
    <cellStyle name="60% - Accent1 2 7" xfId="6726"/>
    <cellStyle name="60% - Accent1 2 8" xfId="6727"/>
    <cellStyle name="60% - Accent1 3" xfId="328"/>
    <cellStyle name="60% - Accent1 3 2" xfId="6728"/>
    <cellStyle name="60% - Accent1 3 3" xfId="6729"/>
    <cellStyle name="60% - Accent1 3 4" xfId="6730"/>
    <cellStyle name="60% - Accent1 3 5" xfId="6731"/>
    <cellStyle name="60% - Accent1 3 6" xfId="6732"/>
    <cellStyle name="60% - Accent1 4" xfId="329"/>
    <cellStyle name="60% - Accent1 4 2" xfId="6733"/>
    <cellStyle name="60% - Accent1 4 3" xfId="6734"/>
    <cellStyle name="60% - Accent1 4 4" xfId="6735"/>
    <cellStyle name="60% - Accent1 4 5" xfId="6736"/>
    <cellStyle name="60% - Accent1 5" xfId="6737"/>
    <cellStyle name="60% - Accent1 6" xfId="6738"/>
    <cellStyle name="60% - Accent1 7" xfId="6739"/>
    <cellStyle name="60% - Accent1 8" xfId="6740"/>
    <cellStyle name="60% - Accent2" xfId="330"/>
    <cellStyle name="60% - Accent2 2" xfId="331"/>
    <cellStyle name="60% - Accent2 2 2" xfId="332"/>
    <cellStyle name="60% - Accent2 2 2 2" xfId="6741"/>
    <cellStyle name="60% - Accent2 2 2 3" xfId="6742"/>
    <cellStyle name="60% - Accent2 2 2 4" xfId="6743"/>
    <cellStyle name="60% - Accent2 2 2 5" xfId="6744"/>
    <cellStyle name="60% - Accent2 2 2 6" xfId="6745"/>
    <cellStyle name="60% - Accent2 2 3" xfId="333"/>
    <cellStyle name="60% - Accent2 2 3 2" xfId="6746"/>
    <cellStyle name="60% - Accent2 2 3 3" xfId="6747"/>
    <cellStyle name="60% - Accent2 2 3 4" xfId="6748"/>
    <cellStyle name="60% - Accent2 2 3 5" xfId="6749"/>
    <cellStyle name="60% - Accent2 2 3 6" xfId="6750"/>
    <cellStyle name="60% - Accent2 2 4" xfId="6751"/>
    <cellStyle name="60% - Accent2 2 5" xfId="6752"/>
    <cellStyle name="60% - Accent2 2 6" xfId="6753"/>
    <cellStyle name="60% - Accent2 2 7" xfId="6754"/>
    <cellStyle name="60% - Accent2 2 8" xfId="6755"/>
    <cellStyle name="60% - Accent2 3" xfId="334"/>
    <cellStyle name="60% - Accent2 3 2" xfId="6756"/>
    <cellStyle name="60% - Accent2 3 3" xfId="6757"/>
    <cellStyle name="60% - Accent2 3 4" xfId="6758"/>
    <cellStyle name="60% - Accent2 3 5" xfId="6759"/>
    <cellStyle name="60% - Accent2 3 6" xfId="6760"/>
    <cellStyle name="60% - Accent2 4" xfId="335"/>
    <cellStyle name="60% - Accent2 4 2" xfId="6761"/>
    <cellStyle name="60% - Accent2 4 3" xfId="6762"/>
    <cellStyle name="60% - Accent2 4 4" xfId="6763"/>
    <cellStyle name="60% - Accent2 4 5" xfId="6764"/>
    <cellStyle name="60% - Accent2 5" xfId="6765"/>
    <cellStyle name="60% - Accent2 6" xfId="6766"/>
    <cellStyle name="60% - Accent2 7" xfId="6767"/>
    <cellStyle name="60% - Accent2 8" xfId="6768"/>
    <cellStyle name="60% - Accent3" xfId="336"/>
    <cellStyle name="60% - Accent3 2" xfId="337"/>
    <cellStyle name="60% - Accent3 2 2" xfId="338"/>
    <cellStyle name="60% - Accent3 2 2 2" xfId="6769"/>
    <cellStyle name="60% - Accent3 2 2 3" xfId="6770"/>
    <cellStyle name="60% - Accent3 2 2 4" xfId="6771"/>
    <cellStyle name="60% - Accent3 2 2 5" xfId="6772"/>
    <cellStyle name="60% - Accent3 2 2 6" xfId="6773"/>
    <cellStyle name="60% - Accent3 2 3" xfId="339"/>
    <cellStyle name="60% - Accent3 2 3 2" xfId="6774"/>
    <cellStyle name="60% - Accent3 2 3 3" xfId="6775"/>
    <cellStyle name="60% - Accent3 2 3 4" xfId="6776"/>
    <cellStyle name="60% - Accent3 2 3 5" xfId="6777"/>
    <cellStyle name="60% - Accent3 2 3 6" xfId="6778"/>
    <cellStyle name="60% - Accent3 2 4" xfId="6779"/>
    <cellStyle name="60% - Accent3 2 5" xfId="6780"/>
    <cellStyle name="60% - Accent3 2 6" xfId="6781"/>
    <cellStyle name="60% - Accent3 2 7" xfId="6782"/>
    <cellStyle name="60% - Accent3 2 8" xfId="6783"/>
    <cellStyle name="60% - Accent3 3" xfId="340"/>
    <cellStyle name="60% - Accent3 3 2" xfId="6784"/>
    <cellStyle name="60% - Accent3 3 3" xfId="6785"/>
    <cellStyle name="60% - Accent3 3 4" xfId="6786"/>
    <cellStyle name="60% - Accent3 3 5" xfId="6787"/>
    <cellStyle name="60% - Accent3 3 6" xfId="6788"/>
    <cellStyle name="60% - Accent3 4" xfId="341"/>
    <cellStyle name="60% - Accent3 4 2" xfId="6789"/>
    <cellStyle name="60% - Accent3 4 3" xfId="6790"/>
    <cellStyle name="60% - Accent3 4 4" xfId="6791"/>
    <cellStyle name="60% - Accent3 4 5" xfId="6792"/>
    <cellStyle name="60% - Accent3 5" xfId="6793"/>
    <cellStyle name="60% - Accent3 6" xfId="6794"/>
    <cellStyle name="60% - Accent3 7" xfId="6795"/>
    <cellStyle name="60% - Accent3 8" xfId="6796"/>
    <cellStyle name="60% - Accent4" xfId="342"/>
    <cellStyle name="60% - Accent4 2" xfId="343"/>
    <cellStyle name="60% - Accent4 2 2" xfId="344"/>
    <cellStyle name="60% - Accent4 2 2 2" xfId="6797"/>
    <cellStyle name="60% - Accent4 2 2 3" xfId="6798"/>
    <cellStyle name="60% - Accent4 2 2 4" xfId="6799"/>
    <cellStyle name="60% - Accent4 2 2 5" xfId="6800"/>
    <cellStyle name="60% - Accent4 2 2 6" xfId="6801"/>
    <cellStyle name="60% - Accent4 2 3" xfId="345"/>
    <cellStyle name="60% - Accent4 2 3 2" xfId="6802"/>
    <cellStyle name="60% - Accent4 2 3 3" xfId="6803"/>
    <cellStyle name="60% - Accent4 2 3 4" xfId="6804"/>
    <cellStyle name="60% - Accent4 2 3 5" xfId="6805"/>
    <cellStyle name="60% - Accent4 2 3 6" xfId="6806"/>
    <cellStyle name="60% - Accent4 2 4" xfId="6807"/>
    <cellStyle name="60% - Accent4 2 5" xfId="6808"/>
    <cellStyle name="60% - Accent4 2 6" xfId="6809"/>
    <cellStyle name="60% - Accent4 2 7" xfId="6810"/>
    <cellStyle name="60% - Accent4 2 8" xfId="6811"/>
    <cellStyle name="60% - Accent4 3" xfId="346"/>
    <cellStyle name="60% - Accent4 3 2" xfId="6812"/>
    <cellStyle name="60% - Accent4 3 3" xfId="6813"/>
    <cellStyle name="60% - Accent4 3 4" xfId="6814"/>
    <cellStyle name="60% - Accent4 3 5" xfId="6815"/>
    <cellStyle name="60% - Accent4 3 6" xfId="6816"/>
    <cellStyle name="60% - Accent4 4" xfId="347"/>
    <cellStyle name="60% - Accent4 4 2" xfId="6817"/>
    <cellStyle name="60% - Accent4 4 3" xfId="6818"/>
    <cellStyle name="60% - Accent4 4 4" xfId="6819"/>
    <cellStyle name="60% - Accent4 4 5" xfId="6820"/>
    <cellStyle name="60% - Accent4 5" xfId="6821"/>
    <cellStyle name="60% - Accent4 6" xfId="6822"/>
    <cellStyle name="60% - Accent4 7" xfId="6823"/>
    <cellStyle name="60% - Accent4 8" xfId="6824"/>
    <cellStyle name="60% - Accent5" xfId="348"/>
    <cellStyle name="60% - Accent5 2" xfId="349"/>
    <cellStyle name="60% - Accent5 2 2" xfId="350"/>
    <cellStyle name="60% - Accent5 2 2 2" xfId="6825"/>
    <cellStyle name="60% - Accent5 2 2 3" xfId="6826"/>
    <cellStyle name="60% - Accent5 2 2 4" xfId="6827"/>
    <cellStyle name="60% - Accent5 2 2 5" xfId="6828"/>
    <cellStyle name="60% - Accent5 2 2 6" xfId="6829"/>
    <cellStyle name="60% - Accent5 2 3" xfId="351"/>
    <cellStyle name="60% - Accent5 2 3 2" xfId="6830"/>
    <cellStyle name="60% - Accent5 2 3 3" xfId="6831"/>
    <cellStyle name="60% - Accent5 2 3 4" xfId="6832"/>
    <cellStyle name="60% - Accent5 2 3 5" xfId="6833"/>
    <cellStyle name="60% - Accent5 2 3 6" xfId="6834"/>
    <cellStyle name="60% - Accent5 2 4" xfId="6835"/>
    <cellStyle name="60% - Accent5 2 5" xfId="6836"/>
    <cellStyle name="60% - Accent5 2 6" xfId="6837"/>
    <cellStyle name="60% - Accent5 2 7" xfId="6838"/>
    <cellStyle name="60% - Accent5 2 8" xfId="6839"/>
    <cellStyle name="60% - Accent5 3" xfId="352"/>
    <cellStyle name="60% - Accent5 3 2" xfId="6840"/>
    <cellStyle name="60% - Accent5 3 3" xfId="6841"/>
    <cellStyle name="60% - Accent5 3 4" xfId="6842"/>
    <cellStyle name="60% - Accent5 3 5" xfId="6843"/>
    <cellStyle name="60% - Accent5 3 6" xfId="6844"/>
    <cellStyle name="60% - Accent5 4" xfId="353"/>
    <cellStyle name="60% - Accent5 4 2" xfId="6845"/>
    <cellStyle name="60% - Accent5 4 3" xfId="6846"/>
    <cellStyle name="60% - Accent5 4 4" xfId="6847"/>
    <cellStyle name="60% - Accent5 4 5" xfId="6848"/>
    <cellStyle name="60% - Accent5 5" xfId="6849"/>
    <cellStyle name="60% - Accent5 6" xfId="6850"/>
    <cellStyle name="60% - Accent5 7" xfId="6851"/>
    <cellStyle name="60% - Accent5 8" xfId="6852"/>
    <cellStyle name="60% - Accent6" xfId="354"/>
    <cellStyle name="60% - Accent6 2" xfId="355"/>
    <cellStyle name="60% - Accent6 2 2" xfId="356"/>
    <cellStyle name="60% - Accent6 2 2 2" xfId="6853"/>
    <cellStyle name="60% - Accent6 2 2 3" xfId="6854"/>
    <cellStyle name="60% - Accent6 2 2 4" xfId="6855"/>
    <cellStyle name="60% - Accent6 2 2 5" xfId="6856"/>
    <cellStyle name="60% - Accent6 2 2 6" xfId="6857"/>
    <cellStyle name="60% - Accent6 2 3" xfId="357"/>
    <cellStyle name="60% - Accent6 2 3 2" xfId="6858"/>
    <cellStyle name="60% - Accent6 2 3 3" xfId="6859"/>
    <cellStyle name="60% - Accent6 2 3 4" xfId="6860"/>
    <cellStyle name="60% - Accent6 2 3 5" xfId="6861"/>
    <cellStyle name="60% - Accent6 2 3 6" xfId="6862"/>
    <cellStyle name="60% - Accent6 2 4" xfId="6863"/>
    <cellStyle name="60% - Accent6 2 5" xfId="6864"/>
    <cellStyle name="60% - Accent6 2 6" xfId="6865"/>
    <cellStyle name="60% - Accent6 2 7" xfId="6866"/>
    <cellStyle name="60% - Accent6 2 8" xfId="6867"/>
    <cellStyle name="60% - Accent6 3" xfId="358"/>
    <cellStyle name="60% - Accent6 3 2" xfId="6868"/>
    <cellStyle name="60% - Accent6 3 3" xfId="6869"/>
    <cellStyle name="60% - Accent6 3 4" xfId="6870"/>
    <cellStyle name="60% - Accent6 3 5" xfId="6871"/>
    <cellStyle name="60% - Accent6 3 6" xfId="6872"/>
    <cellStyle name="60% - Accent6 4" xfId="359"/>
    <cellStyle name="60% - Accent6 4 2" xfId="6873"/>
    <cellStyle name="60% - Accent6 4 3" xfId="6874"/>
    <cellStyle name="60% - Accent6 4 4" xfId="6875"/>
    <cellStyle name="60% - Accent6 4 5" xfId="6876"/>
    <cellStyle name="60% - Accent6 5" xfId="6877"/>
    <cellStyle name="60% - Accent6 6" xfId="6878"/>
    <cellStyle name="60% - Accent6 7" xfId="6879"/>
    <cellStyle name="60% - Accent6 8" xfId="6880"/>
    <cellStyle name="60% - Акцент1 2" xfId="360"/>
    <cellStyle name="60% - Акцент1 2 2" xfId="361"/>
    <cellStyle name="60% - Акцент1 2 2 2" xfId="362"/>
    <cellStyle name="60% - Акцент1 2 2 3" xfId="363"/>
    <cellStyle name="60% - Акцент1 2 3" xfId="364"/>
    <cellStyle name="60% - Акцент1 2 4" xfId="365"/>
    <cellStyle name="60% - Акцент1 2 4 2" xfId="6881"/>
    <cellStyle name="60% - Акцент1 2 4 3" xfId="6882"/>
    <cellStyle name="60% - Акцент1 2 4 4" xfId="6883"/>
    <cellStyle name="60% - Акцент1 2 4 5" xfId="6884"/>
    <cellStyle name="60% - Акцент1 2 5" xfId="6885"/>
    <cellStyle name="60% - Акцент1 2 6" xfId="6886"/>
    <cellStyle name="60% - Акцент1 2 7" xfId="6887"/>
    <cellStyle name="60% - Акцент1 2 8" xfId="6888"/>
    <cellStyle name="60% - Акцент2 2" xfId="366"/>
    <cellStyle name="60% - Акцент2 2 2" xfId="367"/>
    <cellStyle name="60% - Акцент2 2 2 2" xfId="368"/>
    <cellStyle name="60% - Акцент2 2 2 3" xfId="369"/>
    <cellStyle name="60% - Акцент2 2 3" xfId="370"/>
    <cellStyle name="60% - Акцент2 2 4" xfId="371"/>
    <cellStyle name="60% - Акцент2 2 4 2" xfId="6889"/>
    <cellStyle name="60% - Акцент2 2 4 3" xfId="6890"/>
    <cellStyle name="60% - Акцент2 2 4 4" xfId="6891"/>
    <cellStyle name="60% - Акцент2 2 4 5" xfId="6892"/>
    <cellStyle name="60% - Акцент2 2 5" xfId="6893"/>
    <cellStyle name="60% - Акцент2 2 6" xfId="6894"/>
    <cellStyle name="60% - Акцент2 2 7" xfId="6895"/>
    <cellStyle name="60% - Акцент2 2 8" xfId="6896"/>
    <cellStyle name="60% - Акцент3 2" xfId="372"/>
    <cellStyle name="60% - Акцент3 2 2" xfId="373"/>
    <cellStyle name="60% - Акцент3 2 2 2" xfId="374"/>
    <cellStyle name="60% - Акцент3 2 2 3" xfId="375"/>
    <cellStyle name="60% - Акцент3 2 3" xfId="376"/>
    <cellStyle name="60% - Акцент3 2 4" xfId="377"/>
    <cellStyle name="60% - Акцент3 2 4 2" xfId="6897"/>
    <cellStyle name="60% - Акцент3 2 4 3" xfId="6898"/>
    <cellStyle name="60% - Акцент3 2 4 4" xfId="6899"/>
    <cellStyle name="60% - Акцент3 2 4 5" xfId="6900"/>
    <cellStyle name="60% - Акцент3 2 5" xfId="6901"/>
    <cellStyle name="60% - Акцент3 2 6" xfId="6902"/>
    <cellStyle name="60% - Акцент3 2 7" xfId="6903"/>
    <cellStyle name="60% - Акцент3 2 8" xfId="6904"/>
    <cellStyle name="60% - Акцент4 2" xfId="378"/>
    <cellStyle name="60% - Акцент4 2 10" xfId="6905"/>
    <cellStyle name="60% - Акцент4 2 11" xfId="6906"/>
    <cellStyle name="60% - Акцент4 2 12" xfId="6907"/>
    <cellStyle name="60% - Акцент4 2 13" xfId="6908"/>
    <cellStyle name="60% - Акцент4 2 14" xfId="6909"/>
    <cellStyle name="60% - Акцент4 2 15" xfId="6910"/>
    <cellStyle name="60% - Акцент4 2 16" xfId="6911"/>
    <cellStyle name="60% - Акцент4 2 17" xfId="6912"/>
    <cellStyle name="60% - Акцент4 2 2" xfId="379"/>
    <cellStyle name="60% - Акцент4 2 2 2" xfId="380"/>
    <cellStyle name="60% - Акцент4 2 2 3" xfId="381"/>
    <cellStyle name="60% - Акцент4 2 3" xfId="382"/>
    <cellStyle name="60% - Акцент4 2 4" xfId="383"/>
    <cellStyle name="60% - Акцент4 2 4 2" xfId="6913"/>
    <cellStyle name="60% - Акцент4 2 4 3" xfId="6914"/>
    <cellStyle name="60% - Акцент4 2 4 4" xfId="6915"/>
    <cellStyle name="60% - Акцент4 2 4 5" xfId="6916"/>
    <cellStyle name="60% - Акцент4 2 5" xfId="384"/>
    <cellStyle name="60% - Акцент4 2 5 2" xfId="6917"/>
    <cellStyle name="60% - Акцент4 2 5 3" xfId="6918"/>
    <cellStyle name="60% - Акцент4 2 5 4" xfId="6919"/>
    <cellStyle name="60% - Акцент4 2 5 5" xfId="6920"/>
    <cellStyle name="60% - Акцент4 2 6" xfId="385"/>
    <cellStyle name="60% - Акцент4 2 6 2" xfId="6921"/>
    <cellStyle name="60% - Акцент4 2 6 3" xfId="6922"/>
    <cellStyle name="60% - Акцент4 2 6 4" xfId="6923"/>
    <cellStyle name="60% - Акцент4 2 6 5" xfId="6924"/>
    <cellStyle name="60% - Акцент4 2 7" xfId="386"/>
    <cellStyle name="60% - Акцент4 2 7 2" xfId="6925"/>
    <cellStyle name="60% - Акцент4 2 7 3" xfId="6926"/>
    <cellStyle name="60% - Акцент4 2 7 4" xfId="6927"/>
    <cellStyle name="60% - Акцент4 2 7 5" xfId="6928"/>
    <cellStyle name="60% - Акцент4 2 8" xfId="387"/>
    <cellStyle name="60% - Акцент4 2 8 2" xfId="6929"/>
    <cellStyle name="60% - Акцент4 2 8 3" xfId="6930"/>
    <cellStyle name="60% - Акцент4 2 8 4" xfId="6931"/>
    <cellStyle name="60% - Акцент4 2 8 5" xfId="6932"/>
    <cellStyle name="60% - Акцент4 2 9" xfId="388"/>
    <cellStyle name="60% - Акцент4 2 9 2" xfId="6933"/>
    <cellStyle name="60% - Акцент4 2 9 3" xfId="6934"/>
    <cellStyle name="60% - Акцент4 2 9 4" xfId="6935"/>
    <cellStyle name="60% - Акцент4 2 9 5" xfId="6936"/>
    <cellStyle name="60% - Акцент5 2" xfId="389"/>
    <cellStyle name="60% - Акцент5 2 2" xfId="390"/>
    <cellStyle name="60% - Акцент5 2 2 2" xfId="391"/>
    <cellStyle name="60% - Акцент5 2 2 3" xfId="392"/>
    <cellStyle name="60% - Акцент5 2 3" xfId="393"/>
    <cellStyle name="60% - Акцент5 2 4" xfId="394"/>
    <cellStyle name="60% - Акцент5 2 4 2" xfId="6937"/>
    <cellStyle name="60% - Акцент5 2 4 3" xfId="6938"/>
    <cellStyle name="60% - Акцент5 2 4 4" xfId="6939"/>
    <cellStyle name="60% - Акцент5 2 4 5" xfId="6940"/>
    <cellStyle name="60% - Акцент5 2 5" xfId="6941"/>
    <cellStyle name="60% - Акцент5 2 6" xfId="6942"/>
    <cellStyle name="60% - Акцент5 2 7" xfId="6943"/>
    <cellStyle name="60% - Акцент5 2 8" xfId="6944"/>
    <cellStyle name="60% - Акцент6 2" xfId="395"/>
    <cellStyle name="60% - Акцент6 2 2" xfId="396"/>
    <cellStyle name="60% - Акцент6 2 2 2" xfId="397"/>
    <cellStyle name="60% - Акцент6 2 2 3" xfId="398"/>
    <cellStyle name="60% - Акцент6 2 3" xfId="399"/>
    <cellStyle name="60% - Акцент6 2 4" xfId="400"/>
    <cellStyle name="60% - Акцент6 2 4 2" xfId="6945"/>
    <cellStyle name="60% - Акцент6 2 4 3" xfId="6946"/>
    <cellStyle name="60% - Акцент6 2 4 4" xfId="6947"/>
    <cellStyle name="60% - Акцент6 2 4 5" xfId="6948"/>
    <cellStyle name="60% - Акцент6 2 5" xfId="6949"/>
    <cellStyle name="60% - Акцент6 2 6" xfId="6950"/>
    <cellStyle name="60% - Акцент6 2 7" xfId="6951"/>
    <cellStyle name="60% - Акцент6 2 8" xfId="6952"/>
    <cellStyle name="Accent1" xfId="401"/>
    <cellStyle name="Accent1 2" xfId="402"/>
    <cellStyle name="Accent1 2 2" xfId="403"/>
    <cellStyle name="Accent1 2 2 2" xfId="6953"/>
    <cellStyle name="Accent1 2 2 3" xfId="6954"/>
    <cellStyle name="Accent1 2 2 4" xfId="6955"/>
    <cellStyle name="Accent1 2 2 5" xfId="6956"/>
    <cellStyle name="Accent1 2 2 6" xfId="6957"/>
    <cellStyle name="Accent1 2 3" xfId="404"/>
    <cellStyle name="Accent1 2 3 2" xfId="6958"/>
    <cellStyle name="Accent1 2 3 3" xfId="6959"/>
    <cellStyle name="Accent1 2 3 4" xfId="6960"/>
    <cellStyle name="Accent1 2 3 5" xfId="6961"/>
    <cellStyle name="Accent1 2 3 6" xfId="6962"/>
    <cellStyle name="Accent1 2 4" xfId="6963"/>
    <cellStyle name="Accent1 2 5" xfId="6964"/>
    <cellStyle name="Accent1 2 6" xfId="6965"/>
    <cellStyle name="Accent1 2 7" xfId="6966"/>
    <cellStyle name="Accent1 2 8" xfId="6967"/>
    <cellStyle name="Accent1 3" xfId="405"/>
    <cellStyle name="Accent1 3 2" xfId="6968"/>
    <cellStyle name="Accent1 3 3" xfId="6969"/>
    <cellStyle name="Accent1 3 4" xfId="6970"/>
    <cellStyle name="Accent1 3 5" xfId="6971"/>
    <cellStyle name="Accent1 3 6" xfId="6972"/>
    <cellStyle name="Accent1 4" xfId="406"/>
    <cellStyle name="Accent1 4 2" xfId="6973"/>
    <cellStyle name="Accent1 4 3" xfId="6974"/>
    <cellStyle name="Accent1 4 4" xfId="6975"/>
    <cellStyle name="Accent1 4 5" xfId="6976"/>
    <cellStyle name="Accent1 5" xfId="6977"/>
    <cellStyle name="Accent1 6" xfId="6978"/>
    <cellStyle name="Accent1 7" xfId="6979"/>
    <cellStyle name="Accent1 8" xfId="6980"/>
    <cellStyle name="Accent2" xfId="407"/>
    <cellStyle name="Accent2 2" xfId="408"/>
    <cellStyle name="Accent2 2 2" xfId="409"/>
    <cellStyle name="Accent2 2 2 2" xfId="6981"/>
    <cellStyle name="Accent2 2 2 3" xfId="6982"/>
    <cellStyle name="Accent2 2 2 4" xfId="6983"/>
    <cellStyle name="Accent2 2 2 5" xfId="6984"/>
    <cellStyle name="Accent2 2 2 6" xfId="6985"/>
    <cellStyle name="Accent2 2 3" xfId="410"/>
    <cellStyle name="Accent2 2 3 2" xfId="6986"/>
    <cellStyle name="Accent2 2 3 3" xfId="6987"/>
    <cellStyle name="Accent2 2 3 4" xfId="6988"/>
    <cellStyle name="Accent2 2 3 5" xfId="6989"/>
    <cellStyle name="Accent2 2 3 6" xfId="6990"/>
    <cellStyle name="Accent2 2 4" xfId="6991"/>
    <cellStyle name="Accent2 2 5" xfId="6992"/>
    <cellStyle name="Accent2 2 6" xfId="6993"/>
    <cellStyle name="Accent2 2 7" xfId="6994"/>
    <cellStyle name="Accent2 2 8" xfId="6995"/>
    <cellStyle name="Accent2 3" xfId="411"/>
    <cellStyle name="Accent2 3 2" xfId="6996"/>
    <cellStyle name="Accent2 3 3" xfId="6997"/>
    <cellStyle name="Accent2 3 4" xfId="6998"/>
    <cellStyle name="Accent2 3 5" xfId="6999"/>
    <cellStyle name="Accent2 3 6" xfId="7000"/>
    <cellStyle name="Accent2 4" xfId="412"/>
    <cellStyle name="Accent2 4 2" xfId="7001"/>
    <cellStyle name="Accent2 4 3" xfId="7002"/>
    <cellStyle name="Accent2 4 4" xfId="7003"/>
    <cellStyle name="Accent2 4 5" xfId="7004"/>
    <cellStyle name="Accent2 5" xfId="7005"/>
    <cellStyle name="Accent2 6" xfId="7006"/>
    <cellStyle name="Accent2 7" xfId="7007"/>
    <cellStyle name="Accent2 8" xfId="7008"/>
    <cellStyle name="Accent3" xfId="413"/>
    <cellStyle name="Accent3 2" xfId="414"/>
    <cellStyle name="Accent3 2 2" xfId="415"/>
    <cellStyle name="Accent3 2 2 2" xfId="7009"/>
    <cellStyle name="Accent3 2 2 3" xfId="7010"/>
    <cellStyle name="Accent3 2 2 4" xfId="7011"/>
    <cellStyle name="Accent3 2 2 5" xfId="7012"/>
    <cellStyle name="Accent3 2 2 6" xfId="7013"/>
    <cellStyle name="Accent3 2 3" xfId="416"/>
    <cellStyle name="Accent3 2 3 2" xfId="7014"/>
    <cellStyle name="Accent3 2 3 3" xfId="7015"/>
    <cellStyle name="Accent3 2 3 4" xfId="7016"/>
    <cellStyle name="Accent3 2 3 5" xfId="7017"/>
    <cellStyle name="Accent3 2 3 6" xfId="7018"/>
    <cellStyle name="Accent3 2 4" xfId="7019"/>
    <cellStyle name="Accent3 2 5" xfId="7020"/>
    <cellStyle name="Accent3 2 6" xfId="7021"/>
    <cellStyle name="Accent3 2 7" xfId="7022"/>
    <cellStyle name="Accent3 2 8" xfId="7023"/>
    <cellStyle name="Accent3 3" xfId="417"/>
    <cellStyle name="Accent3 3 2" xfId="7024"/>
    <cellStyle name="Accent3 3 3" xfId="7025"/>
    <cellStyle name="Accent3 3 4" xfId="7026"/>
    <cellStyle name="Accent3 3 5" xfId="7027"/>
    <cellStyle name="Accent3 3 6" xfId="7028"/>
    <cellStyle name="Accent3 4" xfId="418"/>
    <cellStyle name="Accent3 4 2" xfId="7029"/>
    <cellStyle name="Accent3 4 3" xfId="7030"/>
    <cellStyle name="Accent3 4 4" xfId="7031"/>
    <cellStyle name="Accent3 4 5" xfId="7032"/>
    <cellStyle name="Accent3 5" xfId="7033"/>
    <cellStyle name="Accent3 6" xfId="7034"/>
    <cellStyle name="Accent3 7" xfId="7035"/>
    <cellStyle name="Accent3 8" xfId="7036"/>
    <cellStyle name="Accent4" xfId="419"/>
    <cellStyle name="Accent4 2" xfId="420"/>
    <cellStyle name="Accent4 2 2" xfId="421"/>
    <cellStyle name="Accent4 2 2 2" xfId="7037"/>
    <cellStyle name="Accent4 2 2 3" xfId="7038"/>
    <cellStyle name="Accent4 2 2 4" xfId="7039"/>
    <cellStyle name="Accent4 2 2 5" xfId="7040"/>
    <cellStyle name="Accent4 2 2 6" xfId="7041"/>
    <cellStyle name="Accent4 2 3" xfId="422"/>
    <cellStyle name="Accent4 2 3 2" xfId="7042"/>
    <cellStyle name="Accent4 2 3 3" xfId="7043"/>
    <cellStyle name="Accent4 2 3 4" xfId="7044"/>
    <cellStyle name="Accent4 2 3 5" xfId="7045"/>
    <cellStyle name="Accent4 2 3 6" xfId="7046"/>
    <cellStyle name="Accent4 2 4" xfId="7047"/>
    <cellStyle name="Accent4 2 5" xfId="7048"/>
    <cellStyle name="Accent4 2 6" xfId="7049"/>
    <cellStyle name="Accent4 2 7" xfId="7050"/>
    <cellStyle name="Accent4 2 8" xfId="7051"/>
    <cellStyle name="Accent4 3" xfId="423"/>
    <cellStyle name="Accent4 3 2" xfId="7052"/>
    <cellStyle name="Accent4 3 3" xfId="7053"/>
    <cellStyle name="Accent4 3 4" xfId="7054"/>
    <cellStyle name="Accent4 3 5" xfId="7055"/>
    <cellStyle name="Accent4 3 6" xfId="7056"/>
    <cellStyle name="Accent4 4" xfId="424"/>
    <cellStyle name="Accent4 4 2" xfId="7057"/>
    <cellStyle name="Accent4 4 3" xfId="7058"/>
    <cellStyle name="Accent4 4 4" xfId="7059"/>
    <cellStyle name="Accent4 4 5" xfId="7060"/>
    <cellStyle name="Accent4 5" xfId="7061"/>
    <cellStyle name="Accent4 6" xfId="7062"/>
    <cellStyle name="Accent4 7" xfId="7063"/>
    <cellStyle name="Accent4 8" xfId="7064"/>
    <cellStyle name="Accent5" xfId="425"/>
    <cellStyle name="Accent5 2" xfId="426"/>
    <cellStyle name="Accent5 2 2" xfId="427"/>
    <cellStyle name="Accent5 2 2 2" xfId="7065"/>
    <cellStyle name="Accent5 2 2 3" xfId="7066"/>
    <cellStyle name="Accent5 2 2 4" xfId="7067"/>
    <cellStyle name="Accent5 2 2 5" xfId="7068"/>
    <cellStyle name="Accent5 2 2 6" xfId="7069"/>
    <cellStyle name="Accent5 2 3" xfId="428"/>
    <cellStyle name="Accent5 2 3 2" xfId="7070"/>
    <cellStyle name="Accent5 2 3 3" xfId="7071"/>
    <cellStyle name="Accent5 2 3 4" xfId="7072"/>
    <cellStyle name="Accent5 2 3 5" xfId="7073"/>
    <cellStyle name="Accent5 2 3 6" xfId="7074"/>
    <cellStyle name="Accent5 2 4" xfId="7075"/>
    <cellStyle name="Accent5 2 5" xfId="7076"/>
    <cellStyle name="Accent5 2 6" xfId="7077"/>
    <cellStyle name="Accent5 2 7" xfId="7078"/>
    <cellStyle name="Accent5 2 8" xfId="7079"/>
    <cellStyle name="Accent5 3" xfId="429"/>
    <cellStyle name="Accent5 3 2" xfId="7080"/>
    <cellStyle name="Accent5 3 3" xfId="7081"/>
    <cellStyle name="Accent5 3 4" xfId="7082"/>
    <cellStyle name="Accent5 3 5" xfId="7083"/>
    <cellStyle name="Accent5 3 6" xfId="7084"/>
    <cellStyle name="Accent5 4" xfId="430"/>
    <cellStyle name="Accent5 4 2" xfId="7085"/>
    <cellStyle name="Accent5 4 3" xfId="7086"/>
    <cellStyle name="Accent5 4 4" xfId="7087"/>
    <cellStyle name="Accent5 4 5" xfId="7088"/>
    <cellStyle name="Accent5 5" xfId="7089"/>
    <cellStyle name="Accent5 6" xfId="7090"/>
    <cellStyle name="Accent5 7" xfId="7091"/>
    <cellStyle name="Accent5 8" xfId="7092"/>
    <cellStyle name="Accent6" xfId="431"/>
    <cellStyle name="Accent6 2" xfId="432"/>
    <cellStyle name="Accent6 2 2" xfId="433"/>
    <cellStyle name="Accent6 2 2 2" xfId="7093"/>
    <cellStyle name="Accent6 2 2 3" xfId="7094"/>
    <cellStyle name="Accent6 2 2 4" xfId="7095"/>
    <cellStyle name="Accent6 2 2 5" xfId="7096"/>
    <cellStyle name="Accent6 2 2 6" xfId="7097"/>
    <cellStyle name="Accent6 2 3" xfId="434"/>
    <cellStyle name="Accent6 2 3 2" xfId="7098"/>
    <cellStyle name="Accent6 2 3 3" xfId="7099"/>
    <cellStyle name="Accent6 2 3 4" xfId="7100"/>
    <cellStyle name="Accent6 2 3 5" xfId="7101"/>
    <cellStyle name="Accent6 2 3 6" xfId="7102"/>
    <cellStyle name="Accent6 2 4" xfId="7103"/>
    <cellStyle name="Accent6 2 5" xfId="7104"/>
    <cellStyle name="Accent6 2 6" xfId="7105"/>
    <cellStyle name="Accent6 2 7" xfId="7106"/>
    <cellStyle name="Accent6 2 8" xfId="7107"/>
    <cellStyle name="Accent6 3" xfId="435"/>
    <cellStyle name="Accent6 3 2" xfId="7108"/>
    <cellStyle name="Accent6 3 3" xfId="7109"/>
    <cellStyle name="Accent6 3 4" xfId="7110"/>
    <cellStyle name="Accent6 3 5" xfId="7111"/>
    <cellStyle name="Accent6 3 6" xfId="7112"/>
    <cellStyle name="Accent6 4" xfId="436"/>
    <cellStyle name="Accent6 4 2" xfId="7113"/>
    <cellStyle name="Accent6 4 3" xfId="7114"/>
    <cellStyle name="Accent6 4 4" xfId="7115"/>
    <cellStyle name="Accent6 4 5" xfId="7116"/>
    <cellStyle name="Accent6 5" xfId="7117"/>
    <cellStyle name="Accent6 6" xfId="7118"/>
    <cellStyle name="Accent6 7" xfId="7119"/>
    <cellStyle name="Accent6 8" xfId="7120"/>
    <cellStyle name="Bad" xfId="437"/>
    <cellStyle name="Bad 2" xfId="438"/>
    <cellStyle name="Bad 2 2" xfId="439"/>
    <cellStyle name="Bad 2 2 2" xfId="7121"/>
    <cellStyle name="Bad 2 2 3" xfId="7122"/>
    <cellStyle name="Bad 2 2 4" xfId="7123"/>
    <cellStyle name="Bad 2 2 5" xfId="7124"/>
    <cellStyle name="Bad 2 2 6" xfId="7125"/>
    <cellStyle name="Bad 2 3" xfId="440"/>
    <cellStyle name="Bad 2 3 2" xfId="7126"/>
    <cellStyle name="Bad 2 3 3" xfId="7127"/>
    <cellStyle name="Bad 2 3 4" xfId="7128"/>
    <cellStyle name="Bad 2 3 5" xfId="7129"/>
    <cellStyle name="Bad 2 3 6" xfId="7130"/>
    <cellStyle name="Bad 2 4" xfId="7131"/>
    <cellStyle name="Bad 2 5" xfId="7132"/>
    <cellStyle name="Bad 2 6" xfId="7133"/>
    <cellStyle name="Bad 2 7" xfId="7134"/>
    <cellStyle name="Bad 2 8" xfId="7135"/>
    <cellStyle name="Bad 3" xfId="441"/>
    <cellStyle name="Bad 3 2" xfId="7136"/>
    <cellStyle name="Bad 3 3" xfId="7137"/>
    <cellStyle name="Bad 3 4" xfId="7138"/>
    <cellStyle name="Bad 3 5" xfId="7139"/>
    <cellStyle name="Bad 3 6" xfId="7140"/>
    <cellStyle name="Bad 4" xfId="442"/>
    <cellStyle name="Bad 4 2" xfId="7141"/>
    <cellStyle name="Bad 4 3" xfId="7142"/>
    <cellStyle name="Bad 4 4" xfId="7143"/>
    <cellStyle name="Bad 4 5" xfId="7144"/>
    <cellStyle name="Bad 5" xfId="7145"/>
    <cellStyle name="Bad 6" xfId="7146"/>
    <cellStyle name="Bad 7" xfId="7147"/>
    <cellStyle name="Bad 8" xfId="7148"/>
    <cellStyle name="br" xfId="443"/>
    <cellStyle name="br 10" xfId="7149"/>
    <cellStyle name="br 2" xfId="444"/>
    <cellStyle name="br 2 2" xfId="445"/>
    <cellStyle name="br 2 2 2" xfId="446"/>
    <cellStyle name="br 2 2 3" xfId="447"/>
    <cellStyle name="br 2 3" xfId="448"/>
    <cellStyle name="br 2 4" xfId="449"/>
    <cellStyle name="br 2 4 2" xfId="7150"/>
    <cellStyle name="br 2 4 3" xfId="7151"/>
    <cellStyle name="br 2 4 4" xfId="7152"/>
    <cellStyle name="br 2 4 5" xfId="7153"/>
    <cellStyle name="br 2 5" xfId="7154"/>
    <cellStyle name="br 2 6" xfId="7155"/>
    <cellStyle name="br 2 7" xfId="7156"/>
    <cellStyle name="br 2 8" xfId="7157"/>
    <cellStyle name="br 3" xfId="450"/>
    <cellStyle name="br 3 2" xfId="451"/>
    <cellStyle name="br 3 2 2" xfId="452"/>
    <cellStyle name="br 3 2 3" xfId="453"/>
    <cellStyle name="br 3 3" xfId="454"/>
    <cellStyle name="br 3 4" xfId="455"/>
    <cellStyle name="br 3 4 2" xfId="7158"/>
    <cellStyle name="br 3 4 3" xfId="7159"/>
    <cellStyle name="br 3 4 4" xfId="7160"/>
    <cellStyle name="br 3 4 5" xfId="7161"/>
    <cellStyle name="br 3 5" xfId="7162"/>
    <cellStyle name="br 3 6" xfId="7163"/>
    <cellStyle name="br 3 7" xfId="7164"/>
    <cellStyle name="br 3 8" xfId="7165"/>
    <cellStyle name="br 4" xfId="456"/>
    <cellStyle name="br 4 2" xfId="457"/>
    <cellStyle name="br 4 3" xfId="458"/>
    <cellStyle name="br 5" xfId="459"/>
    <cellStyle name="br 6" xfId="460"/>
    <cellStyle name="br 6 2" xfId="7166"/>
    <cellStyle name="br 6 3" xfId="7167"/>
    <cellStyle name="br 6 4" xfId="7168"/>
    <cellStyle name="br 6 5" xfId="7169"/>
    <cellStyle name="br 7" xfId="7170"/>
    <cellStyle name="br 8" xfId="7171"/>
    <cellStyle name="br 9" xfId="7172"/>
    <cellStyle name="Calculation" xfId="461"/>
    <cellStyle name="Calculation 2" xfId="462"/>
    <cellStyle name="Calculation 2 2" xfId="463"/>
    <cellStyle name="Calculation 2 2 2" xfId="7173"/>
    <cellStyle name="Calculation 2 2 3" xfId="7174"/>
    <cellStyle name="Calculation 2 2 4" xfId="7175"/>
    <cellStyle name="Calculation 2 2 5" xfId="7176"/>
    <cellStyle name="Calculation 2 2 6" xfId="7177"/>
    <cellStyle name="Calculation 2 3" xfId="464"/>
    <cellStyle name="Calculation 2 3 2" xfId="7178"/>
    <cellStyle name="Calculation 2 3 3" xfId="7179"/>
    <cellStyle name="Calculation 2 3 4" xfId="7180"/>
    <cellStyle name="Calculation 2 3 5" xfId="7181"/>
    <cellStyle name="Calculation 2 3 6" xfId="7182"/>
    <cellStyle name="Calculation 2 4" xfId="7183"/>
    <cellStyle name="Calculation 2 5" xfId="7184"/>
    <cellStyle name="Calculation 2 6" xfId="7185"/>
    <cellStyle name="Calculation 2 7" xfId="7186"/>
    <cellStyle name="Calculation 2 8" xfId="7187"/>
    <cellStyle name="Calculation 3" xfId="465"/>
    <cellStyle name="Calculation 3 2" xfId="7188"/>
    <cellStyle name="Calculation 3 3" xfId="7189"/>
    <cellStyle name="Calculation 3 4" xfId="7190"/>
    <cellStyle name="Calculation 3 5" xfId="7191"/>
    <cellStyle name="Calculation 3 6" xfId="7192"/>
    <cellStyle name="Calculation 4" xfId="466"/>
    <cellStyle name="Calculation 4 2" xfId="7193"/>
    <cellStyle name="Calculation 4 3" xfId="7194"/>
    <cellStyle name="Calculation 4 4" xfId="7195"/>
    <cellStyle name="Calculation 4 5" xfId="7196"/>
    <cellStyle name="Calculation 5" xfId="7197"/>
    <cellStyle name="Calculation 6" xfId="7198"/>
    <cellStyle name="Calculation 7" xfId="7199"/>
    <cellStyle name="Calculation 8" xfId="7200"/>
    <cellStyle name="Check Cell" xfId="467"/>
    <cellStyle name="Check Cell 2" xfId="468"/>
    <cellStyle name="Check Cell 2 2" xfId="469"/>
    <cellStyle name="Check Cell 2 2 2" xfId="7201"/>
    <cellStyle name="Check Cell 2 2 3" xfId="7202"/>
    <cellStyle name="Check Cell 2 2 4" xfId="7203"/>
    <cellStyle name="Check Cell 2 2 5" xfId="7204"/>
    <cellStyle name="Check Cell 2 2 6" xfId="7205"/>
    <cellStyle name="Check Cell 2 3" xfId="470"/>
    <cellStyle name="Check Cell 2 3 2" xfId="7206"/>
    <cellStyle name="Check Cell 2 3 3" xfId="7207"/>
    <cellStyle name="Check Cell 2 3 4" xfId="7208"/>
    <cellStyle name="Check Cell 2 3 5" xfId="7209"/>
    <cellStyle name="Check Cell 2 3 6" xfId="7210"/>
    <cellStyle name="Check Cell 2 4" xfId="7211"/>
    <cellStyle name="Check Cell 2 5" xfId="7212"/>
    <cellStyle name="Check Cell 2 6" xfId="7213"/>
    <cellStyle name="Check Cell 2 7" xfId="7214"/>
    <cellStyle name="Check Cell 2 8" xfId="7215"/>
    <cellStyle name="Check Cell 3" xfId="471"/>
    <cellStyle name="Check Cell 3 2" xfId="7216"/>
    <cellStyle name="Check Cell 3 3" xfId="7217"/>
    <cellStyle name="Check Cell 3 4" xfId="7218"/>
    <cellStyle name="Check Cell 3 5" xfId="7219"/>
    <cellStyle name="Check Cell 3 6" xfId="7220"/>
    <cellStyle name="Check Cell 4" xfId="472"/>
    <cellStyle name="Check Cell 4 2" xfId="7221"/>
    <cellStyle name="Check Cell 4 3" xfId="7222"/>
    <cellStyle name="Check Cell 4 4" xfId="7223"/>
    <cellStyle name="Check Cell 4 5" xfId="7224"/>
    <cellStyle name="Check Cell 5" xfId="7225"/>
    <cellStyle name="Check Cell 6" xfId="7226"/>
    <cellStyle name="Check Cell 7" xfId="7227"/>
    <cellStyle name="Check Cell 8" xfId="7228"/>
    <cellStyle name="col" xfId="473"/>
    <cellStyle name="col 10" xfId="7229"/>
    <cellStyle name="col 2" xfId="474"/>
    <cellStyle name="col 2 2" xfId="475"/>
    <cellStyle name="col 2 2 2" xfId="476"/>
    <cellStyle name="col 2 2 3" xfId="477"/>
    <cellStyle name="col 2 3" xfId="478"/>
    <cellStyle name="col 2 4" xfId="479"/>
    <cellStyle name="col 2 4 2" xfId="7230"/>
    <cellStyle name="col 2 4 3" xfId="7231"/>
    <cellStyle name="col 2 4 4" xfId="7232"/>
    <cellStyle name="col 2 4 5" xfId="7233"/>
    <cellStyle name="col 2 5" xfId="7234"/>
    <cellStyle name="col 2 6" xfId="7235"/>
    <cellStyle name="col 2 7" xfId="7236"/>
    <cellStyle name="col 2 8" xfId="7237"/>
    <cellStyle name="col 3" xfId="480"/>
    <cellStyle name="col 3 2" xfId="481"/>
    <cellStyle name="col 3 2 2" xfId="482"/>
    <cellStyle name="col 3 2 3" xfId="483"/>
    <cellStyle name="col 3 3" xfId="484"/>
    <cellStyle name="col 3 4" xfId="485"/>
    <cellStyle name="col 3 4 2" xfId="7238"/>
    <cellStyle name="col 3 4 3" xfId="7239"/>
    <cellStyle name="col 3 4 4" xfId="7240"/>
    <cellStyle name="col 3 4 5" xfId="7241"/>
    <cellStyle name="col 3 5" xfId="7242"/>
    <cellStyle name="col 3 6" xfId="7243"/>
    <cellStyle name="col 3 7" xfId="7244"/>
    <cellStyle name="col 3 8" xfId="7245"/>
    <cellStyle name="col 4" xfId="486"/>
    <cellStyle name="col 4 2" xfId="487"/>
    <cellStyle name="col 4 3" xfId="488"/>
    <cellStyle name="col 5" xfId="489"/>
    <cellStyle name="col 6" xfId="490"/>
    <cellStyle name="col 6 2" xfId="7246"/>
    <cellStyle name="col 6 3" xfId="7247"/>
    <cellStyle name="col 6 4" xfId="7248"/>
    <cellStyle name="col 6 5" xfId="7249"/>
    <cellStyle name="col 7" xfId="7250"/>
    <cellStyle name="col 8" xfId="7251"/>
    <cellStyle name="col 9" xfId="7252"/>
    <cellStyle name="ex58" xfId="491"/>
    <cellStyle name="ex58 10" xfId="23933"/>
    <cellStyle name="ex58 2" xfId="492"/>
    <cellStyle name="ex58 2 2" xfId="493"/>
    <cellStyle name="ex58 2 3" xfId="494"/>
    <cellStyle name="ex58 3" xfId="495"/>
    <cellStyle name="ex58 4" xfId="496"/>
    <cellStyle name="ex58 4 2" xfId="7253"/>
    <cellStyle name="ex58 4 3" xfId="7254"/>
    <cellStyle name="ex58 4 4" xfId="7255"/>
    <cellStyle name="ex58 4 5" xfId="7256"/>
    <cellStyle name="ex58 5" xfId="7257"/>
    <cellStyle name="ex58 6" xfId="7258"/>
    <cellStyle name="ex58 7" xfId="7259"/>
    <cellStyle name="ex58 8" xfId="7260"/>
    <cellStyle name="ex58 9" xfId="23840"/>
    <cellStyle name="ex59" xfId="37"/>
    <cellStyle name="ex59 10" xfId="497"/>
    <cellStyle name="ex59 10 2" xfId="498"/>
    <cellStyle name="ex59 10 2 2" xfId="499"/>
    <cellStyle name="ex59 10 2 3" xfId="500"/>
    <cellStyle name="ex59 10 3" xfId="501"/>
    <cellStyle name="ex59 10 4" xfId="502"/>
    <cellStyle name="ex59 10 4 2" xfId="7261"/>
    <cellStyle name="ex59 10 4 3" xfId="7262"/>
    <cellStyle name="ex59 10 4 4" xfId="7263"/>
    <cellStyle name="ex59 10 4 5" xfId="7264"/>
    <cellStyle name="ex59 10 5" xfId="7265"/>
    <cellStyle name="ex59 10 6" xfId="7266"/>
    <cellStyle name="ex59 10 7" xfId="7267"/>
    <cellStyle name="ex59 10 8" xfId="7268"/>
    <cellStyle name="ex59 11" xfId="503"/>
    <cellStyle name="ex59 11 2" xfId="504"/>
    <cellStyle name="ex59 11 2 2" xfId="505"/>
    <cellStyle name="ex59 11 2 3" xfId="506"/>
    <cellStyle name="ex59 11 3" xfId="507"/>
    <cellStyle name="ex59 11 4" xfId="508"/>
    <cellStyle name="ex59 11 4 2" xfId="7269"/>
    <cellStyle name="ex59 11 4 3" xfId="7270"/>
    <cellStyle name="ex59 11 4 4" xfId="7271"/>
    <cellStyle name="ex59 11 4 5" xfId="7272"/>
    <cellStyle name="ex59 11 5" xfId="7273"/>
    <cellStyle name="ex59 11 6" xfId="7274"/>
    <cellStyle name="ex59 11 7" xfId="7275"/>
    <cellStyle name="ex59 11 8" xfId="7276"/>
    <cellStyle name="ex59 12" xfId="509"/>
    <cellStyle name="ex59 12 2" xfId="510"/>
    <cellStyle name="ex59 12 3" xfId="511"/>
    <cellStyle name="ex59 13" xfId="512"/>
    <cellStyle name="ex59 14" xfId="513"/>
    <cellStyle name="ex59 14 2" xfId="7277"/>
    <cellStyle name="ex59 14 3" xfId="7278"/>
    <cellStyle name="ex59 14 4" xfId="7279"/>
    <cellStyle name="ex59 14 5" xfId="7280"/>
    <cellStyle name="ex59 15" xfId="7281"/>
    <cellStyle name="ex59 16" xfId="7282"/>
    <cellStyle name="ex59 17" xfId="7283"/>
    <cellStyle name="ex59 18" xfId="7284"/>
    <cellStyle name="ex59 19" xfId="23841"/>
    <cellStyle name="ex59 2" xfId="514"/>
    <cellStyle name="ex59 2 10" xfId="515"/>
    <cellStyle name="ex59 2 10 2" xfId="516"/>
    <cellStyle name="ex59 2 10 2 2" xfId="517"/>
    <cellStyle name="ex59 2 10 2 3" xfId="518"/>
    <cellStyle name="ex59 2 10 3" xfId="519"/>
    <cellStyle name="ex59 2 10 4" xfId="520"/>
    <cellStyle name="ex59 2 10 4 2" xfId="7285"/>
    <cellStyle name="ex59 2 10 4 3" xfId="7286"/>
    <cellStyle name="ex59 2 10 4 4" xfId="7287"/>
    <cellStyle name="ex59 2 10 4 5" xfId="7288"/>
    <cellStyle name="ex59 2 10 5" xfId="7289"/>
    <cellStyle name="ex59 2 10 6" xfId="7290"/>
    <cellStyle name="ex59 2 10 7" xfId="7291"/>
    <cellStyle name="ex59 2 10 8" xfId="7292"/>
    <cellStyle name="ex59 2 11" xfId="521"/>
    <cellStyle name="ex59 2 11 2" xfId="522"/>
    <cellStyle name="ex59 2 11 3" xfId="523"/>
    <cellStyle name="ex59 2 12" xfId="524"/>
    <cellStyle name="ex59 2 13" xfId="525"/>
    <cellStyle name="ex59 2 13 2" xfId="7293"/>
    <cellStyle name="ex59 2 13 3" xfId="7294"/>
    <cellStyle name="ex59 2 13 4" xfId="7295"/>
    <cellStyle name="ex59 2 13 5" xfId="7296"/>
    <cellStyle name="ex59 2 14" xfId="7297"/>
    <cellStyle name="ex59 2 15" xfId="7298"/>
    <cellStyle name="ex59 2 16" xfId="7299"/>
    <cellStyle name="ex59 2 17" xfId="7300"/>
    <cellStyle name="ex59 2 2" xfId="526"/>
    <cellStyle name="ex59 2 2 2" xfId="527"/>
    <cellStyle name="ex59 2 2 2 2" xfId="528"/>
    <cellStyle name="ex59 2 2 2 3" xfId="529"/>
    <cellStyle name="ex59 2 2 3" xfId="530"/>
    <cellStyle name="ex59 2 2 4" xfId="531"/>
    <cellStyle name="ex59 2 2 4 2" xfId="7301"/>
    <cellStyle name="ex59 2 2 4 3" xfId="7302"/>
    <cellStyle name="ex59 2 2 4 4" xfId="7303"/>
    <cellStyle name="ex59 2 2 4 5" xfId="7304"/>
    <cellStyle name="ex59 2 2 5" xfId="7305"/>
    <cellStyle name="ex59 2 2 6" xfId="7306"/>
    <cellStyle name="ex59 2 2 7" xfId="7307"/>
    <cellStyle name="ex59 2 2 8" xfId="7308"/>
    <cellStyle name="ex59 2 3" xfId="532"/>
    <cellStyle name="ex59 2 3 2" xfId="533"/>
    <cellStyle name="ex59 2 3 2 2" xfId="534"/>
    <cellStyle name="ex59 2 3 2 3" xfId="535"/>
    <cellStyle name="ex59 2 3 3" xfId="536"/>
    <cellStyle name="ex59 2 3 4" xfId="537"/>
    <cellStyle name="ex59 2 3 4 2" xfId="7309"/>
    <cellStyle name="ex59 2 3 4 3" xfId="7310"/>
    <cellStyle name="ex59 2 3 4 4" xfId="7311"/>
    <cellStyle name="ex59 2 3 4 5" xfId="7312"/>
    <cellStyle name="ex59 2 3 5" xfId="7313"/>
    <cellStyle name="ex59 2 3 6" xfId="7314"/>
    <cellStyle name="ex59 2 3 7" xfId="7315"/>
    <cellStyle name="ex59 2 3 8" xfId="7316"/>
    <cellStyle name="ex59 2 4" xfId="538"/>
    <cellStyle name="ex59 2 4 2" xfId="539"/>
    <cellStyle name="ex59 2 4 2 2" xfId="540"/>
    <cellStyle name="ex59 2 4 2 3" xfId="541"/>
    <cellStyle name="ex59 2 4 3" xfId="542"/>
    <cellStyle name="ex59 2 4 4" xfId="543"/>
    <cellStyle name="ex59 2 4 4 2" xfId="7317"/>
    <cellStyle name="ex59 2 4 4 3" xfId="7318"/>
    <cellStyle name="ex59 2 4 4 4" xfId="7319"/>
    <cellStyle name="ex59 2 4 4 5" xfId="7320"/>
    <cellStyle name="ex59 2 4 5" xfId="7321"/>
    <cellStyle name="ex59 2 4 6" xfId="7322"/>
    <cellStyle name="ex59 2 4 7" xfId="7323"/>
    <cellStyle name="ex59 2 4 8" xfId="7324"/>
    <cellStyle name="ex59 2 5" xfId="544"/>
    <cellStyle name="ex59 2 5 2" xfId="545"/>
    <cellStyle name="ex59 2 5 2 2" xfId="546"/>
    <cellStyle name="ex59 2 5 2 3" xfId="547"/>
    <cellStyle name="ex59 2 5 3" xfId="548"/>
    <cellStyle name="ex59 2 5 4" xfId="549"/>
    <cellStyle name="ex59 2 5 4 2" xfId="7325"/>
    <cellStyle name="ex59 2 5 4 3" xfId="7326"/>
    <cellStyle name="ex59 2 5 4 4" xfId="7327"/>
    <cellStyle name="ex59 2 5 4 5" xfId="7328"/>
    <cellStyle name="ex59 2 5 5" xfId="7329"/>
    <cellStyle name="ex59 2 5 6" xfId="7330"/>
    <cellStyle name="ex59 2 5 7" xfId="7331"/>
    <cellStyle name="ex59 2 5 8" xfId="7332"/>
    <cellStyle name="ex59 2 6" xfId="550"/>
    <cellStyle name="ex59 2 6 2" xfId="551"/>
    <cellStyle name="ex59 2 6 2 2" xfId="552"/>
    <cellStyle name="ex59 2 6 2 3" xfId="553"/>
    <cellStyle name="ex59 2 6 3" xfId="554"/>
    <cellStyle name="ex59 2 6 4" xfId="555"/>
    <cellStyle name="ex59 2 6 4 2" xfId="7333"/>
    <cellStyle name="ex59 2 6 4 3" xfId="7334"/>
    <cellStyle name="ex59 2 6 4 4" xfId="7335"/>
    <cellStyle name="ex59 2 6 4 5" xfId="7336"/>
    <cellStyle name="ex59 2 6 5" xfId="7337"/>
    <cellStyle name="ex59 2 6 6" xfId="7338"/>
    <cellStyle name="ex59 2 6 7" xfId="7339"/>
    <cellStyle name="ex59 2 6 8" xfId="7340"/>
    <cellStyle name="ex59 2 7" xfId="556"/>
    <cellStyle name="ex59 2 7 2" xfId="557"/>
    <cellStyle name="ex59 2 7 2 2" xfId="558"/>
    <cellStyle name="ex59 2 7 2 3" xfId="559"/>
    <cellStyle name="ex59 2 7 3" xfId="560"/>
    <cellStyle name="ex59 2 7 4" xfId="561"/>
    <cellStyle name="ex59 2 7 4 2" xfId="7341"/>
    <cellStyle name="ex59 2 7 4 3" xfId="7342"/>
    <cellStyle name="ex59 2 7 4 4" xfId="7343"/>
    <cellStyle name="ex59 2 7 4 5" xfId="7344"/>
    <cellStyle name="ex59 2 7 5" xfId="7345"/>
    <cellStyle name="ex59 2 7 6" xfId="7346"/>
    <cellStyle name="ex59 2 7 7" xfId="7347"/>
    <cellStyle name="ex59 2 7 8" xfId="7348"/>
    <cellStyle name="ex59 2 8" xfId="562"/>
    <cellStyle name="ex59 2 8 2" xfId="563"/>
    <cellStyle name="ex59 2 8 2 2" xfId="564"/>
    <cellStyle name="ex59 2 8 2 3" xfId="565"/>
    <cellStyle name="ex59 2 8 3" xfId="566"/>
    <cellStyle name="ex59 2 8 4" xfId="567"/>
    <cellStyle name="ex59 2 8 4 2" xfId="7349"/>
    <cellStyle name="ex59 2 8 4 3" xfId="7350"/>
    <cellStyle name="ex59 2 8 4 4" xfId="7351"/>
    <cellStyle name="ex59 2 8 4 5" xfId="7352"/>
    <cellStyle name="ex59 2 8 5" xfId="7353"/>
    <cellStyle name="ex59 2 8 6" xfId="7354"/>
    <cellStyle name="ex59 2 8 7" xfId="7355"/>
    <cellStyle name="ex59 2 8 8" xfId="7356"/>
    <cellStyle name="ex59 2 9" xfId="568"/>
    <cellStyle name="ex59 2 9 2" xfId="569"/>
    <cellStyle name="ex59 2 9 2 2" xfId="570"/>
    <cellStyle name="ex59 2 9 2 3" xfId="571"/>
    <cellStyle name="ex59 2 9 3" xfId="572"/>
    <cellStyle name="ex59 2 9 4" xfId="573"/>
    <cellStyle name="ex59 2 9 4 2" xfId="7357"/>
    <cellStyle name="ex59 2 9 4 3" xfId="7358"/>
    <cellStyle name="ex59 2 9 4 4" xfId="7359"/>
    <cellStyle name="ex59 2 9 4 5" xfId="7360"/>
    <cellStyle name="ex59 2 9 5" xfId="7361"/>
    <cellStyle name="ex59 2 9 6" xfId="7362"/>
    <cellStyle name="ex59 2 9 7" xfId="7363"/>
    <cellStyle name="ex59 2 9 8" xfId="7364"/>
    <cellStyle name="ex59 20" xfId="23900"/>
    <cellStyle name="ex59 21" xfId="23934"/>
    <cellStyle name="ex59 3" xfId="574"/>
    <cellStyle name="ex59 3 2" xfId="575"/>
    <cellStyle name="ex59 3 2 2" xfId="576"/>
    <cellStyle name="ex59 3 2 3" xfId="577"/>
    <cellStyle name="ex59 3 3" xfId="578"/>
    <cellStyle name="ex59 3 4" xfId="579"/>
    <cellStyle name="ex59 3 4 2" xfId="7365"/>
    <cellStyle name="ex59 3 4 3" xfId="7366"/>
    <cellStyle name="ex59 3 4 4" xfId="7367"/>
    <cellStyle name="ex59 3 4 5" xfId="7368"/>
    <cellStyle name="ex59 3 5" xfId="7369"/>
    <cellStyle name="ex59 3 6" xfId="7370"/>
    <cellStyle name="ex59 3 7" xfId="7371"/>
    <cellStyle name="ex59 3 8" xfId="7372"/>
    <cellStyle name="ex59 4" xfId="580"/>
    <cellStyle name="ex59 4 2" xfId="581"/>
    <cellStyle name="ex59 4 2 2" xfId="582"/>
    <cellStyle name="ex59 4 2 3" xfId="583"/>
    <cellStyle name="ex59 4 3" xfId="584"/>
    <cellStyle name="ex59 4 4" xfId="585"/>
    <cellStyle name="ex59 4 4 2" xfId="7373"/>
    <cellStyle name="ex59 4 4 3" xfId="7374"/>
    <cellStyle name="ex59 4 4 4" xfId="7375"/>
    <cellStyle name="ex59 4 4 5" xfId="7376"/>
    <cellStyle name="ex59 4 5" xfId="7377"/>
    <cellStyle name="ex59 4 6" xfId="7378"/>
    <cellStyle name="ex59 4 7" xfId="7379"/>
    <cellStyle name="ex59 4 8" xfId="7380"/>
    <cellStyle name="ex59 5" xfId="586"/>
    <cellStyle name="ex59 5 2" xfId="587"/>
    <cellStyle name="ex59 5 2 2" xfId="588"/>
    <cellStyle name="ex59 5 2 3" xfId="589"/>
    <cellStyle name="ex59 5 3" xfId="590"/>
    <cellStyle name="ex59 5 4" xfId="591"/>
    <cellStyle name="ex59 5 4 2" xfId="7381"/>
    <cellStyle name="ex59 5 4 3" xfId="7382"/>
    <cellStyle name="ex59 5 4 4" xfId="7383"/>
    <cellStyle name="ex59 5 4 5" xfId="7384"/>
    <cellStyle name="ex59 5 5" xfId="7385"/>
    <cellStyle name="ex59 5 6" xfId="7386"/>
    <cellStyle name="ex59 5 7" xfId="7387"/>
    <cellStyle name="ex59 5 8" xfId="7388"/>
    <cellStyle name="ex59 6" xfId="592"/>
    <cellStyle name="ex59 6 2" xfId="593"/>
    <cellStyle name="ex59 6 2 2" xfId="594"/>
    <cellStyle name="ex59 6 2 3" xfId="595"/>
    <cellStyle name="ex59 6 3" xfId="596"/>
    <cellStyle name="ex59 6 4" xfId="597"/>
    <cellStyle name="ex59 6 4 2" xfId="7389"/>
    <cellStyle name="ex59 6 4 3" xfId="7390"/>
    <cellStyle name="ex59 6 4 4" xfId="7391"/>
    <cellStyle name="ex59 6 4 5" xfId="7392"/>
    <cellStyle name="ex59 6 5" xfId="7393"/>
    <cellStyle name="ex59 6 6" xfId="7394"/>
    <cellStyle name="ex59 6 7" xfId="7395"/>
    <cellStyle name="ex59 6 8" xfId="7396"/>
    <cellStyle name="ex59 7" xfId="598"/>
    <cellStyle name="ex59 7 2" xfId="599"/>
    <cellStyle name="ex59 7 2 2" xfId="600"/>
    <cellStyle name="ex59 7 2 3" xfId="601"/>
    <cellStyle name="ex59 7 3" xfId="602"/>
    <cellStyle name="ex59 7 4" xfId="603"/>
    <cellStyle name="ex59 7 4 2" xfId="7397"/>
    <cellStyle name="ex59 7 4 3" xfId="7398"/>
    <cellStyle name="ex59 7 4 4" xfId="7399"/>
    <cellStyle name="ex59 7 4 5" xfId="7400"/>
    <cellStyle name="ex59 7 5" xfId="7401"/>
    <cellStyle name="ex59 7 6" xfId="7402"/>
    <cellStyle name="ex59 7 7" xfId="7403"/>
    <cellStyle name="ex59 7 8" xfId="7404"/>
    <cellStyle name="ex59 8" xfId="604"/>
    <cellStyle name="ex59 8 2" xfId="605"/>
    <cellStyle name="ex59 8 2 2" xfId="606"/>
    <cellStyle name="ex59 8 2 3" xfId="607"/>
    <cellStyle name="ex59 8 3" xfId="608"/>
    <cellStyle name="ex59 8 4" xfId="609"/>
    <cellStyle name="ex59 8 4 2" xfId="7405"/>
    <cellStyle name="ex59 8 4 3" xfId="7406"/>
    <cellStyle name="ex59 8 4 4" xfId="7407"/>
    <cellStyle name="ex59 8 4 5" xfId="7408"/>
    <cellStyle name="ex59 8 5" xfId="7409"/>
    <cellStyle name="ex59 8 6" xfId="7410"/>
    <cellStyle name="ex59 8 7" xfId="7411"/>
    <cellStyle name="ex59 8 8" xfId="7412"/>
    <cellStyle name="ex59 9" xfId="610"/>
    <cellStyle name="ex59 9 2" xfId="611"/>
    <cellStyle name="ex59 9 2 2" xfId="612"/>
    <cellStyle name="ex59 9 2 3" xfId="613"/>
    <cellStyle name="ex59 9 3" xfId="614"/>
    <cellStyle name="ex59 9 4" xfId="615"/>
    <cellStyle name="ex59 9 4 2" xfId="7413"/>
    <cellStyle name="ex59 9 4 3" xfId="7414"/>
    <cellStyle name="ex59 9 4 4" xfId="7415"/>
    <cellStyle name="ex59 9 4 5" xfId="7416"/>
    <cellStyle name="ex59 9 5" xfId="7417"/>
    <cellStyle name="ex59 9 6" xfId="7418"/>
    <cellStyle name="ex59 9 7" xfId="7419"/>
    <cellStyle name="ex59 9 8" xfId="7420"/>
    <cellStyle name="ex60" xfId="13"/>
    <cellStyle name="ex60 10" xfId="616"/>
    <cellStyle name="ex60 10 2" xfId="617"/>
    <cellStyle name="ex60 10 2 2" xfId="618"/>
    <cellStyle name="ex60 10 2 3" xfId="619"/>
    <cellStyle name="ex60 10 3" xfId="620"/>
    <cellStyle name="ex60 10 4" xfId="621"/>
    <cellStyle name="ex60 10 4 2" xfId="7421"/>
    <cellStyle name="ex60 10 4 3" xfId="7422"/>
    <cellStyle name="ex60 10 4 4" xfId="7423"/>
    <cellStyle name="ex60 10 4 5" xfId="7424"/>
    <cellStyle name="ex60 10 5" xfId="7425"/>
    <cellStyle name="ex60 10 6" xfId="7426"/>
    <cellStyle name="ex60 10 7" xfId="7427"/>
    <cellStyle name="ex60 10 8" xfId="7428"/>
    <cellStyle name="ex60 11" xfId="622"/>
    <cellStyle name="ex60 11 2" xfId="623"/>
    <cellStyle name="ex60 11 3" xfId="624"/>
    <cellStyle name="ex60 12" xfId="625"/>
    <cellStyle name="ex60 13" xfId="626"/>
    <cellStyle name="ex60 13 2" xfId="7429"/>
    <cellStyle name="ex60 13 3" xfId="7430"/>
    <cellStyle name="ex60 13 4" xfId="7431"/>
    <cellStyle name="ex60 13 5" xfId="7432"/>
    <cellStyle name="ex60 14" xfId="7433"/>
    <cellStyle name="ex60 15" xfId="7434"/>
    <cellStyle name="ex60 16" xfId="7435"/>
    <cellStyle name="ex60 17" xfId="7436"/>
    <cellStyle name="ex60 18" xfId="23842"/>
    <cellStyle name="ex60 19" xfId="23878"/>
    <cellStyle name="ex60 2" xfId="627"/>
    <cellStyle name="ex60 2 10" xfId="628"/>
    <cellStyle name="ex60 2 10 2" xfId="629"/>
    <cellStyle name="ex60 2 10 2 2" xfId="630"/>
    <cellStyle name="ex60 2 10 2 3" xfId="631"/>
    <cellStyle name="ex60 2 10 3" xfId="632"/>
    <cellStyle name="ex60 2 10 4" xfId="633"/>
    <cellStyle name="ex60 2 10 4 2" xfId="7437"/>
    <cellStyle name="ex60 2 10 4 3" xfId="7438"/>
    <cellStyle name="ex60 2 10 4 4" xfId="7439"/>
    <cellStyle name="ex60 2 10 4 5" xfId="7440"/>
    <cellStyle name="ex60 2 10 5" xfId="7441"/>
    <cellStyle name="ex60 2 10 6" xfId="7442"/>
    <cellStyle name="ex60 2 10 7" xfId="7443"/>
    <cellStyle name="ex60 2 10 8" xfId="7444"/>
    <cellStyle name="ex60 2 11" xfId="634"/>
    <cellStyle name="ex60 2 11 2" xfId="635"/>
    <cellStyle name="ex60 2 11 3" xfId="636"/>
    <cellStyle name="ex60 2 12" xfId="637"/>
    <cellStyle name="ex60 2 13" xfId="638"/>
    <cellStyle name="ex60 2 13 2" xfId="7445"/>
    <cellStyle name="ex60 2 13 3" xfId="7446"/>
    <cellStyle name="ex60 2 13 4" xfId="7447"/>
    <cellStyle name="ex60 2 13 5" xfId="7448"/>
    <cellStyle name="ex60 2 14" xfId="7449"/>
    <cellStyle name="ex60 2 15" xfId="7450"/>
    <cellStyle name="ex60 2 16" xfId="7451"/>
    <cellStyle name="ex60 2 17" xfId="7452"/>
    <cellStyle name="ex60 2 2" xfId="639"/>
    <cellStyle name="ex60 2 2 2" xfId="640"/>
    <cellStyle name="ex60 2 2 2 2" xfId="641"/>
    <cellStyle name="ex60 2 2 2 3" xfId="642"/>
    <cellStyle name="ex60 2 2 3" xfId="643"/>
    <cellStyle name="ex60 2 2 4" xfId="644"/>
    <cellStyle name="ex60 2 2 4 2" xfId="7453"/>
    <cellStyle name="ex60 2 2 4 3" xfId="7454"/>
    <cellStyle name="ex60 2 2 4 4" xfId="7455"/>
    <cellStyle name="ex60 2 2 4 5" xfId="7456"/>
    <cellStyle name="ex60 2 2 5" xfId="7457"/>
    <cellStyle name="ex60 2 2 6" xfId="7458"/>
    <cellStyle name="ex60 2 2 7" xfId="7459"/>
    <cellStyle name="ex60 2 2 8" xfId="7460"/>
    <cellStyle name="ex60 2 3" xfId="645"/>
    <cellStyle name="ex60 2 3 2" xfId="646"/>
    <cellStyle name="ex60 2 3 2 2" xfId="647"/>
    <cellStyle name="ex60 2 3 2 3" xfId="648"/>
    <cellStyle name="ex60 2 3 3" xfId="649"/>
    <cellStyle name="ex60 2 3 4" xfId="650"/>
    <cellStyle name="ex60 2 3 4 2" xfId="7461"/>
    <cellStyle name="ex60 2 3 4 3" xfId="7462"/>
    <cellStyle name="ex60 2 3 4 4" xfId="7463"/>
    <cellStyle name="ex60 2 3 4 5" xfId="7464"/>
    <cellStyle name="ex60 2 3 5" xfId="7465"/>
    <cellStyle name="ex60 2 3 6" xfId="7466"/>
    <cellStyle name="ex60 2 3 7" xfId="7467"/>
    <cellStyle name="ex60 2 3 8" xfId="7468"/>
    <cellStyle name="ex60 2 4" xfId="651"/>
    <cellStyle name="ex60 2 4 2" xfId="652"/>
    <cellStyle name="ex60 2 4 2 2" xfId="653"/>
    <cellStyle name="ex60 2 4 2 3" xfId="654"/>
    <cellStyle name="ex60 2 4 3" xfId="655"/>
    <cellStyle name="ex60 2 4 4" xfId="656"/>
    <cellStyle name="ex60 2 4 4 2" xfId="7469"/>
    <cellStyle name="ex60 2 4 4 3" xfId="7470"/>
    <cellStyle name="ex60 2 4 4 4" xfId="7471"/>
    <cellStyle name="ex60 2 4 4 5" xfId="7472"/>
    <cellStyle name="ex60 2 4 5" xfId="7473"/>
    <cellStyle name="ex60 2 4 6" xfId="7474"/>
    <cellStyle name="ex60 2 4 7" xfId="7475"/>
    <cellStyle name="ex60 2 4 8" xfId="7476"/>
    <cellStyle name="ex60 2 5" xfId="657"/>
    <cellStyle name="ex60 2 5 2" xfId="658"/>
    <cellStyle name="ex60 2 5 2 2" xfId="659"/>
    <cellStyle name="ex60 2 5 2 3" xfId="660"/>
    <cellStyle name="ex60 2 5 3" xfId="661"/>
    <cellStyle name="ex60 2 5 4" xfId="662"/>
    <cellStyle name="ex60 2 5 4 2" xfId="7477"/>
    <cellStyle name="ex60 2 5 4 3" xfId="7478"/>
    <cellStyle name="ex60 2 5 4 4" xfId="7479"/>
    <cellStyle name="ex60 2 5 4 5" xfId="7480"/>
    <cellStyle name="ex60 2 5 5" xfId="7481"/>
    <cellStyle name="ex60 2 5 6" xfId="7482"/>
    <cellStyle name="ex60 2 5 7" xfId="7483"/>
    <cellStyle name="ex60 2 5 8" xfId="7484"/>
    <cellStyle name="ex60 2 6" xfId="663"/>
    <cellStyle name="ex60 2 6 2" xfId="664"/>
    <cellStyle name="ex60 2 6 2 2" xfId="665"/>
    <cellStyle name="ex60 2 6 2 3" xfId="666"/>
    <cellStyle name="ex60 2 6 3" xfId="667"/>
    <cellStyle name="ex60 2 6 4" xfId="668"/>
    <cellStyle name="ex60 2 6 4 2" xfId="7485"/>
    <cellStyle name="ex60 2 6 4 3" xfId="7486"/>
    <cellStyle name="ex60 2 6 4 4" xfId="7487"/>
    <cellStyle name="ex60 2 6 4 5" xfId="7488"/>
    <cellStyle name="ex60 2 6 5" xfId="7489"/>
    <cellStyle name="ex60 2 6 6" xfId="7490"/>
    <cellStyle name="ex60 2 6 7" xfId="7491"/>
    <cellStyle name="ex60 2 6 8" xfId="7492"/>
    <cellStyle name="ex60 2 7" xfId="669"/>
    <cellStyle name="ex60 2 7 2" xfId="670"/>
    <cellStyle name="ex60 2 7 2 2" xfId="671"/>
    <cellStyle name="ex60 2 7 2 3" xfId="672"/>
    <cellStyle name="ex60 2 7 3" xfId="673"/>
    <cellStyle name="ex60 2 7 4" xfId="674"/>
    <cellStyle name="ex60 2 7 4 2" xfId="7493"/>
    <cellStyle name="ex60 2 7 4 3" xfId="7494"/>
    <cellStyle name="ex60 2 7 4 4" xfId="7495"/>
    <cellStyle name="ex60 2 7 4 5" xfId="7496"/>
    <cellStyle name="ex60 2 7 5" xfId="7497"/>
    <cellStyle name="ex60 2 7 6" xfId="7498"/>
    <cellStyle name="ex60 2 7 7" xfId="7499"/>
    <cellStyle name="ex60 2 7 8" xfId="7500"/>
    <cellStyle name="ex60 2 8" xfId="675"/>
    <cellStyle name="ex60 2 8 2" xfId="676"/>
    <cellStyle name="ex60 2 8 2 2" xfId="677"/>
    <cellStyle name="ex60 2 8 2 3" xfId="678"/>
    <cellStyle name="ex60 2 8 3" xfId="679"/>
    <cellStyle name="ex60 2 8 4" xfId="680"/>
    <cellStyle name="ex60 2 8 4 2" xfId="7501"/>
    <cellStyle name="ex60 2 8 4 3" xfId="7502"/>
    <cellStyle name="ex60 2 8 4 4" xfId="7503"/>
    <cellStyle name="ex60 2 8 4 5" xfId="7504"/>
    <cellStyle name="ex60 2 8 5" xfId="7505"/>
    <cellStyle name="ex60 2 8 6" xfId="7506"/>
    <cellStyle name="ex60 2 8 7" xfId="7507"/>
    <cellStyle name="ex60 2 8 8" xfId="7508"/>
    <cellStyle name="ex60 2 9" xfId="681"/>
    <cellStyle name="ex60 2 9 2" xfId="682"/>
    <cellStyle name="ex60 2 9 2 2" xfId="683"/>
    <cellStyle name="ex60 2 9 2 3" xfId="684"/>
    <cellStyle name="ex60 2 9 3" xfId="685"/>
    <cellStyle name="ex60 2 9 4" xfId="686"/>
    <cellStyle name="ex60 2 9 4 2" xfId="7509"/>
    <cellStyle name="ex60 2 9 4 3" xfId="7510"/>
    <cellStyle name="ex60 2 9 4 4" xfId="7511"/>
    <cellStyle name="ex60 2 9 4 5" xfId="7512"/>
    <cellStyle name="ex60 2 9 5" xfId="7513"/>
    <cellStyle name="ex60 2 9 6" xfId="7514"/>
    <cellStyle name="ex60 2 9 7" xfId="7515"/>
    <cellStyle name="ex60 2 9 8" xfId="7516"/>
    <cellStyle name="ex60 20" xfId="23916"/>
    <cellStyle name="ex60 3" xfId="687"/>
    <cellStyle name="ex60 3 2" xfId="688"/>
    <cellStyle name="ex60 3 2 2" xfId="689"/>
    <cellStyle name="ex60 3 2 3" xfId="690"/>
    <cellStyle name="ex60 3 3" xfId="691"/>
    <cellStyle name="ex60 3 4" xfId="692"/>
    <cellStyle name="ex60 3 4 2" xfId="7517"/>
    <cellStyle name="ex60 3 4 3" xfId="7518"/>
    <cellStyle name="ex60 3 4 4" xfId="7519"/>
    <cellStyle name="ex60 3 4 5" xfId="7520"/>
    <cellStyle name="ex60 3 5" xfId="7521"/>
    <cellStyle name="ex60 3 6" xfId="7522"/>
    <cellStyle name="ex60 3 7" xfId="7523"/>
    <cellStyle name="ex60 3 8" xfId="7524"/>
    <cellStyle name="ex60 4" xfId="693"/>
    <cellStyle name="ex60 4 2" xfId="694"/>
    <cellStyle name="ex60 4 2 2" xfId="695"/>
    <cellStyle name="ex60 4 2 3" xfId="696"/>
    <cellStyle name="ex60 4 3" xfId="697"/>
    <cellStyle name="ex60 4 4" xfId="698"/>
    <cellStyle name="ex60 4 4 2" xfId="7525"/>
    <cellStyle name="ex60 4 4 3" xfId="7526"/>
    <cellStyle name="ex60 4 4 4" xfId="7527"/>
    <cellStyle name="ex60 4 4 5" xfId="7528"/>
    <cellStyle name="ex60 4 5" xfId="7529"/>
    <cellStyle name="ex60 4 6" xfId="7530"/>
    <cellStyle name="ex60 4 7" xfId="7531"/>
    <cellStyle name="ex60 4 8" xfId="7532"/>
    <cellStyle name="ex60 5" xfId="699"/>
    <cellStyle name="ex60 5 2" xfId="700"/>
    <cellStyle name="ex60 5 2 2" xfId="701"/>
    <cellStyle name="ex60 5 2 3" xfId="702"/>
    <cellStyle name="ex60 5 3" xfId="703"/>
    <cellStyle name="ex60 5 4" xfId="704"/>
    <cellStyle name="ex60 5 4 2" xfId="7533"/>
    <cellStyle name="ex60 5 4 3" xfId="7534"/>
    <cellStyle name="ex60 5 4 4" xfId="7535"/>
    <cellStyle name="ex60 5 4 5" xfId="7536"/>
    <cellStyle name="ex60 5 5" xfId="7537"/>
    <cellStyle name="ex60 5 6" xfId="7538"/>
    <cellStyle name="ex60 5 7" xfId="7539"/>
    <cellStyle name="ex60 5 8" xfId="7540"/>
    <cellStyle name="ex60 6" xfId="705"/>
    <cellStyle name="ex60 6 2" xfId="706"/>
    <cellStyle name="ex60 6 2 2" xfId="707"/>
    <cellStyle name="ex60 6 2 3" xfId="708"/>
    <cellStyle name="ex60 6 3" xfId="709"/>
    <cellStyle name="ex60 6 4" xfId="710"/>
    <cellStyle name="ex60 6 4 2" xfId="7541"/>
    <cellStyle name="ex60 6 4 3" xfId="7542"/>
    <cellStyle name="ex60 6 4 4" xfId="7543"/>
    <cellStyle name="ex60 6 4 5" xfId="7544"/>
    <cellStyle name="ex60 6 5" xfId="7545"/>
    <cellStyle name="ex60 6 6" xfId="7546"/>
    <cellStyle name="ex60 6 7" xfId="7547"/>
    <cellStyle name="ex60 6 8" xfId="7548"/>
    <cellStyle name="ex60 7" xfId="711"/>
    <cellStyle name="ex60 7 2" xfId="712"/>
    <cellStyle name="ex60 7 2 2" xfId="713"/>
    <cellStyle name="ex60 7 2 3" xfId="714"/>
    <cellStyle name="ex60 7 3" xfId="715"/>
    <cellStyle name="ex60 7 4" xfId="716"/>
    <cellStyle name="ex60 7 4 2" xfId="7549"/>
    <cellStyle name="ex60 7 4 3" xfId="7550"/>
    <cellStyle name="ex60 7 4 4" xfId="7551"/>
    <cellStyle name="ex60 7 4 5" xfId="7552"/>
    <cellStyle name="ex60 7 5" xfId="7553"/>
    <cellStyle name="ex60 7 6" xfId="7554"/>
    <cellStyle name="ex60 7 7" xfId="7555"/>
    <cellStyle name="ex60 7 8" xfId="7556"/>
    <cellStyle name="ex60 8" xfId="717"/>
    <cellStyle name="ex60 8 2" xfId="718"/>
    <cellStyle name="ex60 8 2 2" xfId="719"/>
    <cellStyle name="ex60 8 2 3" xfId="720"/>
    <cellStyle name="ex60 8 3" xfId="721"/>
    <cellStyle name="ex60 8 4" xfId="722"/>
    <cellStyle name="ex60 8 4 2" xfId="7557"/>
    <cellStyle name="ex60 8 4 3" xfId="7558"/>
    <cellStyle name="ex60 8 4 4" xfId="7559"/>
    <cellStyle name="ex60 8 4 5" xfId="7560"/>
    <cellStyle name="ex60 8 5" xfId="7561"/>
    <cellStyle name="ex60 8 6" xfId="7562"/>
    <cellStyle name="ex60 8 7" xfId="7563"/>
    <cellStyle name="ex60 8 8" xfId="7564"/>
    <cellStyle name="ex60 9" xfId="723"/>
    <cellStyle name="ex60 9 2" xfId="724"/>
    <cellStyle name="ex60 9 2 2" xfId="725"/>
    <cellStyle name="ex60 9 2 3" xfId="726"/>
    <cellStyle name="ex60 9 3" xfId="727"/>
    <cellStyle name="ex60 9 4" xfId="728"/>
    <cellStyle name="ex60 9 4 2" xfId="7565"/>
    <cellStyle name="ex60 9 4 3" xfId="7566"/>
    <cellStyle name="ex60 9 4 4" xfId="7567"/>
    <cellStyle name="ex60 9 4 5" xfId="7568"/>
    <cellStyle name="ex60 9 5" xfId="7569"/>
    <cellStyle name="ex60 9 6" xfId="7570"/>
    <cellStyle name="ex60 9 7" xfId="7571"/>
    <cellStyle name="ex60 9 8" xfId="7572"/>
    <cellStyle name="ex61" xfId="14"/>
    <cellStyle name="ex61 10" xfId="729"/>
    <cellStyle name="ex61 10 2" xfId="730"/>
    <cellStyle name="ex61 10 2 2" xfId="731"/>
    <cellStyle name="ex61 10 2 3" xfId="732"/>
    <cellStyle name="ex61 10 3" xfId="733"/>
    <cellStyle name="ex61 10 4" xfId="734"/>
    <cellStyle name="ex61 10 4 2" xfId="7573"/>
    <cellStyle name="ex61 10 4 3" xfId="7574"/>
    <cellStyle name="ex61 10 4 4" xfId="7575"/>
    <cellStyle name="ex61 10 4 5" xfId="7576"/>
    <cellStyle name="ex61 10 5" xfId="7577"/>
    <cellStyle name="ex61 10 6" xfId="7578"/>
    <cellStyle name="ex61 10 7" xfId="7579"/>
    <cellStyle name="ex61 10 8" xfId="7580"/>
    <cellStyle name="ex61 11" xfId="735"/>
    <cellStyle name="ex61 11 2" xfId="736"/>
    <cellStyle name="ex61 11 3" xfId="737"/>
    <cellStyle name="ex61 12" xfId="738"/>
    <cellStyle name="ex61 13" xfId="739"/>
    <cellStyle name="ex61 13 2" xfId="7581"/>
    <cellStyle name="ex61 13 3" xfId="7582"/>
    <cellStyle name="ex61 13 4" xfId="7583"/>
    <cellStyle name="ex61 13 5" xfId="7584"/>
    <cellStyle name="ex61 14" xfId="5510"/>
    <cellStyle name="ex61 15" xfId="7585"/>
    <cellStyle name="ex61 16" xfId="7586"/>
    <cellStyle name="ex61 17" xfId="7587"/>
    <cellStyle name="ex61 18" xfId="23843"/>
    <cellStyle name="ex61 19" xfId="23879"/>
    <cellStyle name="ex61 2" xfId="740"/>
    <cellStyle name="ex61 2 2" xfId="741"/>
    <cellStyle name="ex61 2 2 2" xfId="742"/>
    <cellStyle name="ex61 2 2 2 2" xfId="743"/>
    <cellStyle name="ex61 2 2 2 3" xfId="744"/>
    <cellStyle name="ex61 2 2 3" xfId="745"/>
    <cellStyle name="ex61 2 2 4" xfId="746"/>
    <cellStyle name="ex61 2 2 4 2" xfId="7588"/>
    <cellStyle name="ex61 2 2 4 3" xfId="7589"/>
    <cellStyle name="ex61 2 2 4 4" xfId="7590"/>
    <cellStyle name="ex61 2 2 4 5" xfId="7591"/>
    <cellStyle name="ex61 2 2 5" xfId="7592"/>
    <cellStyle name="ex61 2 2 6" xfId="7593"/>
    <cellStyle name="ex61 2 2 7" xfId="7594"/>
    <cellStyle name="ex61 2 2 8" xfId="7595"/>
    <cellStyle name="ex61 2 3" xfId="747"/>
    <cellStyle name="ex61 2 3 2" xfId="748"/>
    <cellStyle name="ex61 2 3 3" xfId="749"/>
    <cellStyle name="ex61 2 4" xfId="750"/>
    <cellStyle name="ex61 2 5" xfId="751"/>
    <cellStyle name="ex61 2 5 2" xfId="7596"/>
    <cellStyle name="ex61 2 5 3" xfId="7597"/>
    <cellStyle name="ex61 2 5 4" xfId="7598"/>
    <cellStyle name="ex61 2 5 5" xfId="7599"/>
    <cellStyle name="ex61 2 6" xfId="7600"/>
    <cellStyle name="ex61 2 7" xfId="7601"/>
    <cellStyle name="ex61 2 8" xfId="7602"/>
    <cellStyle name="ex61 2 9" xfId="7603"/>
    <cellStyle name="ex61 3" xfId="752"/>
    <cellStyle name="ex61 3 2" xfId="753"/>
    <cellStyle name="ex61 3 2 2" xfId="754"/>
    <cellStyle name="ex61 3 2 3" xfId="755"/>
    <cellStyle name="ex61 3 3" xfId="756"/>
    <cellStyle name="ex61 3 4" xfId="757"/>
    <cellStyle name="ex61 3 4 2" xfId="7604"/>
    <cellStyle name="ex61 3 4 3" xfId="7605"/>
    <cellStyle name="ex61 3 4 4" xfId="7606"/>
    <cellStyle name="ex61 3 4 5" xfId="7607"/>
    <cellStyle name="ex61 3 5" xfId="7608"/>
    <cellStyle name="ex61 3 6" xfId="7609"/>
    <cellStyle name="ex61 3 7" xfId="7610"/>
    <cellStyle name="ex61 3 8" xfId="7611"/>
    <cellStyle name="ex61 4" xfId="758"/>
    <cellStyle name="ex61 4 2" xfId="759"/>
    <cellStyle name="ex61 4 2 2" xfId="760"/>
    <cellStyle name="ex61 4 2 3" xfId="761"/>
    <cellStyle name="ex61 4 3" xfId="762"/>
    <cellStyle name="ex61 4 4" xfId="763"/>
    <cellStyle name="ex61 4 4 2" xfId="7612"/>
    <cellStyle name="ex61 4 4 3" xfId="7613"/>
    <cellStyle name="ex61 4 4 4" xfId="7614"/>
    <cellStyle name="ex61 4 4 5" xfId="7615"/>
    <cellStyle name="ex61 4 5" xfId="7616"/>
    <cellStyle name="ex61 4 6" xfId="7617"/>
    <cellStyle name="ex61 4 7" xfId="7618"/>
    <cellStyle name="ex61 4 8" xfId="7619"/>
    <cellStyle name="ex61 5" xfId="764"/>
    <cellStyle name="ex61 5 2" xfId="765"/>
    <cellStyle name="ex61 5 2 2" xfId="766"/>
    <cellStyle name="ex61 5 2 3" xfId="767"/>
    <cellStyle name="ex61 5 3" xfId="768"/>
    <cellStyle name="ex61 5 4" xfId="769"/>
    <cellStyle name="ex61 5 4 2" xfId="7620"/>
    <cellStyle name="ex61 5 4 3" xfId="7621"/>
    <cellStyle name="ex61 5 4 4" xfId="7622"/>
    <cellStyle name="ex61 5 4 5" xfId="7623"/>
    <cellStyle name="ex61 5 5" xfId="7624"/>
    <cellStyle name="ex61 5 6" xfId="7625"/>
    <cellStyle name="ex61 5 7" xfId="7626"/>
    <cellStyle name="ex61 5 8" xfId="7627"/>
    <cellStyle name="ex61 6" xfId="770"/>
    <cellStyle name="ex61 6 2" xfId="771"/>
    <cellStyle name="ex61 6 2 2" xfId="772"/>
    <cellStyle name="ex61 6 2 3" xfId="773"/>
    <cellStyle name="ex61 6 3" xfId="774"/>
    <cellStyle name="ex61 6 4" xfId="775"/>
    <cellStyle name="ex61 6 4 2" xfId="7628"/>
    <cellStyle name="ex61 6 4 3" xfId="7629"/>
    <cellStyle name="ex61 6 4 4" xfId="7630"/>
    <cellStyle name="ex61 6 4 5" xfId="7631"/>
    <cellStyle name="ex61 6 5" xfId="7632"/>
    <cellStyle name="ex61 6 6" xfId="7633"/>
    <cellStyle name="ex61 6 7" xfId="7634"/>
    <cellStyle name="ex61 6 8" xfId="7635"/>
    <cellStyle name="ex61 7" xfId="776"/>
    <cellStyle name="ex61 7 2" xfId="777"/>
    <cellStyle name="ex61 7 2 2" xfId="778"/>
    <cellStyle name="ex61 7 2 3" xfId="779"/>
    <cellStyle name="ex61 7 3" xfId="780"/>
    <cellStyle name="ex61 7 4" xfId="781"/>
    <cellStyle name="ex61 7 4 2" xfId="7636"/>
    <cellStyle name="ex61 7 4 3" xfId="7637"/>
    <cellStyle name="ex61 7 4 4" xfId="7638"/>
    <cellStyle name="ex61 7 4 5" xfId="7639"/>
    <cellStyle name="ex61 7 5" xfId="7640"/>
    <cellStyle name="ex61 7 6" xfId="7641"/>
    <cellStyle name="ex61 7 7" xfId="7642"/>
    <cellStyle name="ex61 7 8" xfId="7643"/>
    <cellStyle name="ex61 8" xfId="782"/>
    <cellStyle name="ex61 8 2" xfId="783"/>
    <cellStyle name="ex61 8 2 2" xfId="784"/>
    <cellStyle name="ex61 8 2 3" xfId="785"/>
    <cellStyle name="ex61 8 3" xfId="786"/>
    <cellStyle name="ex61 8 4" xfId="787"/>
    <cellStyle name="ex61 8 4 2" xfId="7644"/>
    <cellStyle name="ex61 8 4 3" xfId="7645"/>
    <cellStyle name="ex61 8 4 4" xfId="7646"/>
    <cellStyle name="ex61 8 4 5" xfId="7647"/>
    <cellStyle name="ex61 8 5" xfId="7648"/>
    <cellStyle name="ex61 8 6" xfId="7649"/>
    <cellStyle name="ex61 8 7" xfId="7650"/>
    <cellStyle name="ex61 8 8" xfId="7651"/>
    <cellStyle name="ex61 9" xfId="788"/>
    <cellStyle name="ex61 9 2" xfId="789"/>
    <cellStyle name="ex61 9 2 2" xfId="790"/>
    <cellStyle name="ex61 9 2 3" xfId="791"/>
    <cellStyle name="ex61 9 3" xfId="792"/>
    <cellStyle name="ex61 9 4" xfId="793"/>
    <cellStyle name="ex61 9 4 2" xfId="7652"/>
    <cellStyle name="ex61 9 4 3" xfId="7653"/>
    <cellStyle name="ex61 9 4 4" xfId="7654"/>
    <cellStyle name="ex61 9 4 5" xfId="7655"/>
    <cellStyle name="ex61 9 5" xfId="7656"/>
    <cellStyle name="ex61 9 6" xfId="7657"/>
    <cellStyle name="ex61 9 7" xfId="7658"/>
    <cellStyle name="ex61 9 8" xfId="7659"/>
    <cellStyle name="ex62" xfId="15"/>
    <cellStyle name="ex62 10" xfId="794"/>
    <cellStyle name="ex62 10 2" xfId="795"/>
    <cellStyle name="ex62 10 2 2" xfId="796"/>
    <cellStyle name="ex62 10 2 3" xfId="797"/>
    <cellStyle name="ex62 10 3" xfId="798"/>
    <cellStyle name="ex62 10 4" xfId="799"/>
    <cellStyle name="ex62 10 4 2" xfId="7660"/>
    <cellStyle name="ex62 10 4 3" xfId="7661"/>
    <cellStyle name="ex62 10 4 4" xfId="7662"/>
    <cellStyle name="ex62 10 4 5" xfId="7663"/>
    <cellStyle name="ex62 10 5" xfId="7664"/>
    <cellStyle name="ex62 10 6" xfId="7665"/>
    <cellStyle name="ex62 10 7" xfId="7666"/>
    <cellStyle name="ex62 10 8" xfId="7667"/>
    <cellStyle name="ex62 11" xfId="800"/>
    <cellStyle name="ex62 11 2" xfId="801"/>
    <cellStyle name="ex62 11 3" xfId="802"/>
    <cellStyle name="ex62 12" xfId="803"/>
    <cellStyle name="ex62 13" xfId="804"/>
    <cellStyle name="ex62 13 2" xfId="7668"/>
    <cellStyle name="ex62 13 3" xfId="7669"/>
    <cellStyle name="ex62 13 4" xfId="7670"/>
    <cellStyle name="ex62 13 5" xfId="7671"/>
    <cellStyle name="ex62 14" xfId="7672"/>
    <cellStyle name="ex62 15" xfId="7673"/>
    <cellStyle name="ex62 16" xfId="7674"/>
    <cellStyle name="ex62 17" xfId="7675"/>
    <cellStyle name="ex62 18" xfId="23844"/>
    <cellStyle name="ex62 19" xfId="23880"/>
    <cellStyle name="ex62 2" xfId="805"/>
    <cellStyle name="ex62 2 2" xfId="806"/>
    <cellStyle name="ex62 2 2 2" xfId="807"/>
    <cellStyle name="ex62 2 2 2 2" xfId="808"/>
    <cellStyle name="ex62 2 2 2 3" xfId="809"/>
    <cellStyle name="ex62 2 2 3" xfId="810"/>
    <cellStyle name="ex62 2 2 4" xfId="811"/>
    <cellStyle name="ex62 2 2 4 2" xfId="7676"/>
    <cellStyle name="ex62 2 2 4 3" xfId="7677"/>
    <cellStyle name="ex62 2 2 4 4" xfId="7678"/>
    <cellStyle name="ex62 2 2 4 5" xfId="7679"/>
    <cellStyle name="ex62 2 2 5" xfId="7680"/>
    <cellStyle name="ex62 2 2 6" xfId="7681"/>
    <cellStyle name="ex62 2 2 7" xfId="7682"/>
    <cellStyle name="ex62 2 2 8" xfId="7683"/>
    <cellStyle name="ex62 2 3" xfId="812"/>
    <cellStyle name="ex62 2 3 2" xfId="813"/>
    <cellStyle name="ex62 2 3 3" xfId="814"/>
    <cellStyle name="ex62 2 4" xfId="815"/>
    <cellStyle name="ex62 2 5" xfId="816"/>
    <cellStyle name="ex62 2 5 2" xfId="7684"/>
    <cellStyle name="ex62 2 5 3" xfId="7685"/>
    <cellStyle name="ex62 2 5 4" xfId="7686"/>
    <cellStyle name="ex62 2 5 5" xfId="7687"/>
    <cellStyle name="ex62 2 6" xfId="7688"/>
    <cellStyle name="ex62 2 7" xfId="7689"/>
    <cellStyle name="ex62 2 8" xfId="7690"/>
    <cellStyle name="ex62 2 9" xfId="7691"/>
    <cellStyle name="ex62 3" xfId="817"/>
    <cellStyle name="ex62 3 2" xfId="818"/>
    <cellStyle name="ex62 3 2 2" xfId="819"/>
    <cellStyle name="ex62 3 2 3" xfId="820"/>
    <cellStyle name="ex62 3 3" xfId="821"/>
    <cellStyle name="ex62 3 4" xfId="822"/>
    <cellStyle name="ex62 3 4 2" xfId="7692"/>
    <cellStyle name="ex62 3 4 3" xfId="7693"/>
    <cellStyle name="ex62 3 4 4" xfId="7694"/>
    <cellStyle name="ex62 3 4 5" xfId="7695"/>
    <cellStyle name="ex62 3 5" xfId="7696"/>
    <cellStyle name="ex62 3 6" xfId="7697"/>
    <cellStyle name="ex62 3 7" xfId="7698"/>
    <cellStyle name="ex62 3 8" xfId="7699"/>
    <cellStyle name="ex62 4" xfId="823"/>
    <cellStyle name="ex62 4 2" xfId="824"/>
    <cellStyle name="ex62 4 2 2" xfId="825"/>
    <cellStyle name="ex62 4 2 3" xfId="826"/>
    <cellStyle name="ex62 4 3" xfId="827"/>
    <cellStyle name="ex62 4 4" xfId="828"/>
    <cellStyle name="ex62 4 4 2" xfId="7700"/>
    <cellStyle name="ex62 4 4 3" xfId="7701"/>
    <cellStyle name="ex62 4 4 4" xfId="7702"/>
    <cellStyle name="ex62 4 4 5" xfId="7703"/>
    <cellStyle name="ex62 4 5" xfId="7704"/>
    <cellStyle name="ex62 4 6" xfId="7705"/>
    <cellStyle name="ex62 4 7" xfId="7706"/>
    <cellStyle name="ex62 4 8" xfId="7707"/>
    <cellStyle name="ex62 5" xfId="829"/>
    <cellStyle name="ex62 5 2" xfId="830"/>
    <cellStyle name="ex62 5 2 2" xfId="831"/>
    <cellStyle name="ex62 5 2 3" xfId="832"/>
    <cellStyle name="ex62 5 3" xfId="833"/>
    <cellStyle name="ex62 5 4" xfId="834"/>
    <cellStyle name="ex62 5 4 2" xfId="7708"/>
    <cellStyle name="ex62 5 4 3" xfId="7709"/>
    <cellStyle name="ex62 5 4 4" xfId="7710"/>
    <cellStyle name="ex62 5 4 5" xfId="7711"/>
    <cellStyle name="ex62 5 5" xfId="7712"/>
    <cellStyle name="ex62 5 6" xfId="7713"/>
    <cellStyle name="ex62 5 7" xfId="7714"/>
    <cellStyle name="ex62 5 8" xfId="7715"/>
    <cellStyle name="ex62 6" xfId="835"/>
    <cellStyle name="ex62 6 2" xfId="836"/>
    <cellStyle name="ex62 6 2 2" xfId="837"/>
    <cellStyle name="ex62 6 2 3" xfId="838"/>
    <cellStyle name="ex62 6 3" xfId="839"/>
    <cellStyle name="ex62 6 4" xfId="840"/>
    <cellStyle name="ex62 6 4 2" xfId="7716"/>
    <cellStyle name="ex62 6 4 3" xfId="7717"/>
    <cellStyle name="ex62 6 4 4" xfId="7718"/>
    <cellStyle name="ex62 6 4 5" xfId="7719"/>
    <cellStyle name="ex62 6 5" xfId="7720"/>
    <cellStyle name="ex62 6 6" xfId="7721"/>
    <cellStyle name="ex62 6 7" xfId="7722"/>
    <cellStyle name="ex62 6 8" xfId="7723"/>
    <cellStyle name="ex62 7" xfId="841"/>
    <cellStyle name="ex62 7 2" xfId="842"/>
    <cellStyle name="ex62 7 2 2" xfId="843"/>
    <cellStyle name="ex62 7 2 3" xfId="844"/>
    <cellStyle name="ex62 7 3" xfId="845"/>
    <cellStyle name="ex62 7 4" xfId="846"/>
    <cellStyle name="ex62 7 4 2" xfId="7724"/>
    <cellStyle name="ex62 7 4 3" xfId="7725"/>
    <cellStyle name="ex62 7 4 4" xfId="7726"/>
    <cellStyle name="ex62 7 4 5" xfId="7727"/>
    <cellStyle name="ex62 7 5" xfId="7728"/>
    <cellStyle name="ex62 7 6" xfId="7729"/>
    <cellStyle name="ex62 7 7" xfId="7730"/>
    <cellStyle name="ex62 7 8" xfId="7731"/>
    <cellStyle name="ex62 8" xfId="847"/>
    <cellStyle name="ex62 8 2" xfId="848"/>
    <cellStyle name="ex62 8 2 2" xfId="849"/>
    <cellStyle name="ex62 8 2 3" xfId="850"/>
    <cellStyle name="ex62 8 3" xfId="851"/>
    <cellStyle name="ex62 8 4" xfId="852"/>
    <cellStyle name="ex62 8 4 2" xfId="7732"/>
    <cellStyle name="ex62 8 4 3" xfId="7733"/>
    <cellStyle name="ex62 8 4 4" xfId="7734"/>
    <cellStyle name="ex62 8 4 5" xfId="7735"/>
    <cellStyle name="ex62 8 5" xfId="7736"/>
    <cellStyle name="ex62 8 6" xfId="7737"/>
    <cellStyle name="ex62 8 7" xfId="7738"/>
    <cellStyle name="ex62 8 8" xfId="7739"/>
    <cellStyle name="ex62 9" xfId="853"/>
    <cellStyle name="ex62 9 2" xfId="854"/>
    <cellStyle name="ex62 9 2 2" xfId="855"/>
    <cellStyle name="ex62 9 2 3" xfId="856"/>
    <cellStyle name="ex62 9 3" xfId="857"/>
    <cellStyle name="ex62 9 4" xfId="858"/>
    <cellStyle name="ex62 9 4 2" xfId="7740"/>
    <cellStyle name="ex62 9 4 3" xfId="7741"/>
    <cellStyle name="ex62 9 4 4" xfId="7742"/>
    <cellStyle name="ex62 9 4 5" xfId="7743"/>
    <cellStyle name="ex62 9 5" xfId="7744"/>
    <cellStyle name="ex62 9 6" xfId="7745"/>
    <cellStyle name="ex62 9 7" xfId="7746"/>
    <cellStyle name="ex62 9 8" xfId="7747"/>
    <cellStyle name="ex63" xfId="16"/>
    <cellStyle name="ex63 10" xfId="859"/>
    <cellStyle name="ex63 10 2" xfId="860"/>
    <cellStyle name="ex63 10 2 2" xfId="861"/>
    <cellStyle name="ex63 10 2 3" xfId="862"/>
    <cellStyle name="ex63 10 3" xfId="863"/>
    <cellStyle name="ex63 10 4" xfId="864"/>
    <cellStyle name="ex63 10 4 2" xfId="7748"/>
    <cellStyle name="ex63 10 4 3" xfId="7749"/>
    <cellStyle name="ex63 10 4 4" xfId="7750"/>
    <cellStyle name="ex63 10 4 5" xfId="7751"/>
    <cellStyle name="ex63 10 5" xfId="7752"/>
    <cellStyle name="ex63 10 6" xfId="7753"/>
    <cellStyle name="ex63 10 7" xfId="7754"/>
    <cellStyle name="ex63 10 8" xfId="7755"/>
    <cellStyle name="ex63 11" xfId="865"/>
    <cellStyle name="ex63 11 2" xfId="866"/>
    <cellStyle name="ex63 11 3" xfId="867"/>
    <cellStyle name="ex63 12" xfId="868"/>
    <cellStyle name="ex63 13" xfId="869"/>
    <cellStyle name="ex63 13 2" xfId="7756"/>
    <cellStyle name="ex63 13 3" xfId="7757"/>
    <cellStyle name="ex63 13 4" xfId="7758"/>
    <cellStyle name="ex63 13 5" xfId="7759"/>
    <cellStyle name="ex63 14" xfId="5509"/>
    <cellStyle name="ex63 15" xfId="7760"/>
    <cellStyle name="ex63 16" xfId="7761"/>
    <cellStyle name="ex63 17" xfId="7762"/>
    <cellStyle name="ex63 18" xfId="23845"/>
    <cellStyle name="ex63 19" xfId="23881"/>
    <cellStyle name="ex63 2" xfId="870"/>
    <cellStyle name="ex63 2 2" xfId="871"/>
    <cellStyle name="ex63 2 2 2" xfId="872"/>
    <cellStyle name="ex63 2 2 3" xfId="873"/>
    <cellStyle name="ex63 2 3" xfId="874"/>
    <cellStyle name="ex63 2 4" xfId="875"/>
    <cellStyle name="ex63 2 4 2" xfId="7763"/>
    <cellStyle name="ex63 2 4 3" xfId="7764"/>
    <cellStyle name="ex63 2 4 4" xfId="7765"/>
    <cellStyle name="ex63 2 4 5" xfId="7766"/>
    <cellStyle name="ex63 2 5" xfId="7767"/>
    <cellStyle name="ex63 2 6" xfId="7768"/>
    <cellStyle name="ex63 2 7" xfId="7769"/>
    <cellStyle name="ex63 2 8" xfId="7770"/>
    <cellStyle name="ex63 3" xfId="876"/>
    <cellStyle name="ex63 3 2" xfId="877"/>
    <cellStyle name="ex63 3 2 2" xfId="878"/>
    <cellStyle name="ex63 3 2 3" xfId="879"/>
    <cellStyle name="ex63 3 3" xfId="880"/>
    <cellStyle name="ex63 3 4" xfId="881"/>
    <cellStyle name="ex63 3 4 2" xfId="7771"/>
    <cellStyle name="ex63 3 4 3" xfId="7772"/>
    <cellStyle name="ex63 3 4 4" xfId="7773"/>
    <cellStyle name="ex63 3 4 5" xfId="7774"/>
    <cellStyle name="ex63 3 5" xfId="7775"/>
    <cellStyle name="ex63 3 6" xfId="7776"/>
    <cellStyle name="ex63 3 7" xfId="7777"/>
    <cellStyle name="ex63 3 8" xfId="7778"/>
    <cellStyle name="ex63 4" xfId="882"/>
    <cellStyle name="ex63 4 2" xfId="883"/>
    <cellStyle name="ex63 4 2 2" xfId="884"/>
    <cellStyle name="ex63 4 2 3" xfId="885"/>
    <cellStyle name="ex63 4 3" xfId="886"/>
    <cellStyle name="ex63 4 4" xfId="887"/>
    <cellStyle name="ex63 4 4 2" xfId="7779"/>
    <cellStyle name="ex63 4 4 3" xfId="7780"/>
    <cellStyle name="ex63 4 4 4" xfId="7781"/>
    <cellStyle name="ex63 4 4 5" xfId="7782"/>
    <cellStyle name="ex63 4 5" xfId="7783"/>
    <cellStyle name="ex63 4 6" xfId="7784"/>
    <cellStyle name="ex63 4 7" xfId="7785"/>
    <cellStyle name="ex63 4 8" xfId="7786"/>
    <cellStyle name="ex63 5" xfId="888"/>
    <cellStyle name="ex63 5 2" xfId="889"/>
    <cellStyle name="ex63 5 2 2" xfId="890"/>
    <cellStyle name="ex63 5 2 3" xfId="891"/>
    <cellStyle name="ex63 5 3" xfId="892"/>
    <cellStyle name="ex63 5 4" xfId="893"/>
    <cellStyle name="ex63 5 4 2" xfId="7787"/>
    <cellStyle name="ex63 5 4 3" xfId="7788"/>
    <cellStyle name="ex63 5 4 4" xfId="7789"/>
    <cellStyle name="ex63 5 4 5" xfId="7790"/>
    <cellStyle name="ex63 5 5" xfId="7791"/>
    <cellStyle name="ex63 5 6" xfId="7792"/>
    <cellStyle name="ex63 5 7" xfId="7793"/>
    <cellStyle name="ex63 5 8" xfId="7794"/>
    <cellStyle name="ex63 6" xfId="894"/>
    <cellStyle name="ex63 6 2" xfId="895"/>
    <cellStyle name="ex63 6 2 2" xfId="896"/>
    <cellStyle name="ex63 6 2 3" xfId="897"/>
    <cellStyle name="ex63 6 3" xfId="898"/>
    <cellStyle name="ex63 6 4" xfId="899"/>
    <cellStyle name="ex63 6 4 2" xfId="7795"/>
    <cellStyle name="ex63 6 4 3" xfId="7796"/>
    <cellStyle name="ex63 6 4 4" xfId="7797"/>
    <cellStyle name="ex63 6 4 5" xfId="7798"/>
    <cellStyle name="ex63 6 5" xfId="7799"/>
    <cellStyle name="ex63 6 6" xfId="7800"/>
    <cellStyle name="ex63 6 7" xfId="7801"/>
    <cellStyle name="ex63 6 8" xfId="7802"/>
    <cellStyle name="ex63 7" xfId="900"/>
    <cellStyle name="ex63 7 2" xfId="901"/>
    <cellStyle name="ex63 7 2 2" xfId="902"/>
    <cellStyle name="ex63 7 2 3" xfId="903"/>
    <cellStyle name="ex63 7 3" xfId="904"/>
    <cellStyle name="ex63 7 4" xfId="905"/>
    <cellStyle name="ex63 7 4 2" xfId="7803"/>
    <cellStyle name="ex63 7 4 3" xfId="7804"/>
    <cellStyle name="ex63 7 4 4" xfId="7805"/>
    <cellStyle name="ex63 7 4 5" xfId="7806"/>
    <cellStyle name="ex63 7 5" xfId="7807"/>
    <cellStyle name="ex63 7 6" xfId="7808"/>
    <cellStyle name="ex63 7 7" xfId="7809"/>
    <cellStyle name="ex63 7 8" xfId="7810"/>
    <cellStyle name="ex63 8" xfId="906"/>
    <cellStyle name="ex63 8 2" xfId="907"/>
    <cellStyle name="ex63 8 2 2" xfId="908"/>
    <cellStyle name="ex63 8 2 3" xfId="909"/>
    <cellStyle name="ex63 8 3" xfId="910"/>
    <cellStyle name="ex63 8 4" xfId="911"/>
    <cellStyle name="ex63 8 4 2" xfId="7811"/>
    <cellStyle name="ex63 8 4 3" xfId="7812"/>
    <cellStyle name="ex63 8 4 4" xfId="7813"/>
    <cellStyle name="ex63 8 4 5" xfId="7814"/>
    <cellStyle name="ex63 8 5" xfId="7815"/>
    <cellStyle name="ex63 8 6" xfId="7816"/>
    <cellStyle name="ex63 8 7" xfId="7817"/>
    <cellStyle name="ex63 8 8" xfId="7818"/>
    <cellStyle name="ex63 9" xfId="912"/>
    <cellStyle name="ex63 9 2" xfId="913"/>
    <cellStyle name="ex63 9 2 2" xfId="914"/>
    <cellStyle name="ex63 9 2 3" xfId="915"/>
    <cellStyle name="ex63 9 3" xfId="916"/>
    <cellStyle name="ex63 9 4" xfId="917"/>
    <cellStyle name="ex63 9 4 2" xfId="7819"/>
    <cellStyle name="ex63 9 4 3" xfId="7820"/>
    <cellStyle name="ex63 9 4 4" xfId="7821"/>
    <cellStyle name="ex63 9 4 5" xfId="7822"/>
    <cellStyle name="ex63 9 5" xfId="7823"/>
    <cellStyle name="ex63 9 6" xfId="7824"/>
    <cellStyle name="ex63 9 7" xfId="7825"/>
    <cellStyle name="ex63 9 8" xfId="7826"/>
    <cellStyle name="ex64" xfId="918"/>
    <cellStyle name="ex64 10" xfId="919"/>
    <cellStyle name="ex64 10 2" xfId="920"/>
    <cellStyle name="ex64 10 2 2" xfId="921"/>
    <cellStyle name="ex64 10 2 3" xfId="922"/>
    <cellStyle name="ex64 10 3" xfId="923"/>
    <cellStyle name="ex64 10 4" xfId="924"/>
    <cellStyle name="ex64 10 4 2" xfId="7827"/>
    <cellStyle name="ex64 10 4 3" xfId="7828"/>
    <cellStyle name="ex64 10 4 4" xfId="7829"/>
    <cellStyle name="ex64 10 4 5" xfId="7830"/>
    <cellStyle name="ex64 10 5" xfId="7831"/>
    <cellStyle name="ex64 10 6" xfId="7832"/>
    <cellStyle name="ex64 10 7" xfId="7833"/>
    <cellStyle name="ex64 10 8" xfId="7834"/>
    <cellStyle name="ex64 11" xfId="925"/>
    <cellStyle name="ex64 11 2" xfId="926"/>
    <cellStyle name="ex64 11 2 2" xfId="927"/>
    <cellStyle name="ex64 11 2 3" xfId="928"/>
    <cellStyle name="ex64 11 3" xfId="929"/>
    <cellStyle name="ex64 11 4" xfId="930"/>
    <cellStyle name="ex64 11 4 2" xfId="7835"/>
    <cellStyle name="ex64 11 4 3" xfId="7836"/>
    <cellStyle name="ex64 11 4 4" xfId="7837"/>
    <cellStyle name="ex64 11 4 5" xfId="7838"/>
    <cellStyle name="ex64 11 5" xfId="7839"/>
    <cellStyle name="ex64 11 6" xfId="7840"/>
    <cellStyle name="ex64 11 7" xfId="7841"/>
    <cellStyle name="ex64 11 8" xfId="7842"/>
    <cellStyle name="ex64 12" xfId="931"/>
    <cellStyle name="ex64 12 2" xfId="932"/>
    <cellStyle name="ex64 12 3" xfId="933"/>
    <cellStyle name="ex64 13" xfId="934"/>
    <cellStyle name="ex64 14" xfId="935"/>
    <cellStyle name="ex64 14 2" xfId="7843"/>
    <cellStyle name="ex64 14 3" xfId="7844"/>
    <cellStyle name="ex64 14 4" xfId="7845"/>
    <cellStyle name="ex64 14 5" xfId="7846"/>
    <cellStyle name="ex64 15" xfId="7847"/>
    <cellStyle name="ex64 16" xfId="7848"/>
    <cellStyle name="ex64 17" xfId="7849"/>
    <cellStyle name="ex64 18" xfId="7850"/>
    <cellStyle name="ex64 19" xfId="23846"/>
    <cellStyle name="ex64 2" xfId="936"/>
    <cellStyle name="ex64 2 10" xfId="937"/>
    <cellStyle name="ex64 2 10 2" xfId="938"/>
    <cellStyle name="ex64 2 10 2 2" xfId="939"/>
    <cellStyle name="ex64 2 10 2 3" xfId="940"/>
    <cellStyle name="ex64 2 10 3" xfId="941"/>
    <cellStyle name="ex64 2 10 4" xfId="942"/>
    <cellStyle name="ex64 2 10 4 2" xfId="7851"/>
    <cellStyle name="ex64 2 10 4 3" xfId="7852"/>
    <cellStyle name="ex64 2 10 4 4" xfId="7853"/>
    <cellStyle name="ex64 2 10 4 5" xfId="7854"/>
    <cellStyle name="ex64 2 10 5" xfId="7855"/>
    <cellStyle name="ex64 2 10 6" xfId="7856"/>
    <cellStyle name="ex64 2 10 7" xfId="7857"/>
    <cellStyle name="ex64 2 10 8" xfId="7858"/>
    <cellStyle name="ex64 2 11" xfId="943"/>
    <cellStyle name="ex64 2 11 2" xfId="944"/>
    <cellStyle name="ex64 2 11 3" xfId="945"/>
    <cellStyle name="ex64 2 12" xfId="946"/>
    <cellStyle name="ex64 2 13" xfId="947"/>
    <cellStyle name="ex64 2 13 2" xfId="7859"/>
    <cellStyle name="ex64 2 13 3" xfId="7860"/>
    <cellStyle name="ex64 2 13 4" xfId="7861"/>
    <cellStyle name="ex64 2 13 5" xfId="7862"/>
    <cellStyle name="ex64 2 14" xfId="7863"/>
    <cellStyle name="ex64 2 15" xfId="7864"/>
    <cellStyle name="ex64 2 16" xfId="7865"/>
    <cellStyle name="ex64 2 17" xfId="7866"/>
    <cellStyle name="ex64 2 2" xfId="948"/>
    <cellStyle name="ex64 2 2 2" xfId="949"/>
    <cellStyle name="ex64 2 2 2 2" xfId="950"/>
    <cellStyle name="ex64 2 2 2 3" xfId="951"/>
    <cellStyle name="ex64 2 2 3" xfId="952"/>
    <cellStyle name="ex64 2 2 4" xfId="953"/>
    <cellStyle name="ex64 2 2 4 2" xfId="7867"/>
    <cellStyle name="ex64 2 2 4 3" xfId="7868"/>
    <cellStyle name="ex64 2 2 4 4" xfId="7869"/>
    <cellStyle name="ex64 2 2 4 5" xfId="7870"/>
    <cellStyle name="ex64 2 2 5" xfId="7871"/>
    <cellStyle name="ex64 2 2 6" xfId="7872"/>
    <cellStyle name="ex64 2 2 7" xfId="7873"/>
    <cellStyle name="ex64 2 2 8" xfId="7874"/>
    <cellStyle name="ex64 2 3" xfId="954"/>
    <cellStyle name="ex64 2 3 2" xfId="955"/>
    <cellStyle name="ex64 2 3 2 2" xfId="956"/>
    <cellStyle name="ex64 2 3 2 3" xfId="957"/>
    <cellStyle name="ex64 2 3 3" xfId="958"/>
    <cellStyle name="ex64 2 3 4" xfId="959"/>
    <cellStyle name="ex64 2 3 4 2" xfId="7875"/>
    <cellStyle name="ex64 2 3 4 3" xfId="7876"/>
    <cellStyle name="ex64 2 3 4 4" xfId="7877"/>
    <cellStyle name="ex64 2 3 4 5" xfId="7878"/>
    <cellStyle name="ex64 2 3 5" xfId="7879"/>
    <cellStyle name="ex64 2 3 6" xfId="7880"/>
    <cellStyle name="ex64 2 3 7" xfId="7881"/>
    <cellStyle name="ex64 2 3 8" xfId="7882"/>
    <cellStyle name="ex64 2 4" xfId="960"/>
    <cellStyle name="ex64 2 4 2" xfId="961"/>
    <cellStyle name="ex64 2 4 2 2" xfId="962"/>
    <cellStyle name="ex64 2 4 2 3" xfId="963"/>
    <cellStyle name="ex64 2 4 3" xfId="964"/>
    <cellStyle name="ex64 2 4 4" xfId="965"/>
    <cellStyle name="ex64 2 4 4 2" xfId="7883"/>
    <cellStyle name="ex64 2 4 4 3" xfId="7884"/>
    <cellStyle name="ex64 2 4 4 4" xfId="7885"/>
    <cellStyle name="ex64 2 4 4 5" xfId="7886"/>
    <cellStyle name="ex64 2 4 5" xfId="7887"/>
    <cellStyle name="ex64 2 4 6" xfId="7888"/>
    <cellStyle name="ex64 2 4 7" xfId="7889"/>
    <cellStyle name="ex64 2 4 8" xfId="7890"/>
    <cellStyle name="ex64 2 5" xfId="966"/>
    <cellStyle name="ex64 2 5 2" xfId="967"/>
    <cellStyle name="ex64 2 5 2 2" xfId="968"/>
    <cellStyle name="ex64 2 5 2 3" xfId="969"/>
    <cellStyle name="ex64 2 5 3" xfId="970"/>
    <cellStyle name="ex64 2 5 4" xfId="971"/>
    <cellStyle name="ex64 2 5 4 2" xfId="7891"/>
    <cellStyle name="ex64 2 5 4 3" xfId="7892"/>
    <cellStyle name="ex64 2 5 4 4" xfId="7893"/>
    <cellStyle name="ex64 2 5 4 5" xfId="7894"/>
    <cellStyle name="ex64 2 5 5" xfId="7895"/>
    <cellStyle name="ex64 2 5 6" xfId="7896"/>
    <cellStyle name="ex64 2 5 7" xfId="7897"/>
    <cellStyle name="ex64 2 5 8" xfId="7898"/>
    <cellStyle name="ex64 2 6" xfId="972"/>
    <cellStyle name="ex64 2 6 2" xfId="973"/>
    <cellStyle name="ex64 2 6 2 2" xfId="974"/>
    <cellStyle name="ex64 2 6 2 3" xfId="975"/>
    <cellStyle name="ex64 2 6 3" xfId="976"/>
    <cellStyle name="ex64 2 6 4" xfId="977"/>
    <cellStyle name="ex64 2 6 4 2" xfId="7899"/>
    <cellStyle name="ex64 2 6 4 3" xfId="7900"/>
    <cellStyle name="ex64 2 6 4 4" xfId="7901"/>
    <cellStyle name="ex64 2 6 4 5" xfId="7902"/>
    <cellStyle name="ex64 2 6 5" xfId="7903"/>
    <cellStyle name="ex64 2 6 6" xfId="7904"/>
    <cellStyle name="ex64 2 6 7" xfId="7905"/>
    <cellStyle name="ex64 2 6 8" xfId="7906"/>
    <cellStyle name="ex64 2 7" xfId="978"/>
    <cellStyle name="ex64 2 7 2" xfId="979"/>
    <cellStyle name="ex64 2 7 2 2" xfId="980"/>
    <cellStyle name="ex64 2 7 2 3" xfId="981"/>
    <cellStyle name="ex64 2 7 3" xfId="982"/>
    <cellStyle name="ex64 2 7 4" xfId="983"/>
    <cellStyle name="ex64 2 7 4 2" xfId="7907"/>
    <cellStyle name="ex64 2 7 4 3" xfId="7908"/>
    <cellStyle name="ex64 2 7 4 4" xfId="7909"/>
    <cellStyle name="ex64 2 7 4 5" xfId="7910"/>
    <cellStyle name="ex64 2 7 5" xfId="7911"/>
    <cellStyle name="ex64 2 7 6" xfId="7912"/>
    <cellStyle name="ex64 2 7 7" xfId="7913"/>
    <cellStyle name="ex64 2 7 8" xfId="7914"/>
    <cellStyle name="ex64 2 8" xfId="984"/>
    <cellStyle name="ex64 2 8 2" xfId="985"/>
    <cellStyle name="ex64 2 8 2 2" xfId="986"/>
    <cellStyle name="ex64 2 8 2 3" xfId="987"/>
    <cellStyle name="ex64 2 8 3" xfId="988"/>
    <cellStyle name="ex64 2 8 4" xfId="989"/>
    <cellStyle name="ex64 2 8 4 2" xfId="7915"/>
    <cellStyle name="ex64 2 8 4 3" xfId="7916"/>
    <cellStyle name="ex64 2 8 4 4" xfId="7917"/>
    <cellStyle name="ex64 2 8 4 5" xfId="7918"/>
    <cellStyle name="ex64 2 8 5" xfId="7919"/>
    <cellStyle name="ex64 2 8 6" xfId="7920"/>
    <cellStyle name="ex64 2 8 7" xfId="7921"/>
    <cellStyle name="ex64 2 8 8" xfId="7922"/>
    <cellStyle name="ex64 2 9" xfId="990"/>
    <cellStyle name="ex64 2 9 2" xfId="991"/>
    <cellStyle name="ex64 2 9 2 2" xfId="992"/>
    <cellStyle name="ex64 2 9 2 3" xfId="993"/>
    <cellStyle name="ex64 2 9 3" xfId="994"/>
    <cellStyle name="ex64 2 9 4" xfId="995"/>
    <cellStyle name="ex64 2 9 4 2" xfId="7923"/>
    <cellStyle name="ex64 2 9 4 3" xfId="7924"/>
    <cellStyle name="ex64 2 9 4 4" xfId="7925"/>
    <cellStyle name="ex64 2 9 4 5" xfId="7926"/>
    <cellStyle name="ex64 2 9 5" xfId="7927"/>
    <cellStyle name="ex64 2 9 6" xfId="7928"/>
    <cellStyle name="ex64 2 9 7" xfId="7929"/>
    <cellStyle name="ex64 2 9 8" xfId="7930"/>
    <cellStyle name="ex64 20" xfId="23917"/>
    <cellStyle name="ex64 3" xfId="996"/>
    <cellStyle name="ex64 3 2" xfId="997"/>
    <cellStyle name="ex64 3 2 2" xfId="998"/>
    <cellStyle name="ex64 3 2 3" xfId="999"/>
    <cellStyle name="ex64 3 3" xfId="1000"/>
    <cellStyle name="ex64 3 4" xfId="1001"/>
    <cellStyle name="ex64 3 4 2" xfId="7931"/>
    <cellStyle name="ex64 3 4 3" xfId="7932"/>
    <cellStyle name="ex64 3 4 4" xfId="7933"/>
    <cellStyle name="ex64 3 4 5" xfId="7934"/>
    <cellStyle name="ex64 3 5" xfId="7935"/>
    <cellStyle name="ex64 3 6" xfId="7936"/>
    <cellStyle name="ex64 3 7" xfId="7937"/>
    <cellStyle name="ex64 3 8" xfId="7938"/>
    <cellStyle name="ex64 4" xfId="1002"/>
    <cellStyle name="ex64 4 2" xfId="1003"/>
    <cellStyle name="ex64 4 2 2" xfId="1004"/>
    <cellStyle name="ex64 4 2 3" xfId="1005"/>
    <cellStyle name="ex64 4 3" xfId="1006"/>
    <cellStyle name="ex64 4 4" xfId="1007"/>
    <cellStyle name="ex64 4 4 2" xfId="7939"/>
    <cellStyle name="ex64 4 4 3" xfId="7940"/>
    <cellStyle name="ex64 4 4 4" xfId="7941"/>
    <cellStyle name="ex64 4 4 5" xfId="7942"/>
    <cellStyle name="ex64 4 5" xfId="7943"/>
    <cellStyle name="ex64 4 6" xfId="7944"/>
    <cellStyle name="ex64 4 7" xfId="7945"/>
    <cellStyle name="ex64 4 8" xfId="7946"/>
    <cellStyle name="ex64 5" xfId="1008"/>
    <cellStyle name="ex64 5 2" xfId="1009"/>
    <cellStyle name="ex64 5 2 2" xfId="1010"/>
    <cellStyle name="ex64 5 2 3" xfId="1011"/>
    <cellStyle name="ex64 5 3" xfId="1012"/>
    <cellStyle name="ex64 5 4" xfId="1013"/>
    <cellStyle name="ex64 5 4 2" xfId="7947"/>
    <cellStyle name="ex64 5 4 3" xfId="7948"/>
    <cellStyle name="ex64 5 4 4" xfId="7949"/>
    <cellStyle name="ex64 5 4 5" xfId="7950"/>
    <cellStyle name="ex64 5 5" xfId="7951"/>
    <cellStyle name="ex64 5 6" xfId="7952"/>
    <cellStyle name="ex64 5 7" xfId="7953"/>
    <cellStyle name="ex64 5 8" xfId="7954"/>
    <cellStyle name="ex64 6" xfId="1014"/>
    <cellStyle name="ex64 6 2" xfId="1015"/>
    <cellStyle name="ex64 6 2 2" xfId="1016"/>
    <cellStyle name="ex64 6 2 3" xfId="1017"/>
    <cellStyle name="ex64 6 3" xfId="1018"/>
    <cellStyle name="ex64 6 4" xfId="1019"/>
    <cellStyle name="ex64 6 4 2" xfId="7955"/>
    <cellStyle name="ex64 6 4 3" xfId="7956"/>
    <cellStyle name="ex64 6 4 4" xfId="7957"/>
    <cellStyle name="ex64 6 4 5" xfId="7958"/>
    <cellStyle name="ex64 6 5" xfId="7959"/>
    <cellStyle name="ex64 6 6" xfId="7960"/>
    <cellStyle name="ex64 6 7" xfId="7961"/>
    <cellStyle name="ex64 6 8" xfId="7962"/>
    <cellStyle name="ex64 7" xfId="1020"/>
    <cellStyle name="ex64 7 2" xfId="1021"/>
    <cellStyle name="ex64 7 2 2" xfId="1022"/>
    <cellStyle name="ex64 7 2 3" xfId="1023"/>
    <cellStyle name="ex64 7 3" xfId="1024"/>
    <cellStyle name="ex64 7 4" xfId="1025"/>
    <cellStyle name="ex64 7 4 2" xfId="7963"/>
    <cellStyle name="ex64 7 4 3" xfId="7964"/>
    <cellStyle name="ex64 7 4 4" xfId="7965"/>
    <cellStyle name="ex64 7 4 5" xfId="7966"/>
    <cellStyle name="ex64 7 5" xfId="7967"/>
    <cellStyle name="ex64 7 6" xfId="7968"/>
    <cellStyle name="ex64 7 7" xfId="7969"/>
    <cellStyle name="ex64 7 8" xfId="7970"/>
    <cellStyle name="ex64 8" xfId="1026"/>
    <cellStyle name="ex64 8 2" xfId="1027"/>
    <cellStyle name="ex64 8 2 2" xfId="1028"/>
    <cellStyle name="ex64 8 2 3" xfId="1029"/>
    <cellStyle name="ex64 8 3" xfId="1030"/>
    <cellStyle name="ex64 8 4" xfId="1031"/>
    <cellStyle name="ex64 8 4 2" xfId="7971"/>
    <cellStyle name="ex64 8 4 3" xfId="7972"/>
    <cellStyle name="ex64 8 4 4" xfId="7973"/>
    <cellStyle name="ex64 8 4 5" xfId="7974"/>
    <cellStyle name="ex64 8 5" xfId="7975"/>
    <cellStyle name="ex64 8 6" xfId="7976"/>
    <cellStyle name="ex64 8 7" xfId="7977"/>
    <cellStyle name="ex64 8 8" xfId="7978"/>
    <cellStyle name="ex64 9" xfId="1032"/>
    <cellStyle name="ex64 9 2" xfId="1033"/>
    <cellStyle name="ex64 9 2 2" xfId="1034"/>
    <cellStyle name="ex64 9 2 3" xfId="1035"/>
    <cellStyle name="ex64 9 3" xfId="1036"/>
    <cellStyle name="ex64 9 4" xfId="1037"/>
    <cellStyle name="ex64 9 4 2" xfId="7979"/>
    <cellStyle name="ex64 9 4 3" xfId="7980"/>
    <cellStyle name="ex64 9 4 4" xfId="7981"/>
    <cellStyle name="ex64 9 4 5" xfId="7982"/>
    <cellStyle name="ex64 9 5" xfId="7983"/>
    <cellStyle name="ex64 9 6" xfId="7984"/>
    <cellStyle name="ex64 9 7" xfId="7985"/>
    <cellStyle name="ex64 9 8" xfId="7986"/>
    <cellStyle name="ex65" xfId="18"/>
    <cellStyle name="ex65 10" xfId="1038"/>
    <cellStyle name="ex65 10 2" xfId="1039"/>
    <cellStyle name="ex65 10 2 2" xfId="1040"/>
    <cellStyle name="ex65 10 2 3" xfId="1041"/>
    <cellStyle name="ex65 10 3" xfId="1042"/>
    <cellStyle name="ex65 10 4" xfId="1043"/>
    <cellStyle name="ex65 10 4 2" xfId="7987"/>
    <cellStyle name="ex65 10 4 3" xfId="7988"/>
    <cellStyle name="ex65 10 4 4" xfId="7989"/>
    <cellStyle name="ex65 10 4 5" xfId="7990"/>
    <cellStyle name="ex65 10 5" xfId="7991"/>
    <cellStyle name="ex65 10 6" xfId="7992"/>
    <cellStyle name="ex65 10 7" xfId="7993"/>
    <cellStyle name="ex65 10 8" xfId="7994"/>
    <cellStyle name="ex65 11" xfId="1044"/>
    <cellStyle name="ex65 11 2" xfId="1045"/>
    <cellStyle name="ex65 11 3" xfId="1046"/>
    <cellStyle name="ex65 12" xfId="1047"/>
    <cellStyle name="ex65 13" xfId="1048"/>
    <cellStyle name="ex65 14" xfId="23847"/>
    <cellStyle name="ex65 15" xfId="23883"/>
    <cellStyle name="ex65 16" xfId="23918"/>
    <cellStyle name="ex65 2" xfId="1049"/>
    <cellStyle name="ex65 2 10" xfId="1050"/>
    <cellStyle name="ex65 2 10 2" xfId="1051"/>
    <cellStyle name="ex65 2 10 2 2" xfId="1052"/>
    <cellStyle name="ex65 2 10 2 3" xfId="1053"/>
    <cellStyle name="ex65 2 10 3" xfId="1054"/>
    <cellStyle name="ex65 2 10 4" xfId="1055"/>
    <cellStyle name="ex65 2 10 4 2" xfId="7995"/>
    <cellStyle name="ex65 2 10 4 3" xfId="7996"/>
    <cellStyle name="ex65 2 10 4 4" xfId="7997"/>
    <cellStyle name="ex65 2 10 4 5" xfId="7998"/>
    <cellStyle name="ex65 2 10 5" xfId="7999"/>
    <cellStyle name="ex65 2 10 6" xfId="8000"/>
    <cellStyle name="ex65 2 10 7" xfId="8001"/>
    <cellStyle name="ex65 2 10 8" xfId="8002"/>
    <cellStyle name="ex65 2 11" xfId="1056"/>
    <cellStyle name="ex65 2 11 2" xfId="1057"/>
    <cellStyle name="ex65 2 11 3" xfId="1058"/>
    <cellStyle name="ex65 2 12" xfId="1059"/>
    <cellStyle name="ex65 2 13" xfId="1060"/>
    <cellStyle name="ex65 2 13 2" xfId="8003"/>
    <cellStyle name="ex65 2 13 3" xfId="8004"/>
    <cellStyle name="ex65 2 13 4" xfId="8005"/>
    <cellStyle name="ex65 2 13 5" xfId="8006"/>
    <cellStyle name="ex65 2 14" xfId="8007"/>
    <cellStyle name="ex65 2 15" xfId="8008"/>
    <cellStyle name="ex65 2 16" xfId="8009"/>
    <cellStyle name="ex65 2 17" xfId="8010"/>
    <cellStyle name="ex65 2 2" xfId="1061"/>
    <cellStyle name="ex65 2 2 2" xfId="1062"/>
    <cellStyle name="ex65 2 2 2 2" xfId="1063"/>
    <cellStyle name="ex65 2 2 2 3" xfId="1064"/>
    <cellStyle name="ex65 2 2 3" xfId="1065"/>
    <cellStyle name="ex65 2 2 4" xfId="1066"/>
    <cellStyle name="ex65 2 2 4 2" xfId="8011"/>
    <cellStyle name="ex65 2 2 4 3" xfId="8012"/>
    <cellStyle name="ex65 2 2 4 4" xfId="8013"/>
    <cellStyle name="ex65 2 2 4 5" xfId="8014"/>
    <cellStyle name="ex65 2 2 5" xfId="8015"/>
    <cellStyle name="ex65 2 2 6" xfId="8016"/>
    <cellStyle name="ex65 2 2 7" xfId="8017"/>
    <cellStyle name="ex65 2 2 8" xfId="8018"/>
    <cellStyle name="ex65 2 3" xfId="1067"/>
    <cellStyle name="ex65 2 3 2" xfId="1068"/>
    <cellStyle name="ex65 2 3 2 2" xfId="1069"/>
    <cellStyle name="ex65 2 3 2 3" xfId="1070"/>
    <cellStyle name="ex65 2 3 3" xfId="1071"/>
    <cellStyle name="ex65 2 3 4" xfId="1072"/>
    <cellStyle name="ex65 2 3 4 2" xfId="8019"/>
    <cellStyle name="ex65 2 3 4 3" xfId="8020"/>
    <cellStyle name="ex65 2 3 4 4" xfId="8021"/>
    <cellStyle name="ex65 2 3 4 5" xfId="8022"/>
    <cellStyle name="ex65 2 3 5" xfId="8023"/>
    <cellStyle name="ex65 2 3 6" xfId="8024"/>
    <cellStyle name="ex65 2 3 7" xfId="8025"/>
    <cellStyle name="ex65 2 3 8" xfId="8026"/>
    <cellStyle name="ex65 2 4" xfId="1073"/>
    <cellStyle name="ex65 2 4 2" xfId="1074"/>
    <cellStyle name="ex65 2 4 2 2" xfId="1075"/>
    <cellStyle name="ex65 2 4 2 3" xfId="1076"/>
    <cellStyle name="ex65 2 4 3" xfId="1077"/>
    <cellStyle name="ex65 2 4 4" xfId="1078"/>
    <cellStyle name="ex65 2 4 4 2" xfId="8027"/>
    <cellStyle name="ex65 2 4 4 3" xfId="8028"/>
    <cellStyle name="ex65 2 4 4 4" xfId="8029"/>
    <cellStyle name="ex65 2 4 4 5" xfId="8030"/>
    <cellStyle name="ex65 2 4 5" xfId="8031"/>
    <cellStyle name="ex65 2 4 6" xfId="8032"/>
    <cellStyle name="ex65 2 4 7" xfId="8033"/>
    <cellStyle name="ex65 2 4 8" xfId="8034"/>
    <cellStyle name="ex65 2 5" xfId="1079"/>
    <cellStyle name="ex65 2 5 2" xfId="1080"/>
    <cellStyle name="ex65 2 5 2 2" xfId="1081"/>
    <cellStyle name="ex65 2 5 2 3" xfId="1082"/>
    <cellStyle name="ex65 2 5 3" xfId="1083"/>
    <cellStyle name="ex65 2 5 4" xfId="1084"/>
    <cellStyle name="ex65 2 5 4 2" xfId="8035"/>
    <cellStyle name="ex65 2 5 4 3" xfId="8036"/>
    <cellStyle name="ex65 2 5 4 4" xfId="8037"/>
    <cellStyle name="ex65 2 5 4 5" xfId="8038"/>
    <cellStyle name="ex65 2 5 5" xfId="8039"/>
    <cellStyle name="ex65 2 5 6" xfId="8040"/>
    <cellStyle name="ex65 2 5 7" xfId="8041"/>
    <cellStyle name="ex65 2 5 8" xfId="8042"/>
    <cellStyle name="ex65 2 6" xfId="1085"/>
    <cellStyle name="ex65 2 6 2" xfId="1086"/>
    <cellStyle name="ex65 2 6 2 2" xfId="1087"/>
    <cellStyle name="ex65 2 6 2 3" xfId="1088"/>
    <cellStyle name="ex65 2 6 3" xfId="1089"/>
    <cellStyle name="ex65 2 6 4" xfId="1090"/>
    <cellStyle name="ex65 2 6 4 2" xfId="8043"/>
    <cellStyle name="ex65 2 6 4 3" xfId="8044"/>
    <cellStyle name="ex65 2 6 4 4" xfId="8045"/>
    <cellStyle name="ex65 2 6 4 5" xfId="8046"/>
    <cellStyle name="ex65 2 6 5" xfId="8047"/>
    <cellStyle name="ex65 2 6 6" xfId="8048"/>
    <cellStyle name="ex65 2 6 7" xfId="8049"/>
    <cellStyle name="ex65 2 6 8" xfId="8050"/>
    <cellStyle name="ex65 2 7" xfId="1091"/>
    <cellStyle name="ex65 2 7 2" xfId="1092"/>
    <cellStyle name="ex65 2 7 2 2" xfId="1093"/>
    <cellStyle name="ex65 2 7 2 3" xfId="1094"/>
    <cellStyle name="ex65 2 7 3" xfId="1095"/>
    <cellStyle name="ex65 2 7 4" xfId="1096"/>
    <cellStyle name="ex65 2 7 4 2" xfId="8051"/>
    <cellStyle name="ex65 2 7 4 3" xfId="8052"/>
    <cellStyle name="ex65 2 7 4 4" xfId="8053"/>
    <cellStyle name="ex65 2 7 4 5" xfId="8054"/>
    <cellStyle name="ex65 2 7 5" xfId="8055"/>
    <cellStyle name="ex65 2 7 6" xfId="8056"/>
    <cellStyle name="ex65 2 7 7" xfId="8057"/>
    <cellStyle name="ex65 2 7 8" xfId="8058"/>
    <cellStyle name="ex65 2 8" xfId="1097"/>
    <cellStyle name="ex65 2 8 2" xfId="1098"/>
    <cellStyle name="ex65 2 8 2 2" xfId="1099"/>
    <cellStyle name="ex65 2 8 2 3" xfId="1100"/>
    <cellStyle name="ex65 2 8 3" xfId="1101"/>
    <cellStyle name="ex65 2 8 4" xfId="1102"/>
    <cellStyle name="ex65 2 8 4 2" xfId="8059"/>
    <cellStyle name="ex65 2 8 4 3" xfId="8060"/>
    <cellStyle name="ex65 2 8 4 4" xfId="8061"/>
    <cellStyle name="ex65 2 8 4 5" xfId="8062"/>
    <cellStyle name="ex65 2 8 5" xfId="8063"/>
    <cellStyle name="ex65 2 8 6" xfId="8064"/>
    <cellStyle name="ex65 2 8 7" xfId="8065"/>
    <cellStyle name="ex65 2 8 8" xfId="8066"/>
    <cellStyle name="ex65 2 9" xfId="1103"/>
    <cellStyle name="ex65 2 9 2" xfId="1104"/>
    <cellStyle name="ex65 2 9 2 2" xfId="1105"/>
    <cellStyle name="ex65 2 9 2 3" xfId="1106"/>
    <cellStyle name="ex65 2 9 3" xfId="1107"/>
    <cellStyle name="ex65 2 9 4" xfId="1108"/>
    <cellStyle name="ex65 2 9 4 2" xfId="8067"/>
    <cellStyle name="ex65 2 9 4 3" xfId="8068"/>
    <cellStyle name="ex65 2 9 4 4" xfId="8069"/>
    <cellStyle name="ex65 2 9 4 5" xfId="8070"/>
    <cellStyle name="ex65 2 9 5" xfId="8071"/>
    <cellStyle name="ex65 2 9 6" xfId="8072"/>
    <cellStyle name="ex65 2 9 7" xfId="8073"/>
    <cellStyle name="ex65 2 9 8" xfId="8074"/>
    <cellStyle name="ex65 3" xfId="1109"/>
    <cellStyle name="ex65 3 2" xfId="1110"/>
    <cellStyle name="ex65 3 2 2" xfId="1111"/>
    <cellStyle name="ex65 3 2 3" xfId="1112"/>
    <cellStyle name="ex65 3 3" xfId="1113"/>
    <cellStyle name="ex65 3 4" xfId="1114"/>
    <cellStyle name="ex65 3 4 2" xfId="8075"/>
    <cellStyle name="ex65 3 4 3" xfId="8076"/>
    <cellStyle name="ex65 3 4 4" xfId="8077"/>
    <cellStyle name="ex65 3 4 5" xfId="8078"/>
    <cellStyle name="ex65 3 5" xfId="8079"/>
    <cellStyle name="ex65 3 6" xfId="8080"/>
    <cellStyle name="ex65 3 7" xfId="8081"/>
    <cellStyle name="ex65 3 8" xfId="8082"/>
    <cellStyle name="ex65 4" xfId="1115"/>
    <cellStyle name="ex65 4 2" xfId="1116"/>
    <cellStyle name="ex65 4 2 2" xfId="1117"/>
    <cellStyle name="ex65 4 2 3" xfId="1118"/>
    <cellStyle name="ex65 4 3" xfId="1119"/>
    <cellStyle name="ex65 4 4" xfId="1120"/>
    <cellStyle name="ex65 4 4 2" xfId="8083"/>
    <cellStyle name="ex65 4 4 3" xfId="8084"/>
    <cellStyle name="ex65 4 4 4" xfId="8085"/>
    <cellStyle name="ex65 4 4 5" xfId="8086"/>
    <cellStyle name="ex65 4 5" xfId="8087"/>
    <cellStyle name="ex65 4 6" xfId="8088"/>
    <cellStyle name="ex65 4 7" xfId="8089"/>
    <cellStyle name="ex65 4 8" xfId="8090"/>
    <cellStyle name="ex65 5" xfId="1121"/>
    <cellStyle name="ex65 5 2" xfId="1122"/>
    <cellStyle name="ex65 5 2 2" xfId="1123"/>
    <cellStyle name="ex65 5 2 3" xfId="1124"/>
    <cellStyle name="ex65 5 3" xfId="1125"/>
    <cellStyle name="ex65 5 4" xfId="1126"/>
    <cellStyle name="ex65 5 4 2" xfId="8091"/>
    <cellStyle name="ex65 5 4 3" xfId="8092"/>
    <cellStyle name="ex65 5 4 4" xfId="8093"/>
    <cellStyle name="ex65 5 4 5" xfId="8094"/>
    <cellStyle name="ex65 5 5" xfId="8095"/>
    <cellStyle name="ex65 5 6" xfId="8096"/>
    <cellStyle name="ex65 5 7" xfId="8097"/>
    <cellStyle name="ex65 5 8" xfId="8098"/>
    <cellStyle name="ex65 6" xfId="1127"/>
    <cellStyle name="ex65 6 2" xfId="1128"/>
    <cellStyle name="ex65 6 2 2" xfId="1129"/>
    <cellStyle name="ex65 6 2 3" xfId="1130"/>
    <cellStyle name="ex65 6 3" xfId="1131"/>
    <cellStyle name="ex65 6 4" xfId="1132"/>
    <cellStyle name="ex65 6 4 2" xfId="8099"/>
    <cellStyle name="ex65 6 4 3" xfId="8100"/>
    <cellStyle name="ex65 6 4 4" xfId="8101"/>
    <cellStyle name="ex65 6 4 5" xfId="8102"/>
    <cellStyle name="ex65 6 5" xfId="8103"/>
    <cellStyle name="ex65 6 6" xfId="8104"/>
    <cellStyle name="ex65 6 7" xfId="8105"/>
    <cellStyle name="ex65 6 8" xfId="8106"/>
    <cellStyle name="ex65 7" xfId="1133"/>
    <cellStyle name="ex65 7 2" xfId="1134"/>
    <cellStyle name="ex65 7 2 2" xfId="1135"/>
    <cellStyle name="ex65 7 2 3" xfId="1136"/>
    <cellStyle name="ex65 7 3" xfId="1137"/>
    <cellStyle name="ex65 7 4" xfId="1138"/>
    <cellStyle name="ex65 7 4 2" xfId="8107"/>
    <cellStyle name="ex65 7 4 3" xfId="8108"/>
    <cellStyle name="ex65 7 4 4" xfId="8109"/>
    <cellStyle name="ex65 7 4 5" xfId="8110"/>
    <cellStyle name="ex65 7 5" xfId="8111"/>
    <cellStyle name="ex65 7 6" xfId="8112"/>
    <cellStyle name="ex65 7 7" xfId="8113"/>
    <cellStyle name="ex65 7 8" xfId="8114"/>
    <cellStyle name="ex65 8" xfId="1139"/>
    <cellStyle name="ex65 8 2" xfId="1140"/>
    <cellStyle name="ex65 8 2 2" xfId="1141"/>
    <cellStyle name="ex65 8 2 3" xfId="1142"/>
    <cellStyle name="ex65 8 3" xfId="1143"/>
    <cellStyle name="ex65 8 4" xfId="1144"/>
    <cellStyle name="ex65 8 4 2" xfId="8115"/>
    <cellStyle name="ex65 8 4 3" xfId="8116"/>
    <cellStyle name="ex65 8 4 4" xfId="8117"/>
    <cellStyle name="ex65 8 4 5" xfId="8118"/>
    <cellStyle name="ex65 8 5" xfId="8119"/>
    <cellStyle name="ex65 8 6" xfId="8120"/>
    <cellStyle name="ex65 8 7" xfId="8121"/>
    <cellStyle name="ex65 8 8" xfId="8122"/>
    <cellStyle name="ex65 9" xfId="1145"/>
    <cellStyle name="ex65 9 2" xfId="1146"/>
    <cellStyle name="ex65 9 2 2" xfId="1147"/>
    <cellStyle name="ex65 9 2 3" xfId="1148"/>
    <cellStyle name="ex65 9 3" xfId="1149"/>
    <cellStyle name="ex65 9 4" xfId="1150"/>
    <cellStyle name="ex65 9 4 2" xfId="8123"/>
    <cellStyle name="ex65 9 4 3" xfId="8124"/>
    <cellStyle name="ex65 9 4 4" xfId="8125"/>
    <cellStyle name="ex65 9 4 5" xfId="8126"/>
    <cellStyle name="ex65 9 5" xfId="8127"/>
    <cellStyle name="ex65 9 6" xfId="8128"/>
    <cellStyle name="ex65 9 7" xfId="8129"/>
    <cellStyle name="ex65 9 8" xfId="8130"/>
    <cellStyle name="ex66" xfId="19"/>
    <cellStyle name="ex66 10" xfId="1151"/>
    <cellStyle name="ex66 10 2" xfId="1152"/>
    <cellStyle name="ex66 10 2 2" xfId="1153"/>
    <cellStyle name="ex66 10 2 3" xfId="1154"/>
    <cellStyle name="ex66 10 3" xfId="1155"/>
    <cellStyle name="ex66 10 4" xfId="1156"/>
    <cellStyle name="ex66 10 4 2" xfId="8131"/>
    <cellStyle name="ex66 10 4 3" xfId="8132"/>
    <cellStyle name="ex66 10 4 4" xfId="8133"/>
    <cellStyle name="ex66 10 4 5" xfId="8134"/>
    <cellStyle name="ex66 10 5" xfId="8135"/>
    <cellStyle name="ex66 10 6" xfId="8136"/>
    <cellStyle name="ex66 10 7" xfId="8137"/>
    <cellStyle name="ex66 10 8" xfId="8138"/>
    <cellStyle name="ex66 11" xfId="1157"/>
    <cellStyle name="ex66 11 2" xfId="1158"/>
    <cellStyle name="ex66 11 2 2" xfId="1159"/>
    <cellStyle name="ex66 11 2 2 2" xfId="8139"/>
    <cellStyle name="ex66 11 2 2 3" xfId="8140"/>
    <cellStyle name="ex66 11 2 2 4" xfId="8141"/>
    <cellStyle name="ex66 11 2 2 5" xfId="8142"/>
    <cellStyle name="ex66 11 2 2 6" xfId="8143"/>
    <cellStyle name="ex66 11 2 3" xfId="1160"/>
    <cellStyle name="ex66 11 2 3 2" xfId="8144"/>
    <cellStyle name="ex66 11 2 3 3" xfId="8145"/>
    <cellStyle name="ex66 11 2 3 4" xfId="8146"/>
    <cellStyle name="ex66 11 2 3 5" xfId="8147"/>
    <cellStyle name="ex66 11 2 3 6" xfId="8148"/>
    <cellStyle name="ex66 11 2 4" xfId="8149"/>
    <cellStyle name="ex66 11 2 5" xfId="8150"/>
    <cellStyle name="ex66 11 2 6" xfId="8151"/>
    <cellStyle name="ex66 11 2 7" xfId="8152"/>
    <cellStyle name="ex66 11 2 8" xfId="8153"/>
    <cellStyle name="ex66 11 3" xfId="1161"/>
    <cellStyle name="ex66 11 3 2" xfId="8154"/>
    <cellStyle name="ex66 11 3 3" xfId="8155"/>
    <cellStyle name="ex66 11 3 4" xfId="8156"/>
    <cellStyle name="ex66 11 3 5" xfId="8157"/>
    <cellStyle name="ex66 11 3 6" xfId="8158"/>
    <cellStyle name="ex66 11 4" xfId="1162"/>
    <cellStyle name="ex66 11 4 2" xfId="8159"/>
    <cellStyle name="ex66 11 4 3" xfId="8160"/>
    <cellStyle name="ex66 11 4 4" xfId="8161"/>
    <cellStyle name="ex66 11 4 5" xfId="8162"/>
    <cellStyle name="ex66 11 5" xfId="8163"/>
    <cellStyle name="ex66 11 6" xfId="8164"/>
    <cellStyle name="ex66 11 7" xfId="8165"/>
    <cellStyle name="ex66 11 8" xfId="8166"/>
    <cellStyle name="ex66 12" xfId="1163"/>
    <cellStyle name="ex66 12 2" xfId="1164"/>
    <cellStyle name="ex66 12 2 2" xfId="1165"/>
    <cellStyle name="ex66 12 2 2 2" xfId="8167"/>
    <cellStyle name="ex66 12 2 2 3" xfId="8168"/>
    <cellStyle name="ex66 12 2 2 4" xfId="8169"/>
    <cellStyle name="ex66 12 2 2 5" xfId="8170"/>
    <cellStyle name="ex66 12 2 2 6" xfId="8171"/>
    <cellStyle name="ex66 12 2 3" xfId="1166"/>
    <cellStyle name="ex66 12 2 3 2" xfId="8172"/>
    <cellStyle name="ex66 12 2 3 3" xfId="8173"/>
    <cellStyle name="ex66 12 2 3 4" xfId="8174"/>
    <cellStyle name="ex66 12 2 3 5" xfId="8175"/>
    <cellStyle name="ex66 12 2 3 6" xfId="8176"/>
    <cellStyle name="ex66 12 2 4" xfId="8177"/>
    <cellStyle name="ex66 12 2 5" xfId="8178"/>
    <cellStyle name="ex66 12 2 6" xfId="8179"/>
    <cellStyle name="ex66 12 2 7" xfId="8180"/>
    <cellStyle name="ex66 12 2 8" xfId="8181"/>
    <cellStyle name="ex66 12 3" xfId="1167"/>
    <cellStyle name="ex66 12 3 2" xfId="8182"/>
    <cellStyle name="ex66 12 3 3" xfId="8183"/>
    <cellStyle name="ex66 12 3 4" xfId="8184"/>
    <cellStyle name="ex66 12 3 5" xfId="8185"/>
    <cellStyle name="ex66 12 3 6" xfId="8186"/>
    <cellStyle name="ex66 12 4" xfId="1168"/>
    <cellStyle name="ex66 12 4 2" xfId="8187"/>
    <cellStyle name="ex66 12 4 3" xfId="8188"/>
    <cellStyle name="ex66 12 4 4" xfId="8189"/>
    <cellStyle name="ex66 12 4 5" xfId="8190"/>
    <cellStyle name="ex66 12 5" xfId="8191"/>
    <cellStyle name="ex66 12 6" xfId="8192"/>
    <cellStyle name="ex66 12 7" xfId="8193"/>
    <cellStyle name="ex66 12 8" xfId="8194"/>
    <cellStyle name="ex66 13" xfId="1169"/>
    <cellStyle name="ex66 13 2" xfId="1170"/>
    <cellStyle name="ex66 13 3" xfId="1171"/>
    <cellStyle name="ex66 14" xfId="1172"/>
    <cellStyle name="ex66 15" xfId="1173"/>
    <cellStyle name="ex66 15 2" xfId="8195"/>
    <cellStyle name="ex66 15 3" xfId="8196"/>
    <cellStyle name="ex66 15 4" xfId="8197"/>
    <cellStyle name="ex66 15 5" xfId="8198"/>
    <cellStyle name="ex66 16" xfId="8199"/>
    <cellStyle name="ex66 17" xfId="8200"/>
    <cellStyle name="ex66 18" xfId="8201"/>
    <cellStyle name="ex66 19" xfId="8202"/>
    <cellStyle name="ex66 2" xfId="1174"/>
    <cellStyle name="ex66 2 2" xfId="1175"/>
    <cellStyle name="ex66 2 2 2" xfId="1176"/>
    <cellStyle name="ex66 2 2 2 2" xfId="1177"/>
    <cellStyle name="ex66 2 2 2 3" xfId="1178"/>
    <cellStyle name="ex66 2 2 3" xfId="1179"/>
    <cellStyle name="ex66 2 2 4" xfId="1180"/>
    <cellStyle name="ex66 2 2 4 2" xfId="8203"/>
    <cellStyle name="ex66 2 2 4 3" xfId="8204"/>
    <cellStyle name="ex66 2 2 4 4" xfId="8205"/>
    <cellStyle name="ex66 2 2 4 5" xfId="8206"/>
    <cellStyle name="ex66 2 2 5" xfId="8207"/>
    <cellStyle name="ex66 2 2 6" xfId="8208"/>
    <cellStyle name="ex66 2 2 7" xfId="8209"/>
    <cellStyle name="ex66 2 2 8" xfId="8210"/>
    <cellStyle name="ex66 2 3" xfId="1181"/>
    <cellStyle name="ex66 2 3 2" xfId="1182"/>
    <cellStyle name="ex66 2 3 3" xfId="1183"/>
    <cellStyle name="ex66 2 4" xfId="1184"/>
    <cellStyle name="ex66 2 5" xfId="1185"/>
    <cellStyle name="ex66 2 5 2" xfId="8211"/>
    <cellStyle name="ex66 2 5 3" xfId="8212"/>
    <cellStyle name="ex66 2 5 4" xfId="8213"/>
    <cellStyle name="ex66 2 5 5" xfId="8214"/>
    <cellStyle name="ex66 2 6" xfId="8215"/>
    <cellStyle name="ex66 2 7" xfId="8216"/>
    <cellStyle name="ex66 2 8" xfId="8217"/>
    <cellStyle name="ex66 2 9" xfId="8218"/>
    <cellStyle name="ex66 20" xfId="23848"/>
    <cellStyle name="ex66 21" xfId="23884"/>
    <cellStyle name="ex66 3" xfId="1186"/>
    <cellStyle name="ex66 3 2" xfId="1187"/>
    <cellStyle name="ex66 3 2 2" xfId="1188"/>
    <cellStyle name="ex66 3 2 3" xfId="1189"/>
    <cellStyle name="ex66 3 3" xfId="1190"/>
    <cellStyle name="ex66 3 4" xfId="1191"/>
    <cellStyle name="ex66 3 4 2" xfId="8219"/>
    <cellStyle name="ex66 3 4 3" xfId="8220"/>
    <cellStyle name="ex66 3 4 4" xfId="8221"/>
    <cellStyle name="ex66 3 4 5" xfId="8222"/>
    <cellStyle name="ex66 3 5" xfId="8223"/>
    <cellStyle name="ex66 3 6" xfId="8224"/>
    <cellStyle name="ex66 3 7" xfId="8225"/>
    <cellStyle name="ex66 3 8" xfId="8226"/>
    <cellStyle name="ex66 4" xfId="1192"/>
    <cellStyle name="ex66 4 2" xfId="1193"/>
    <cellStyle name="ex66 4 2 2" xfId="1194"/>
    <cellStyle name="ex66 4 2 3" xfId="1195"/>
    <cellStyle name="ex66 4 3" xfId="1196"/>
    <cellStyle name="ex66 4 4" xfId="1197"/>
    <cellStyle name="ex66 4 4 2" xfId="8227"/>
    <cellStyle name="ex66 4 4 3" xfId="8228"/>
    <cellStyle name="ex66 4 4 4" xfId="8229"/>
    <cellStyle name="ex66 4 4 5" xfId="8230"/>
    <cellStyle name="ex66 4 5" xfId="8231"/>
    <cellStyle name="ex66 4 6" xfId="8232"/>
    <cellStyle name="ex66 4 7" xfId="8233"/>
    <cellStyle name="ex66 4 8" xfId="8234"/>
    <cellStyle name="ex66 5" xfId="1198"/>
    <cellStyle name="ex66 5 2" xfId="1199"/>
    <cellStyle name="ex66 5 2 2" xfId="1200"/>
    <cellStyle name="ex66 5 2 3" xfId="1201"/>
    <cellStyle name="ex66 5 3" xfId="1202"/>
    <cellStyle name="ex66 5 4" xfId="1203"/>
    <cellStyle name="ex66 5 4 2" xfId="8235"/>
    <cellStyle name="ex66 5 4 3" xfId="8236"/>
    <cellStyle name="ex66 5 4 4" xfId="8237"/>
    <cellStyle name="ex66 5 4 5" xfId="8238"/>
    <cellStyle name="ex66 5 5" xfId="8239"/>
    <cellStyle name="ex66 5 6" xfId="8240"/>
    <cellStyle name="ex66 5 7" xfId="8241"/>
    <cellStyle name="ex66 5 8" xfId="8242"/>
    <cellStyle name="ex66 6" xfId="1204"/>
    <cellStyle name="ex66 6 2" xfId="1205"/>
    <cellStyle name="ex66 6 2 2" xfId="1206"/>
    <cellStyle name="ex66 6 2 3" xfId="1207"/>
    <cellStyle name="ex66 6 3" xfId="1208"/>
    <cellStyle name="ex66 6 4" xfId="1209"/>
    <cellStyle name="ex66 6 4 2" xfId="8243"/>
    <cellStyle name="ex66 6 4 3" xfId="8244"/>
    <cellStyle name="ex66 6 4 4" xfId="8245"/>
    <cellStyle name="ex66 6 4 5" xfId="8246"/>
    <cellStyle name="ex66 6 5" xfId="8247"/>
    <cellStyle name="ex66 6 6" xfId="8248"/>
    <cellStyle name="ex66 6 7" xfId="8249"/>
    <cellStyle name="ex66 6 8" xfId="8250"/>
    <cellStyle name="ex66 7" xfId="1210"/>
    <cellStyle name="ex66 7 2" xfId="1211"/>
    <cellStyle name="ex66 7 2 2" xfId="1212"/>
    <cellStyle name="ex66 7 2 3" xfId="1213"/>
    <cellStyle name="ex66 7 3" xfId="1214"/>
    <cellStyle name="ex66 7 4" xfId="1215"/>
    <cellStyle name="ex66 7 4 2" xfId="8251"/>
    <cellStyle name="ex66 7 4 3" xfId="8252"/>
    <cellStyle name="ex66 7 4 4" xfId="8253"/>
    <cellStyle name="ex66 7 4 5" xfId="8254"/>
    <cellStyle name="ex66 7 5" xfId="8255"/>
    <cellStyle name="ex66 7 6" xfId="8256"/>
    <cellStyle name="ex66 7 7" xfId="8257"/>
    <cellStyle name="ex66 7 8" xfId="8258"/>
    <cellStyle name="ex66 8" xfId="1216"/>
    <cellStyle name="ex66 8 2" xfId="1217"/>
    <cellStyle name="ex66 8 2 2" xfId="1218"/>
    <cellStyle name="ex66 8 2 3" xfId="1219"/>
    <cellStyle name="ex66 8 3" xfId="1220"/>
    <cellStyle name="ex66 8 4" xfId="1221"/>
    <cellStyle name="ex66 8 4 2" xfId="8259"/>
    <cellStyle name="ex66 8 4 3" xfId="8260"/>
    <cellStyle name="ex66 8 4 4" xfId="8261"/>
    <cellStyle name="ex66 8 4 5" xfId="8262"/>
    <cellStyle name="ex66 8 5" xfId="8263"/>
    <cellStyle name="ex66 8 6" xfId="8264"/>
    <cellStyle name="ex66 8 7" xfId="8265"/>
    <cellStyle name="ex66 8 8" xfId="8266"/>
    <cellStyle name="ex66 9" xfId="1222"/>
    <cellStyle name="ex66 9 2" xfId="1223"/>
    <cellStyle name="ex66 9 2 2" xfId="1224"/>
    <cellStyle name="ex66 9 2 3" xfId="1225"/>
    <cellStyle name="ex66 9 3" xfId="1226"/>
    <cellStyle name="ex66 9 4" xfId="1227"/>
    <cellStyle name="ex66 9 4 2" xfId="8267"/>
    <cellStyle name="ex66 9 4 3" xfId="8268"/>
    <cellStyle name="ex66 9 4 4" xfId="8269"/>
    <cellStyle name="ex66 9 4 5" xfId="8270"/>
    <cellStyle name="ex66 9 5" xfId="8271"/>
    <cellStyle name="ex66 9 6" xfId="8272"/>
    <cellStyle name="ex66 9 7" xfId="8273"/>
    <cellStyle name="ex66 9 8" xfId="8274"/>
    <cellStyle name="ex67" xfId="20"/>
    <cellStyle name="ex67 10" xfId="1228"/>
    <cellStyle name="ex67 10 2" xfId="1229"/>
    <cellStyle name="ex67 10 2 2" xfId="1230"/>
    <cellStyle name="ex67 10 2 3" xfId="1231"/>
    <cellStyle name="ex67 10 3" xfId="1232"/>
    <cellStyle name="ex67 10 4" xfId="1233"/>
    <cellStyle name="ex67 10 4 2" xfId="8275"/>
    <cellStyle name="ex67 10 4 3" xfId="8276"/>
    <cellStyle name="ex67 10 4 4" xfId="8277"/>
    <cellStyle name="ex67 10 4 5" xfId="8278"/>
    <cellStyle name="ex67 10 5" xfId="8279"/>
    <cellStyle name="ex67 10 6" xfId="8280"/>
    <cellStyle name="ex67 10 7" xfId="8281"/>
    <cellStyle name="ex67 10 8" xfId="8282"/>
    <cellStyle name="ex67 11" xfId="1234"/>
    <cellStyle name="ex67 11 2" xfId="1235"/>
    <cellStyle name="ex67 11 2 2" xfId="1236"/>
    <cellStyle name="ex67 11 2 2 2" xfId="8283"/>
    <cellStyle name="ex67 11 2 2 3" xfId="8284"/>
    <cellStyle name="ex67 11 2 2 4" xfId="8285"/>
    <cellStyle name="ex67 11 2 2 5" xfId="8286"/>
    <cellStyle name="ex67 11 2 2 6" xfId="8287"/>
    <cellStyle name="ex67 11 2 3" xfId="1237"/>
    <cellStyle name="ex67 11 2 3 2" xfId="8288"/>
    <cellStyle name="ex67 11 2 3 3" xfId="8289"/>
    <cellStyle name="ex67 11 2 3 4" xfId="8290"/>
    <cellStyle name="ex67 11 2 3 5" xfId="8291"/>
    <cellStyle name="ex67 11 2 3 6" xfId="8292"/>
    <cellStyle name="ex67 11 2 4" xfId="8293"/>
    <cellStyle name="ex67 11 2 5" xfId="8294"/>
    <cellStyle name="ex67 11 2 6" xfId="8295"/>
    <cellStyle name="ex67 11 2 7" xfId="8296"/>
    <cellStyle name="ex67 11 2 8" xfId="8297"/>
    <cellStyle name="ex67 11 3" xfId="1238"/>
    <cellStyle name="ex67 11 3 2" xfId="8298"/>
    <cellStyle name="ex67 11 3 3" xfId="8299"/>
    <cellStyle name="ex67 11 3 4" xfId="8300"/>
    <cellStyle name="ex67 11 3 5" xfId="8301"/>
    <cellStyle name="ex67 11 3 6" xfId="8302"/>
    <cellStyle name="ex67 11 4" xfId="1239"/>
    <cellStyle name="ex67 11 4 2" xfId="8303"/>
    <cellStyle name="ex67 11 4 3" xfId="8304"/>
    <cellStyle name="ex67 11 4 4" xfId="8305"/>
    <cellStyle name="ex67 11 4 5" xfId="8306"/>
    <cellStyle name="ex67 11 5" xfId="8307"/>
    <cellStyle name="ex67 11 6" xfId="8308"/>
    <cellStyle name="ex67 11 7" xfId="8309"/>
    <cellStyle name="ex67 11 8" xfId="8310"/>
    <cellStyle name="ex67 12" xfId="1240"/>
    <cellStyle name="ex67 12 2" xfId="1241"/>
    <cellStyle name="ex67 12 2 2" xfId="1242"/>
    <cellStyle name="ex67 12 2 2 2" xfId="8311"/>
    <cellStyle name="ex67 12 2 2 3" xfId="8312"/>
    <cellStyle name="ex67 12 2 2 4" xfId="8313"/>
    <cellStyle name="ex67 12 2 2 5" xfId="8314"/>
    <cellStyle name="ex67 12 2 2 6" xfId="8315"/>
    <cellStyle name="ex67 12 2 3" xfId="1243"/>
    <cellStyle name="ex67 12 2 3 2" xfId="8316"/>
    <cellStyle name="ex67 12 2 3 3" xfId="8317"/>
    <cellStyle name="ex67 12 2 3 4" xfId="8318"/>
    <cellStyle name="ex67 12 2 3 5" xfId="8319"/>
    <cellStyle name="ex67 12 2 3 6" xfId="8320"/>
    <cellStyle name="ex67 12 2 4" xfId="8321"/>
    <cellStyle name="ex67 12 2 5" xfId="8322"/>
    <cellStyle name="ex67 12 2 6" xfId="8323"/>
    <cellStyle name="ex67 12 2 7" xfId="8324"/>
    <cellStyle name="ex67 12 2 8" xfId="8325"/>
    <cellStyle name="ex67 12 3" xfId="1244"/>
    <cellStyle name="ex67 12 3 2" xfId="8326"/>
    <cellStyle name="ex67 12 3 3" xfId="8327"/>
    <cellStyle name="ex67 12 3 4" xfId="8328"/>
    <cellStyle name="ex67 12 3 5" xfId="8329"/>
    <cellStyle name="ex67 12 3 6" xfId="8330"/>
    <cellStyle name="ex67 12 4" xfId="1245"/>
    <cellStyle name="ex67 12 4 2" xfId="8331"/>
    <cellStyle name="ex67 12 4 3" xfId="8332"/>
    <cellStyle name="ex67 12 4 4" xfId="8333"/>
    <cellStyle name="ex67 12 4 5" xfId="8334"/>
    <cellStyle name="ex67 12 5" xfId="8335"/>
    <cellStyle name="ex67 12 6" xfId="8336"/>
    <cellStyle name="ex67 12 7" xfId="8337"/>
    <cellStyle name="ex67 12 8" xfId="8338"/>
    <cellStyle name="ex67 13" xfId="1246"/>
    <cellStyle name="ex67 13 2" xfId="1247"/>
    <cellStyle name="ex67 13 3" xfId="1248"/>
    <cellStyle name="ex67 14" xfId="1249"/>
    <cellStyle name="ex67 15" xfId="1250"/>
    <cellStyle name="ex67 15 2" xfId="8339"/>
    <cellStyle name="ex67 15 3" xfId="8340"/>
    <cellStyle name="ex67 15 4" xfId="8341"/>
    <cellStyle name="ex67 15 5" xfId="8342"/>
    <cellStyle name="ex67 16" xfId="8343"/>
    <cellStyle name="ex67 17" xfId="8344"/>
    <cellStyle name="ex67 18" xfId="8345"/>
    <cellStyle name="ex67 19" xfId="8346"/>
    <cellStyle name="ex67 2" xfId="1251"/>
    <cellStyle name="ex67 2 2" xfId="1252"/>
    <cellStyle name="ex67 2 2 2" xfId="1253"/>
    <cellStyle name="ex67 2 2 2 2" xfId="1254"/>
    <cellStyle name="ex67 2 2 2 3" xfId="1255"/>
    <cellStyle name="ex67 2 2 3" xfId="1256"/>
    <cellStyle name="ex67 2 2 4" xfId="1257"/>
    <cellStyle name="ex67 2 2 4 2" xfId="8347"/>
    <cellStyle name="ex67 2 2 4 3" xfId="8348"/>
    <cellStyle name="ex67 2 2 4 4" xfId="8349"/>
    <cellStyle name="ex67 2 2 4 5" xfId="8350"/>
    <cellStyle name="ex67 2 2 5" xfId="8351"/>
    <cellStyle name="ex67 2 2 6" xfId="8352"/>
    <cellStyle name="ex67 2 2 7" xfId="8353"/>
    <cellStyle name="ex67 2 2 8" xfId="8354"/>
    <cellStyle name="ex67 2 3" xfId="1258"/>
    <cellStyle name="ex67 2 3 2" xfId="1259"/>
    <cellStyle name="ex67 2 3 3" xfId="1260"/>
    <cellStyle name="ex67 2 4" xfId="1261"/>
    <cellStyle name="ex67 2 5" xfId="1262"/>
    <cellStyle name="ex67 2 5 2" xfId="8355"/>
    <cellStyle name="ex67 2 5 3" xfId="8356"/>
    <cellStyle name="ex67 2 5 4" xfId="8357"/>
    <cellStyle name="ex67 2 5 5" xfId="8358"/>
    <cellStyle name="ex67 2 6" xfId="8359"/>
    <cellStyle name="ex67 2 7" xfId="8360"/>
    <cellStyle name="ex67 2 8" xfId="8361"/>
    <cellStyle name="ex67 2 9" xfId="8362"/>
    <cellStyle name="ex67 20" xfId="23849"/>
    <cellStyle name="ex67 21" xfId="23885"/>
    <cellStyle name="ex67 3" xfId="1263"/>
    <cellStyle name="ex67 3 2" xfId="1264"/>
    <cellStyle name="ex67 3 2 2" xfId="1265"/>
    <cellStyle name="ex67 3 2 3" xfId="1266"/>
    <cellStyle name="ex67 3 3" xfId="1267"/>
    <cellStyle name="ex67 3 4" xfId="1268"/>
    <cellStyle name="ex67 3 4 2" xfId="8363"/>
    <cellStyle name="ex67 3 4 3" xfId="8364"/>
    <cellStyle name="ex67 3 4 4" xfId="8365"/>
    <cellStyle name="ex67 3 4 5" xfId="8366"/>
    <cellStyle name="ex67 3 5" xfId="8367"/>
    <cellStyle name="ex67 3 6" xfId="8368"/>
    <cellStyle name="ex67 3 7" xfId="8369"/>
    <cellStyle name="ex67 3 8" xfId="8370"/>
    <cellStyle name="ex67 4" xfId="1269"/>
    <cellStyle name="ex67 4 2" xfId="1270"/>
    <cellStyle name="ex67 4 2 2" xfId="1271"/>
    <cellStyle name="ex67 4 2 3" xfId="1272"/>
    <cellStyle name="ex67 4 3" xfId="1273"/>
    <cellStyle name="ex67 4 4" xfId="1274"/>
    <cellStyle name="ex67 4 4 2" xfId="8371"/>
    <cellStyle name="ex67 4 4 3" xfId="8372"/>
    <cellStyle name="ex67 4 4 4" xfId="8373"/>
    <cellStyle name="ex67 4 4 5" xfId="8374"/>
    <cellStyle name="ex67 4 5" xfId="8375"/>
    <cellStyle name="ex67 4 6" xfId="8376"/>
    <cellStyle name="ex67 4 7" xfId="8377"/>
    <cellStyle name="ex67 4 8" xfId="8378"/>
    <cellStyle name="ex67 5" xfId="1275"/>
    <cellStyle name="ex67 5 2" xfId="1276"/>
    <cellStyle name="ex67 5 2 2" xfId="1277"/>
    <cellStyle name="ex67 5 2 3" xfId="1278"/>
    <cellStyle name="ex67 5 3" xfId="1279"/>
    <cellStyle name="ex67 5 4" xfId="1280"/>
    <cellStyle name="ex67 5 4 2" xfId="8379"/>
    <cellStyle name="ex67 5 4 3" xfId="8380"/>
    <cellStyle name="ex67 5 4 4" xfId="8381"/>
    <cellStyle name="ex67 5 4 5" xfId="8382"/>
    <cellStyle name="ex67 5 5" xfId="8383"/>
    <cellStyle name="ex67 5 6" xfId="8384"/>
    <cellStyle name="ex67 5 7" xfId="8385"/>
    <cellStyle name="ex67 5 8" xfId="8386"/>
    <cellStyle name="ex67 6" xfId="1281"/>
    <cellStyle name="ex67 6 2" xfId="1282"/>
    <cellStyle name="ex67 6 2 2" xfId="1283"/>
    <cellStyle name="ex67 6 2 3" xfId="1284"/>
    <cellStyle name="ex67 6 3" xfId="1285"/>
    <cellStyle name="ex67 6 4" xfId="1286"/>
    <cellStyle name="ex67 6 4 2" xfId="8387"/>
    <cellStyle name="ex67 6 4 3" xfId="8388"/>
    <cellStyle name="ex67 6 4 4" xfId="8389"/>
    <cellStyle name="ex67 6 4 5" xfId="8390"/>
    <cellStyle name="ex67 6 5" xfId="8391"/>
    <cellStyle name="ex67 6 6" xfId="8392"/>
    <cellStyle name="ex67 6 7" xfId="8393"/>
    <cellStyle name="ex67 6 8" xfId="8394"/>
    <cellStyle name="ex67 7" xfId="1287"/>
    <cellStyle name="ex67 7 2" xfId="1288"/>
    <cellStyle name="ex67 7 2 2" xfId="1289"/>
    <cellStyle name="ex67 7 2 3" xfId="1290"/>
    <cellStyle name="ex67 7 3" xfId="1291"/>
    <cellStyle name="ex67 7 4" xfId="1292"/>
    <cellStyle name="ex67 7 4 2" xfId="8395"/>
    <cellStyle name="ex67 7 4 3" xfId="8396"/>
    <cellStyle name="ex67 7 4 4" xfId="8397"/>
    <cellStyle name="ex67 7 4 5" xfId="8398"/>
    <cellStyle name="ex67 7 5" xfId="8399"/>
    <cellStyle name="ex67 7 6" xfId="8400"/>
    <cellStyle name="ex67 7 7" xfId="8401"/>
    <cellStyle name="ex67 7 8" xfId="8402"/>
    <cellStyle name="ex67 8" xfId="1293"/>
    <cellStyle name="ex67 8 2" xfId="1294"/>
    <cellStyle name="ex67 8 2 2" xfId="1295"/>
    <cellStyle name="ex67 8 2 3" xfId="1296"/>
    <cellStyle name="ex67 8 3" xfId="1297"/>
    <cellStyle name="ex67 8 4" xfId="1298"/>
    <cellStyle name="ex67 8 4 2" xfId="8403"/>
    <cellStyle name="ex67 8 4 3" xfId="8404"/>
    <cellStyle name="ex67 8 4 4" xfId="8405"/>
    <cellStyle name="ex67 8 4 5" xfId="8406"/>
    <cellStyle name="ex67 8 5" xfId="8407"/>
    <cellStyle name="ex67 8 6" xfId="8408"/>
    <cellStyle name="ex67 8 7" xfId="8409"/>
    <cellStyle name="ex67 8 8" xfId="8410"/>
    <cellStyle name="ex67 9" xfId="1299"/>
    <cellStyle name="ex67 9 2" xfId="1300"/>
    <cellStyle name="ex67 9 2 2" xfId="1301"/>
    <cellStyle name="ex67 9 2 3" xfId="1302"/>
    <cellStyle name="ex67 9 3" xfId="1303"/>
    <cellStyle name="ex67 9 4" xfId="1304"/>
    <cellStyle name="ex67 9 4 2" xfId="8411"/>
    <cellStyle name="ex67 9 4 3" xfId="8412"/>
    <cellStyle name="ex67 9 4 4" xfId="8413"/>
    <cellStyle name="ex67 9 4 5" xfId="8414"/>
    <cellStyle name="ex67 9 5" xfId="8415"/>
    <cellStyle name="ex67 9 6" xfId="8416"/>
    <cellStyle name="ex67 9 7" xfId="8417"/>
    <cellStyle name="ex67 9 8" xfId="8418"/>
    <cellStyle name="ex68" xfId="21"/>
    <cellStyle name="ex68 10" xfId="1305"/>
    <cellStyle name="ex68 10 2" xfId="1306"/>
    <cellStyle name="ex68 10 2 2" xfId="1307"/>
    <cellStyle name="ex68 10 2 3" xfId="1308"/>
    <cellStyle name="ex68 10 3" xfId="1309"/>
    <cellStyle name="ex68 10 4" xfId="1310"/>
    <cellStyle name="ex68 10 4 2" xfId="8419"/>
    <cellStyle name="ex68 10 4 3" xfId="8420"/>
    <cellStyle name="ex68 10 4 4" xfId="8421"/>
    <cellStyle name="ex68 10 4 5" xfId="8422"/>
    <cellStyle name="ex68 10 5" xfId="8423"/>
    <cellStyle name="ex68 10 6" xfId="8424"/>
    <cellStyle name="ex68 10 7" xfId="8425"/>
    <cellStyle name="ex68 10 8" xfId="8426"/>
    <cellStyle name="ex68 11" xfId="1311"/>
    <cellStyle name="ex68 11 2" xfId="1312"/>
    <cellStyle name="ex68 11 2 2" xfId="1313"/>
    <cellStyle name="ex68 11 2 2 2" xfId="8427"/>
    <cellStyle name="ex68 11 2 2 3" xfId="8428"/>
    <cellStyle name="ex68 11 2 2 4" xfId="8429"/>
    <cellStyle name="ex68 11 2 2 5" xfId="8430"/>
    <cellStyle name="ex68 11 2 2 6" xfId="8431"/>
    <cellStyle name="ex68 11 2 3" xfId="1314"/>
    <cellStyle name="ex68 11 2 3 2" xfId="8432"/>
    <cellStyle name="ex68 11 2 3 3" xfId="8433"/>
    <cellStyle name="ex68 11 2 3 4" xfId="8434"/>
    <cellStyle name="ex68 11 2 3 5" xfId="8435"/>
    <cellStyle name="ex68 11 2 3 6" xfId="8436"/>
    <cellStyle name="ex68 11 2 4" xfId="8437"/>
    <cellStyle name="ex68 11 2 5" xfId="8438"/>
    <cellStyle name="ex68 11 2 6" xfId="8439"/>
    <cellStyle name="ex68 11 2 7" xfId="8440"/>
    <cellStyle name="ex68 11 2 8" xfId="8441"/>
    <cellStyle name="ex68 11 3" xfId="1315"/>
    <cellStyle name="ex68 11 3 2" xfId="8442"/>
    <cellStyle name="ex68 11 3 3" xfId="8443"/>
    <cellStyle name="ex68 11 3 4" xfId="8444"/>
    <cellStyle name="ex68 11 3 5" xfId="8445"/>
    <cellStyle name="ex68 11 3 6" xfId="8446"/>
    <cellStyle name="ex68 11 4" xfId="1316"/>
    <cellStyle name="ex68 11 4 2" xfId="8447"/>
    <cellStyle name="ex68 11 4 3" xfId="8448"/>
    <cellStyle name="ex68 11 4 4" xfId="8449"/>
    <cellStyle name="ex68 11 4 5" xfId="8450"/>
    <cellStyle name="ex68 11 5" xfId="8451"/>
    <cellStyle name="ex68 11 6" xfId="8452"/>
    <cellStyle name="ex68 11 7" xfId="8453"/>
    <cellStyle name="ex68 11 8" xfId="8454"/>
    <cellStyle name="ex68 12" xfId="1317"/>
    <cellStyle name="ex68 12 2" xfId="1318"/>
    <cellStyle name="ex68 12 2 2" xfId="1319"/>
    <cellStyle name="ex68 12 2 2 2" xfId="8455"/>
    <cellStyle name="ex68 12 2 2 3" xfId="8456"/>
    <cellStyle name="ex68 12 2 2 4" xfId="8457"/>
    <cellStyle name="ex68 12 2 2 5" xfId="8458"/>
    <cellStyle name="ex68 12 2 2 6" xfId="8459"/>
    <cellStyle name="ex68 12 2 3" xfId="1320"/>
    <cellStyle name="ex68 12 2 3 2" xfId="8460"/>
    <cellStyle name="ex68 12 2 3 3" xfId="8461"/>
    <cellStyle name="ex68 12 2 3 4" xfId="8462"/>
    <cellStyle name="ex68 12 2 3 5" xfId="8463"/>
    <cellStyle name="ex68 12 2 3 6" xfId="8464"/>
    <cellStyle name="ex68 12 2 4" xfId="8465"/>
    <cellStyle name="ex68 12 2 5" xfId="8466"/>
    <cellStyle name="ex68 12 2 6" xfId="8467"/>
    <cellStyle name="ex68 12 2 7" xfId="8468"/>
    <cellStyle name="ex68 12 2 8" xfId="8469"/>
    <cellStyle name="ex68 12 3" xfId="1321"/>
    <cellStyle name="ex68 12 3 2" xfId="8470"/>
    <cellStyle name="ex68 12 3 3" xfId="8471"/>
    <cellStyle name="ex68 12 3 4" xfId="8472"/>
    <cellStyle name="ex68 12 3 5" xfId="8473"/>
    <cellStyle name="ex68 12 3 6" xfId="8474"/>
    <cellStyle name="ex68 12 4" xfId="1322"/>
    <cellStyle name="ex68 12 4 2" xfId="8475"/>
    <cellStyle name="ex68 12 4 3" xfId="8476"/>
    <cellStyle name="ex68 12 4 4" xfId="8477"/>
    <cellStyle name="ex68 12 4 5" xfId="8478"/>
    <cellStyle name="ex68 12 5" xfId="8479"/>
    <cellStyle name="ex68 12 6" xfId="8480"/>
    <cellStyle name="ex68 12 7" xfId="8481"/>
    <cellStyle name="ex68 12 8" xfId="8482"/>
    <cellStyle name="ex68 13" xfId="1323"/>
    <cellStyle name="ex68 13 2" xfId="1324"/>
    <cellStyle name="ex68 13 3" xfId="1325"/>
    <cellStyle name="ex68 14" xfId="1326"/>
    <cellStyle name="ex68 15" xfId="1327"/>
    <cellStyle name="ex68 15 2" xfId="8483"/>
    <cellStyle name="ex68 15 3" xfId="8484"/>
    <cellStyle name="ex68 15 4" xfId="8485"/>
    <cellStyle name="ex68 15 5" xfId="8486"/>
    <cellStyle name="ex68 16" xfId="8487"/>
    <cellStyle name="ex68 17" xfId="8488"/>
    <cellStyle name="ex68 18" xfId="8489"/>
    <cellStyle name="ex68 19" xfId="8490"/>
    <cellStyle name="ex68 2" xfId="1328"/>
    <cellStyle name="ex68 2 2" xfId="1329"/>
    <cellStyle name="ex68 2 2 2" xfId="1330"/>
    <cellStyle name="ex68 2 2 3" xfId="1331"/>
    <cellStyle name="ex68 2 3" xfId="1332"/>
    <cellStyle name="ex68 2 4" xfId="1333"/>
    <cellStyle name="ex68 2 4 2" xfId="8491"/>
    <cellStyle name="ex68 2 4 3" xfId="8492"/>
    <cellStyle name="ex68 2 4 4" xfId="8493"/>
    <cellStyle name="ex68 2 4 5" xfId="8494"/>
    <cellStyle name="ex68 2 5" xfId="8495"/>
    <cellStyle name="ex68 2 6" xfId="8496"/>
    <cellStyle name="ex68 2 7" xfId="8497"/>
    <cellStyle name="ex68 2 8" xfId="8498"/>
    <cellStyle name="ex68 20" xfId="23850"/>
    <cellStyle name="ex68 21" xfId="23886"/>
    <cellStyle name="ex68 3" xfId="1334"/>
    <cellStyle name="ex68 3 2" xfId="1335"/>
    <cellStyle name="ex68 3 2 2" xfId="1336"/>
    <cellStyle name="ex68 3 2 3" xfId="1337"/>
    <cellStyle name="ex68 3 3" xfId="1338"/>
    <cellStyle name="ex68 3 4" xfId="1339"/>
    <cellStyle name="ex68 3 4 2" xfId="8499"/>
    <cellStyle name="ex68 3 4 3" xfId="8500"/>
    <cellStyle name="ex68 3 4 4" xfId="8501"/>
    <cellStyle name="ex68 3 4 5" xfId="8502"/>
    <cellStyle name="ex68 3 5" xfId="8503"/>
    <cellStyle name="ex68 3 6" xfId="8504"/>
    <cellStyle name="ex68 3 7" xfId="8505"/>
    <cellStyle name="ex68 3 8" xfId="8506"/>
    <cellStyle name="ex68 4" xfId="1340"/>
    <cellStyle name="ex68 4 2" xfId="1341"/>
    <cellStyle name="ex68 4 2 2" xfId="1342"/>
    <cellStyle name="ex68 4 2 3" xfId="1343"/>
    <cellStyle name="ex68 4 3" xfId="1344"/>
    <cellStyle name="ex68 4 4" xfId="1345"/>
    <cellStyle name="ex68 4 4 2" xfId="8507"/>
    <cellStyle name="ex68 4 4 3" xfId="8508"/>
    <cellStyle name="ex68 4 4 4" xfId="8509"/>
    <cellStyle name="ex68 4 4 5" xfId="8510"/>
    <cellStyle name="ex68 4 5" xfId="8511"/>
    <cellStyle name="ex68 4 6" xfId="8512"/>
    <cellStyle name="ex68 4 7" xfId="8513"/>
    <cellStyle name="ex68 4 8" xfId="8514"/>
    <cellStyle name="ex68 5" xfId="1346"/>
    <cellStyle name="ex68 5 2" xfId="1347"/>
    <cellStyle name="ex68 5 2 2" xfId="1348"/>
    <cellStyle name="ex68 5 2 3" xfId="1349"/>
    <cellStyle name="ex68 5 3" xfId="1350"/>
    <cellStyle name="ex68 5 4" xfId="1351"/>
    <cellStyle name="ex68 5 4 2" xfId="8515"/>
    <cellStyle name="ex68 5 4 3" xfId="8516"/>
    <cellStyle name="ex68 5 4 4" xfId="8517"/>
    <cellStyle name="ex68 5 4 5" xfId="8518"/>
    <cellStyle name="ex68 5 5" xfId="8519"/>
    <cellStyle name="ex68 5 6" xfId="8520"/>
    <cellStyle name="ex68 5 7" xfId="8521"/>
    <cellStyle name="ex68 5 8" xfId="8522"/>
    <cellStyle name="ex68 6" xfId="1352"/>
    <cellStyle name="ex68 6 2" xfId="1353"/>
    <cellStyle name="ex68 6 2 2" xfId="1354"/>
    <cellStyle name="ex68 6 2 3" xfId="1355"/>
    <cellStyle name="ex68 6 3" xfId="1356"/>
    <cellStyle name="ex68 6 4" xfId="1357"/>
    <cellStyle name="ex68 6 4 2" xfId="8523"/>
    <cellStyle name="ex68 6 4 3" xfId="8524"/>
    <cellStyle name="ex68 6 4 4" xfId="8525"/>
    <cellStyle name="ex68 6 4 5" xfId="8526"/>
    <cellStyle name="ex68 6 5" xfId="8527"/>
    <cellStyle name="ex68 6 6" xfId="8528"/>
    <cellStyle name="ex68 6 7" xfId="8529"/>
    <cellStyle name="ex68 6 8" xfId="8530"/>
    <cellStyle name="ex68 7" xfId="1358"/>
    <cellStyle name="ex68 7 2" xfId="1359"/>
    <cellStyle name="ex68 7 2 2" xfId="1360"/>
    <cellStyle name="ex68 7 2 3" xfId="1361"/>
    <cellStyle name="ex68 7 3" xfId="1362"/>
    <cellStyle name="ex68 7 4" xfId="1363"/>
    <cellStyle name="ex68 7 4 2" xfId="8531"/>
    <cellStyle name="ex68 7 4 3" xfId="8532"/>
    <cellStyle name="ex68 7 4 4" xfId="8533"/>
    <cellStyle name="ex68 7 4 5" xfId="8534"/>
    <cellStyle name="ex68 7 5" xfId="8535"/>
    <cellStyle name="ex68 7 6" xfId="8536"/>
    <cellStyle name="ex68 7 7" xfId="8537"/>
    <cellStyle name="ex68 7 8" xfId="8538"/>
    <cellStyle name="ex68 8" xfId="1364"/>
    <cellStyle name="ex68 8 2" xfId="1365"/>
    <cellStyle name="ex68 8 2 2" xfId="1366"/>
    <cellStyle name="ex68 8 2 3" xfId="1367"/>
    <cellStyle name="ex68 8 3" xfId="1368"/>
    <cellStyle name="ex68 8 4" xfId="1369"/>
    <cellStyle name="ex68 8 4 2" xfId="8539"/>
    <cellStyle name="ex68 8 4 3" xfId="8540"/>
    <cellStyle name="ex68 8 4 4" xfId="8541"/>
    <cellStyle name="ex68 8 4 5" xfId="8542"/>
    <cellStyle name="ex68 8 5" xfId="8543"/>
    <cellStyle name="ex68 8 6" xfId="8544"/>
    <cellStyle name="ex68 8 7" xfId="8545"/>
    <cellStyle name="ex68 8 8" xfId="8546"/>
    <cellStyle name="ex68 9" xfId="1370"/>
    <cellStyle name="ex68 9 2" xfId="1371"/>
    <cellStyle name="ex68 9 2 2" xfId="1372"/>
    <cellStyle name="ex68 9 2 3" xfId="1373"/>
    <cellStyle name="ex68 9 3" xfId="1374"/>
    <cellStyle name="ex68 9 4" xfId="1375"/>
    <cellStyle name="ex68 9 4 2" xfId="8547"/>
    <cellStyle name="ex68 9 4 3" xfId="8548"/>
    <cellStyle name="ex68 9 4 4" xfId="8549"/>
    <cellStyle name="ex68 9 4 5" xfId="8550"/>
    <cellStyle name="ex68 9 5" xfId="8551"/>
    <cellStyle name="ex68 9 6" xfId="8552"/>
    <cellStyle name="ex68 9 7" xfId="8553"/>
    <cellStyle name="ex68 9 8" xfId="8554"/>
    <cellStyle name="ex69" xfId="1376"/>
    <cellStyle name="ex69 10" xfId="1377"/>
    <cellStyle name="ex69 10 2" xfId="1378"/>
    <cellStyle name="ex69 10 2 2" xfId="1379"/>
    <cellStyle name="ex69 10 2 3" xfId="1380"/>
    <cellStyle name="ex69 10 3" xfId="1381"/>
    <cellStyle name="ex69 10 4" xfId="1382"/>
    <cellStyle name="ex69 10 4 2" xfId="8555"/>
    <cellStyle name="ex69 10 4 3" xfId="8556"/>
    <cellStyle name="ex69 10 4 4" xfId="8557"/>
    <cellStyle name="ex69 10 4 5" xfId="8558"/>
    <cellStyle name="ex69 10 5" xfId="8559"/>
    <cellStyle name="ex69 10 6" xfId="8560"/>
    <cellStyle name="ex69 10 7" xfId="8561"/>
    <cellStyle name="ex69 10 8" xfId="8562"/>
    <cellStyle name="ex69 11" xfId="1383"/>
    <cellStyle name="ex69 11 2" xfId="1384"/>
    <cellStyle name="ex69 11 2 2" xfId="1385"/>
    <cellStyle name="ex69 11 2 3" xfId="1386"/>
    <cellStyle name="ex69 11 3" xfId="1387"/>
    <cellStyle name="ex69 11 4" xfId="1388"/>
    <cellStyle name="ex69 11 4 2" xfId="8563"/>
    <cellStyle name="ex69 11 4 3" xfId="8564"/>
    <cellStyle name="ex69 11 4 4" xfId="8565"/>
    <cellStyle name="ex69 11 4 5" xfId="8566"/>
    <cellStyle name="ex69 11 5" xfId="8567"/>
    <cellStyle name="ex69 11 6" xfId="8568"/>
    <cellStyle name="ex69 11 7" xfId="8569"/>
    <cellStyle name="ex69 11 8" xfId="8570"/>
    <cellStyle name="ex69 12" xfId="1389"/>
    <cellStyle name="ex69 12 2" xfId="1390"/>
    <cellStyle name="ex69 12 3" xfId="1391"/>
    <cellStyle name="ex69 13" xfId="1392"/>
    <cellStyle name="ex69 14" xfId="1393"/>
    <cellStyle name="ex69 14 2" xfId="8571"/>
    <cellStyle name="ex69 14 3" xfId="8572"/>
    <cellStyle name="ex69 14 4" xfId="8573"/>
    <cellStyle name="ex69 14 5" xfId="8574"/>
    <cellStyle name="ex69 15" xfId="8575"/>
    <cellStyle name="ex69 16" xfId="8576"/>
    <cellStyle name="ex69 17" xfId="8577"/>
    <cellStyle name="ex69 18" xfId="8578"/>
    <cellStyle name="ex69 19" xfId="23851"/>
    <cellStyle name="ex69 2" xfId="1394"/>
    <cellStyle name="ex69 2 10" xfId="1395"/>
    <cellStyle name="ex69 2 10 2" xfId="1396"/>
    <cellStyle name="ex69 2 10 2 2" xfId="1397"/>
    <cellStyle name="ex69 2 10 2 3" xfId="1398"/>
    <cellStyle name="ex69 2 10 3" xfId="1399"/>
    <cellStyle name="ex69 2 10 4" xfId="1400"/>
    <cellStyle name="ex69 2 10 4 2" xfId="8579"/>
    <cellStyle name="ex69 2 10 4 3" xfId="8580"/>
    <cellStyle name="ex69 2 10 4 4" xfId="8581"/>
    <cellStyle name="ex69 2 10 4 5" xfId="8582"/>
    <cellStyle name="ex69 2 10 5" xfId="8583"/>
    <cellStyle name="ex69 2 10 6" xfId="8584"/>
    <cellStyle name="ex69 2 10 7" xfId="8585"/>
    <cellStyle name="ex69 2 10 8" xfId="8586"/>
    <cellStyle name="ex69 2 11" xfId="1401"/>
    <cellStyle name="ex69 2 11 2" xfId="1402"/>
    <cellStyle name="ex69 2 11 3" xfId="1403"/>
    <cellStyle name="ex69 2 12" xfId="1404"/>
    <cellStyle name="ex69 2 13" xfId="1405"/>
    <cellStyle name="ex69 2 13 2" xfId="8587"/>
    <cellStyle name="ex69 2 13 3" xfId="8588"/>
    <cellStyle name="ex69 2 13 4" xfId="8589"/>
    <cellStyle name="ex69 2 13 5" xfId="8590"/>
    <cellStyle name="ex69 2 14" xfId="8591"/>
    <cellStyle name="ex69 2 15" xfId="8592"/>
    <cellStyle name="ex69 2 16" xfId="8593"/>
    <cellStyle name="ex69 2 17" xfId="8594"/>
    <cellStyle name="ex69 2 2" xfId="1406"/>
    <cellStyle name="ex69 2 2 2" xfId="1407"/>
    <cellStyle name="ex69 2 2 2 2" xfId="1408"/>
    <cellStyle name="ex69 2 2 2 3" xfId="1409"/>
    <cellStyle name="ex69 2 2 3" xfId="1410"/>
    <cellStyle name="ex69 2 2 4" xfId="1411"/>
    <cellStyle name="ex69 2 2 4 2" xfId="8595"/>
    <cellStyle name="ex69 2 2 4 3" xfId="8596"/>
    <cellStyle name="ex69 2 2 4 4" xfId="8597"/>
    <cellStyle name="ex69 2 2 4 5" xfId="8598"/>
    <cellStyle name="ex69 2 2 5" xfId="8599"/>
    <cellStyle name="ex69 2 2 6" xfId="8600"/>
    <cellStyle name="ex69 2 2 7" xfId="8601"/>
    <cellStyle name="ex69 2 2 8" xfId="8602"/>
    <cellStyle name="ex69 2 3" xfId="1412"/>
    <cellStyle name="ex69 2 3 2" xfId="1413"/>
    <cellStyle name="ex69 2 3 2 2" xfId="1414"/>
    <cellStyle name="ex69 2 3 2 3" xfId="1415"/>
    <cellStyle name="ex69 2 3 3" xfId="1416"/>
    <cellStyle name="ex69 2 3 4" xfId="1417"/>
    <cellStyle name="ex69 2 3 4 2" xfId="8603"/>
    <cellStyle name="ex69 2 3 4 3" xfId="8604"/>
    <cellStyle name="ex69 2 3 4 4" xfId="8605"/>
    <cellStyle name="ex69 2 3 4 5" xfId="8606"/>
    <cellStyle name="ex69 2 3 5" xfId="8607"/>
    <cellStyle name="ex69 2 3 6" xfId="8608"/>
    <cellStyle name="ex69 2 3 7" xfId="8609"/>
    <cellStyle name="ex69 2 3 8" xfId="8610"/>
    <cellStyle name="ex69 2 4" xfId="1418"/>
    <cellStyle name="ex69 2 4 2" xfId="1419"/>
    <cellStyle name="ex69 2 4 2 2" xfId="1420"/>
    <cellStyle name="ex69 2 4 2 3" xfId="1421"/>
    <cellStyle name="ex69 2 4 3" xfId="1422"/>
    <cellStyle name="ex69 2 4 4" xfId="1423"/>
    <cellStyle name="ex69 2 4 4 2" xfId="8611"/>
    <cellStyle name="ex69 2 4 4 3" xfId="8612"/>
    <cellStyle name="ex69 2 4 4 4" xfId="8613"/>
    <cellStyle name="ex69 2 4 4 5" xfId="8614"/>
    <cellStyle name="ex69 2 4 5" xfId="8615"/>
    <cellStyle name="ex69 2 4 6" xfId="8616"/>
    <cellStyle name="ex69 2 4 7" xfId="8617"/>
    <cellStyle name="ex69 2 4 8" xfId="8618"/>
    <cellStyle name="ex69 2 5" xfId="1424"/>
    <cellStyle name="ex69 2 5 2" xfId="1425"/>
    <cellStyle name="ex69 2 5 2 2" xfId="1426"/>
    <cellStyle name="ex69 2 5 2 3" xfId="1427"/>
    <cellStyle name="ex69 2 5 3" xfId="1428"/>
    <cellStyle name="ex69 2 5 4" xfId="1429"/>
    <cellStyle name="ex69 2 5 4 2" xfId="8619"/>
    <cellStyle name="ex69 2 5 4 3" xfId="8620"/>
    <cellStyle name="ex69 2 5 4 4" xfId="8621"/>
    <cellStyle name="ex69 2 5 4 5" xfId="8622"/>
    <cellStyle name="ex69 2 5 5" xfId="8623"/>
    <cellStyle name="ex69 2 5 6" xfId="8624"/>
    <cellStyle name="ex69 2 5 7" xfId="8625"/>
    <cellStyle name="ex69 2 5 8" xfId="8626"/>
    <cellStyle name="ex69 2 6" xfId="1430"/>
    <cellStyle name="ex69 2 6 2" xfId="1431"/>
    <cellStyle name="ex69 2 6 2 2" xfId="1432"/>
    <cellStyle name="ex69 2 6 2 3" xfId="1433"/>
    <cellStyle name="ex69 2 6 3" xfId="1434"/>
    <cellStyle name="ex69 2 6 4" xfId="1435"/>
    <cellStyle name="ex69 2 6 4 2" xfId="8627"/>
    <cellStyle name="ex69 2 6 4 3" xfId="8628"/>
    <cellStyle name="ex69 2 6 4 4" xfId="8629"/>
    <cellStyle name="ex69 2 6 4 5" xfId="8630"/>
    <cellStyle name="ex69 2 6 5" xfId="8631"/>
    <cellStyle name="ex69 2 6 6" xfId="8632"/>
    <cellStyle name="ex69 2 6 7" xfId="8633"/>
    <cellStyle name="ex69 2 6 8" xfId="8634"/>
    <cellStyle name="ex69 2 7" xfId="1436"/>
    <cellStyle name="ex69 2 7 2" xfId="1437"/>
    <cellStyle name="ex69 2 7 2 2" xfId="1438"/>
    <cellStyle name="ex69 2 7 2 3" xfId="1439"/>
    <cellStyle name="ex69 2 7 3" xfId="1440"/>
    <cellStyle name="ex69 2 7 4" xfId="1441"/>
    <cellStyle name="ex69 2 7 4 2" xfId="8635"/>
    <cellStyle name="ex69 2 7 4 3" xfId="8636"/>
    <cellStyle name="ex69 2 7 4 4" xfId="8637"/>
    <cellStyle name="ex69 2 7 4 5" xfId="8638"/>
    <cellStyle name="ex69 2 7 5" xfId="8639"/>
    <cellStyle name="ex69 2 7 6" xfId="8640"/>
    <cellStyle name="ex69 2 7 7" xfId="8641"/>
    <cellStyle name="ex69 2 7 8" xfId="8642"/>
    <cellStyle name="ex69 2 8" xfId="1442"/>
    <cellStyle name="ex69 2 8 2" xfId="1443"/>
    <cellStyle name="ex69 2 8 2 2" xfId="1444"/>
    <cellStyle name="ex69 2 8 2 3" xfId="1445"/>
    <cellStyle name="ex69 2 8 3" xfId="1446"/>
    <cellStyle name="ex69 2 8 4" xfId="1447"/>
    <cellStyle name="ex69 2 8 4 2" xfId="8643"/>
    <cellStyle name="ex69 2 8 4 3" xfId="8644"/>
    <cellStyle name="ex69 2 8 4 4" xfId="8645"/>
    <cellStyle name="ex69 2 8 4 5" xfId="8646"/>
    <cellStyle name="ex69 2 8 5" xfId="8647"/>
    <cellStyle name="ex69 2 8 6" xfId="8648"/>
    <cellStyle name="ex69 2 8 7" xfId="8649"/>
    <cellStyle name="ex69 2 8 8" xfId="8650"/>
    <cellStyle name="ex69 2 9" xfId="1448"/>
    <cellStyle name="ex69 2 9 2" xfId="1449"/>
    <cellStyle name="ex69 2 9 2 2" xfId="1450"/>
    <cellStyle name="ex69 2 9 2 3" xfId="1451"/>
    <cellStyle name="ex69 2 9 3" xfId="1452"/>
    <cellStyle name="ex69 2 9 4" xfId="1453"/>
    <cellStyle name="ex69 2 9 4 2" xfId="8651"/>
    <cellStyle name="ex69 2 9 4 3" xfId="8652"/>
    <cellStyle name="ex69 2 9 4 4" xfId="8653"/>
    <cellStyle name="ex69 2 9 4 5" xfId="8654"/>
    <cellStyle name="ex69 2 9 5" xfId="8655"/>
    <cellStyle name="ex69 2 9 6" xfId="8656"/>
    <cellStyle name="ex69 2 9 7" xfId="8657"/>
    <cellStyle name="ex69 2 9 8" xfId="8658"/>
    <cellStyle name="ex69 20" xfId="23919"/>
    <cellStyle name="ex69 3" xfId="1454"/>
    <cellStyle name="ex69 3 2" xfId="1455"/>
    <cellStyle name="ex69 3 2 2" xfId="1456"/>
    <cellStyle name="ex69 3 2 3" xfId="1457"/>
    <cellStyle name="ex69 3 3" xfId="1458"/>
    <cellStyle name="ex69 3 4" xfId="1459"/>
    <cellStyle name="ex69 3 4 2" xfId="8659"/>
    <cellStyle name="ex69 3 4 3" xfId="8660"/>
    <cellStyle name="ex69 3 4 4" xfId="8661"/>
    <cellStyle name="ex69 3 4 5" xfId="8662"/>
    <cellStyle name="ex69 3 5" xfId="8663"/>
    <cellStyle name="ex69 3 6" xfId="8664"/>
    <cellStyle name="ex69 3 7" xfId="8665"/>
    <cellStyle name="ex69 3 8" xfId="8666"/>
    <cellStyle name="ex69 4" xfId="1460"/>
    <cellStyle name="ex69 4 2" xfId="1461"/>
    <cellStyle name="ex69 4 2 2" xfId="1462"/>
    <cellStyle name="ex69 4 2 3" xfId="1463"/>
    <cellStyle name="ex69 4 3" xfId="1464"/>
    <cellStyle name="ex69 4 4" xfId="1465"/>
    <cellStyle name="ex69 4 4 2" xfId="8667"/>
    <cellStyle name="ex69 4 4 3" xfId="8668"/>
    <cellStyle name="ex69 4 4 4" xfId="8669"/>
    <cellStyle name="ex69 4 4 5" xfId="8670"/>
    <cellStyle name="ex69 4 5" xfId="8671"/>
    <cellStyle name="ex69 4 6" xfId="8672"/>
    <cellStyle name="ex69 4 7" xfId="8673"/>
    <cellStyle name="ex69 4 8" xfId="8674"/>
    <cellStyle name="ex69 5" xfId="1466"/>
    <cellStyle name="ex69 5 2" xfId="1467"/>
    <cellStyle name="ex69 5 2 2" xfId="1468"/>
    <cellStyle name="ex69 5 2 3" xfId="1469"/>
    <cellStyle name="ex69 5 3" xfId="1470"/>
    <cellStyle name="ex69 5 4" xfId="1471"/>
    <cellStyle name="ex69 5 4 2" xfId="8675"/>
    <cellStyle name="ex69 5 4 3" xfId="8676"/>
    <cellStyle name="ex69 5 4 4" xfId="8677"/>
    <cellStyle name="ex69 5 4 5" xfId="8678"/>
    <cellStyle name="ex69 5 5" xfId="8679"/>
    <cellStyle name="ex69 5 6" xfId="8680"/>
    <cellStyle name="ex69 5 7" xfId="8681"/>
    <cellStyle name="ex69 5 8" xfId="8682"/>
    <cellStyle name="ex69 6" xfId="1472"/>
    <cellStyle name="ex69 6 2" xfId="1473"/>
    <cellStyle name="ex69 6 2 2" xfId="1474"/>
    <cellStyle name="ex69 6 2 3" xfId="1475"/>
    <cellStyle name="ex69 6 3" xfId="1476"/>
    <cellStyle name="ex69 6 4" xfId="1477"/>
    <cellStyle name="ex69 6 4 2" xfId="8683"/>
    <cellStyle name="ex69 6 4 3" xfId="8684"/>
    <cellStyle name="ex69 6 4 4" xfId="8685"/>
    <cellStyle name="ex69 6 4 5" xfId="8686"/>
    <cellStyle name="ex69 6 5" xfId="8687"/>
    <cellStyle name="ex69 6 6" xfId="8688"/>
    <cellStyle name="ex69 6 7" xfId="8689"/>
    <cellStyle name="ex69 6 8" xfId="8690"/>
    <cellStyle name="ex69 7" xfId="1478"/>
    <cellStyle name="ex69 7 2" xfId="1479"/>
    <cellStyle name="ex69 7 2 2" xfId="1480"/>
    <cellStyle name="ex69 7 2 3" xfId="1481"/>
    <cellStyle name="ex69 7 3" xfId="1482"/>
    <cellStyle name="ex69 7 4" xfId="1483"/>
    <cellStyle name="ex69 7 4 2" xfId="8691"/>
    <cellStyle name="ex69 7 4 3" xfId="8692"/>
    <cellStyle name="ex69 7 4 4" xfId="8693"/>
    <cellStyle name="ex69 7 4 5" xfId="8694"/>
    <cellStyle name="ex69 7 5" xfId="8695"/>
    <cellStyle name="ex69 7 6" xfId="8696"/>
    <cellStyle name="ex69 7 7" xfId="8697"/>
    <cellStyle name="ex69 7 8" xfId="8698"/>
    <cellStyle name="ex69 8" xfId="1484"/>
    <cellStyle name="ex69 8 2" xfId="1485"/>
    <cellStyle name="ex69 8 2 2" xfId="1486"/>
    <cellStyle name="ex69 8 2 3" xfId="1487"/>
    <cellStyle name="ex69 8 3" xfId="1488"/>
    <cellStyle name="ex69 8 4" xfId="1489"/>
    <cellStyle name="ex69 8 4 2" xfId="8699"/>
    <cellStyle name="ex69 8 4 3" xfId="8700"/>
    <cellStyle name="ex69 8 4 4" xfId="8701"/>
    <cellStyle name="ex69 8 4 5" xfId="8702"/>
    <cellStyle name="ex69 8 5" xfId="8703"/>
    <cellStyle name="ex69 8 6" xfId="8704"/>
    <cellStyle name="ex69 8 7" xfId="8705"/>
    <cellStyle name="ex69 8 8" xfId="8706"/>
    <cellStyle name="ex69 9" xfId="1490"/>
    <cellStyle name="ex69 9 2" xfId="1491"/>
    <cellStyle name="ex69 9 2 2" xfId="1492"/>
    <cellStyle name="ex69 9 2 3" xfId="1493"/>
    <cellStyle name="ex69 9 3" xfId="1494"/>
    <cellStyle name="ex69 9 4" xfId="1495"/>
    <cellStyle name="ex69 9 4 2" xfId="8707"/>
    <cellStyle name="ex69 9 4 3" xfId="8708"/>
    <cellStyle name="ex69 9 4 4" xfId="8709"/>
    <cellStyle name="ex69 9 4 5" xfId="8710"/>
    <cellStyle name="ex69 9 5" xfId="8711"/>
    <cellStyle name="ex69 9 6" xfId="8712"/>
    <cellStyle name="ex69 9 7" xfId="8713"/>
    <cellStyle name="ex69 9 8" xfId="8714"/>
    <cellStyle name="ex70" xfId="23"/>
    <cellStyle name="ex70 10" xfId="23852"/>
    <cellStyle name="ex70 11" xfId="23888"/>
    <cellStyle name="ex70 12" xfId="23920"/>
    <cellStyle name="ex70 2" xfId="1496"/>
    <cellStyle name="ex70 2 2" xfId="1497"/>
    <cellStyle name="ex70 2 2 2" xfId="1498"/>
    <cellStyle name="ex70 2 2 3" xfId="1499"/>
    <cellStyle name="ex70 2 3" xfId="1500"/>
    <cellStyle name="ex70 2 4" xfId="1501"/>
    <cellStyle name="ex70 2 4 2" xfId="8715"/>
    <cellStyle name="ex70 2 4 3" xfId="8716"/>
    <cellStyle name="ex70 2 4 4" xfId="8717"/>
    <cellStyle name="ex70 2 4 5" xfId="8718"/>
    <cellStyle name="ex70 2 5" xfId="8719"/>
    <cellStyle name="ex70 2 6" xfId="8720"/>
    <cellStyle name="ex70 2 7" xfId="8721"/>
    <cellStyle name="ex70 2 8" xfId="8722"/>
    <cellStyle name="ex70 3" xfId="1502"/>
    <cellStyle name="ex70 3 2" xfId="1503"/>
    <cellStyle name="ex70 3 3" xfId="1504"/>
    <cellStyle name="ex70 4" xfId="1505"/>
    <cellStyle name="ex70 5" xfId="1506"/>
    <cellStyle name="ex70 5 2" xfId="8723"/>
    <cellStyle name="ex70 5 3" xfId="8724"/>
    <cellStyle name="ex70 5 4" xfId="8725"/>
    <cellStyle name="ex70 5 5" xfId="8726"/>
    <cellStyle name="ex70 6" xfId="8727"/>
    <cellStyle name="ex70 7" xfId="8728"/>
    <cellStyle name="ex70 8" xfId="8729"/>
    <cellStyle name="ex70 9" xfId="8730"/>
    <cellStyle name="ex71" xfId="24"/>
    <cellStyle name="ex71 10" xfId="23853"/>
    <cellStyle name="ex71 11" xfId="23889"/>
    <cellStyle name="ex71 2" xfId="1507"/>
    <cellStyle name="ex71 2 2" xfId="1508"/>
    <cellStyle name="ex71 2 2 2" xfId="1509"/>
    <cellStyle name="ex71 2 2 2 2" xfId="1510"/>
    <cellStyle name="ex71 2 2 2 3" xfId="1511"/>
    <cellStyle name="ex71 2 2 3" xfId="1512"/>
    <cellStyle name="ex71 2 2 4" xfId="1513"/>
    <cellStyle name="ex71 2 2 4 2" xfId="8731"/>
    <cellStyle name="ex71 2 2 4 3" xfId="8732"/>
    <cellStyle name="ex71 2 2 4 4" xfId="8733"/>
    <cellStyle name="ex71 2 2 4 5" xfId="8734"/>
    <cellStyle name="ex71 2 2 5" xfId="8735"/>
    <cellStyle name="ex71 2 2 6" xfId="8736"/>
    <cellStyle name="ex71 2 2 7" xfId="8737"/>
    <cellStyle name="ex71 2 2 8" xfId="8738"/>
    <cellStyle name="ex71 2 3" xfId="1514"/>
    <cellStyle name="ex71 2 3 2" xfId="1515"/>
    <cellStyle name="ex71 2 3 3" xfId="1516"/>
    <cellStyle name="ex71 2 4" xfId="1517"/>
    <cellStyle name="ex71 2 5" xfId="1518"/>
    <cellStyle name="ex71 2 5 2" xfId="8739"/>
    <cellStyle name="ex71 2 5 3" xfId="8740"/>
    <cellStyle name="ex71 2 5 4" xfId="8741"/>
    <cellStyle name="ex71 2 5 5" xfId="8742"/>
    <cellStyle name="ex71 2 6" xfId="8743"/>
    <cellStyle name="ex71 2 7" xfId="8744"/>
    <cellStyle name="ex71 2 8" xfId="8745"/>
    <cellStyle name="ex71 2 9" xfId="8746"/>
    <cellStyle name="ex71 3" xfId="1519"/>
    <cellStyle name="ex71 3 2" xfId="1520"/>
    <cellStyle name="ex71 3 3" xfId="1521"/>
    <cellStyle name="ex71 4" xfId="1522"/>
    <cellStyle name="ex71 5" xfId="1523"/>
    <cellStyle name="ex71 5 2" xfId="8747"/>
    <cellStyle name="ex71 5 3" xfId="8748"/>
    <cellStyle name="ex71 5 4" xfId="8749"/>
    <cellStyle name="ex71 5 5" xfId="8750"/>
    <cellStyle name="ex71 6" xfId="8751"/>
    <cellStyle name="ex71 7" xfId="8752"/>
    <cellStyle name="ex71 8" xfId="8753"/>
    <cellStyle name="ex71 9" xfId="8754"/>
    <cellStyle name="ex72" xfId="25"/>
    <cellStyle name="ex72 10" xfId="23854"/>
    <cellStyle name="ex72 11" xfId="23890"/>
    <cellStyle name="ex72 2" xfId="1524"/>
    <cellStyle name="ex72 2 2" xfId="1525"/>
    <cellStyle name="ex72 2 2 2" xfId="1526"/>
    <cellStyle name="ex72 2 2 2 2" xfId="1527"/>
    <cellStyle name="ex72 2 2 2 3" xfId="1528"/>
    <cellStyle name="ex72 2 2 3" xfId="1529"/>
    <cellStyle name="ex72 2 2 4" xfId="1530"/>
    <cellStyle name="ex72 2 2 4 2" xfId="8755"/>
    <cellStyle name="ex72 2 2 4 3" xfId="8756"/>
    <cellStyle name="ex72 2 2 4 4" xfId="8757"/>
    <cellStyle name="ex72 2 2 4 5" xfId="8758"/>
    <cellStyle name="ex72 2 2 5" xfId="8759"/>
    <cellStyle name="ex72 2 2 6" xfId="8760"/>
    <cellStyle name="ex72 2 2 7" xfId="8761"/>
    <cellStyle name="ex72 2 2 8" xfId="8762"/>
    <cellStyle name="ex72 2 3" xfId="1531"/>
    <cellStyle name="ex72 2 3 2" xfId="1532"/>
    <cellStyle name="ex72 2 3 3" xfId="1533"/>
    <cellStyle name="ex72 2 4" xfId="1534"/>
    <cellStyle name="ex72 2 5" xfId="1535"/>
    <cellStyle name="ex72 2 5 2" xfId="8763"/>
    <cellStyle name="ex72 2 5 3" xfId="8764"/>
    <cellStyle name="ex72 2 5 4" xfId="8765"/>
    <cellStyle name="ex72 2 5 5" xfId="8766"/>
    <cellStyle name="ex72 2 6" xfId="8767"/>
    <cellStyle name="ex72 2 7" xfId="8768"/>
    <cellStyle name="ex72 2 8" xfId="8769"/>
    <cellStyle name="ex72 2 9" xfId="8770"/>
    <cellStyle name="ex72 3" xfId="1536"/>
    <cellStyle name="ex72 3 2" xfId="1537"/>
    <cellStyle name="ex72 3 3" xfId="1538"/>
    <cellStyle name="ex72 4" xfId="1539"/>
    <cellStyle name="ex72 5" xfId="1540"/>
    <cellStyle name="ex72 5 2" xfId="8771"/>
    <cellStyle name="ex72 5 3" xfId="8772"/>
    <cellStyle name="ex72 5 4" xfId="8773"/>
    <cellStyle name="ex72 5 5" xfId="8774"/>
    <cellStyle name="ex72 6" xfId="8775"/>
    <cellStyle name="ex72 7" xfId="8776"/>
    <cellStyle name="ex72 8" xfId="8777"/>
    <cellStyle name="ex72 9" xfId="8778"/>
    <cellStyle name="ex73" xfId="26"/>
    <cellStyle name="ex73 10" xfId="23855"/>
    <cellStyle name="ex73 11" xfId="23891"/>
    <cellStyle name="ex73 2" xfId="1541"/>
    <cellStyle name="ex73 2 2" xfId="1542"/>
    <cellStyle name="ex73 2 2 2" xfId="1543"/>
    <cellStyle name="ex73 2 2 3" xfId="1544"/>
    <cellStyle name="ex73 2 3" xfId="1545"/>
    <cellStyle name="ex73 2 4" xfId="1546"/>
    <cellStyle name="ex73 2 4 2" xfId="8779"/>
    <cellStyle name="ex73 2 4 3" xfId="8780"/>
    <cellStyle name="ex73 2 4 4" xfId="8781"/>
    <cellStyle name="ex73 2 4 5" xfId="8782"/>
    <cellStyle name="ex73 2 5" xfId="8783"/>
    <cellStyle name="ex73 2 6" xfId="8784"/>
    <cellStyle name="ex73 2 7" xfId="8785"/>
    <cellStyle name="ex73 2 8" xfId="8786"/>
    <cellStyle name="ex73 3" xfId="1547"/>
    <cellStyle name="ex73 3 2" xfId="1548"/>
    <cellStyle name="ex73 3 3" xfId="1549"/>
    <cellStyle name="ex73 4" xfId="1550"/>
    <cellStyle name="ex73 5" xfId="1551"/>
    <cellStyle name="ex73 5 2" xfId="8787"/>
    <cellStyle name="ex73 5 3" xfId="8788"/>
    <cellStyle name="ex73 5 4" xfId="8789"/>
    <cellStyle name="ex73 5 5" xfId="8790"/>
    <cellStyle name="ex73 6" xfId="8791"/>
    <cellStyle name="ex73 7" xfId="8792"/>
    <cellStyle name="ex73 8" xfId="8793"/>
    <cellStyle name="ex73 9" xfId="8794"/>
    <cellStyle name="ex74" xfId="1552"/>
    <cellStyle name="ex74 10" xfId="8795"/>
    <cellStyle name="ex74 11" xfId="23856"/>
    <cellStyle name="ex74 12" xfId="23921"/>
    <cellStyle name="ex74 2" xfId="1553"/>
    <cellStyle name="ex74 2 2" xfId="1554"/>
    <cellStyle name="ex74 2 2 2" xfId="1555"/>
    <cellStyle name="ex74 2 2 3" xfId="1556"/>
    <cellStyle name="ex74 2 3" xfId="1557"/>
    <cellStyle name="ex74 2 4" xfId="1558"/>
    <cellStyle name="ex74 2 4 2" xfId="8796"/>
    <cellStyle name="ex74 2 4 3" xfId="8797"/>
    <cellStyle name="ex74 2 4 4" xfId="8798"/>
    <cellStyle name="ex74 2 4 5" xfId="8799"/>
    <cellStyle name="ex74 2 5" xfId="8800"/>
    <cellStyle name="ex74 2 6" xfId="8801"/>
    <cellStyle name="ex74 2 7" xfId="8802"/>
    <cellStyle name="ex74 2 8" xfId="8803"/>
    <cellStyle name="ex74 3" xfId="1559"/>
    <cellStyle name="ex74 3 2" xfId="1560"/>
    <cellStyle name="ex74 3 2 2" xfId="1561"/>
    <cellStyle name="ex74 3 2 3" xfId="1562"/>
    <cellStyle name="ex74 3 3" xfId="1563"/>
    <cellStyle name="ex74 3 4" xfId="1564"/>
    <cellStyle name="ex74 3 4 2" xfId="8804"/>
    <cellStyle name="ex74 3 4 3" xfId="8805"/>
    <cellStyle name="ex74 3 4 4" xfId="8806"/>
    <cellStyle name="ex74 3 4 5" xfId="8807"/>
    <cellStyle name="ex74 3 5" xfId="8808"/>
    <cellStyle name="ex74 3 6" xfId="8809"/>
    <cellStyle name="ex74 3 7" xfId="8810"/>
    <cellStyle name="ex74 3 8" xfId="8811"/>
    <cellStyle name="ex74 4" xfId="1565"/>
    <cellStyle name="ex74 4 2" xfId="1566"/>
    <cellStyle name="ex74 4 3" xfId="1567"/>
    <cellStyle name="ex74 5" xfId="1568"/>
    <cellStyle name="ex74 6" xfId="1569"/>
    <cellStyle name="ex74 6 2" xfId="8812"/>
    <cellStyle name="ex74 6 3" xfId="8813"/>
    <cellStyle name="ex74 6 4" xfId="8814"/>
    <cellStyle name="ex74 6 5" xfId="8815"/>
    <cellStyle name="ex74 7" xfId="8816"/>
    <cellStyle name="ex74 8" xfId="8817"/>
    <cellStyle name="ex74 9" xfId="8818"/>
    <cellStyle name="ex75" xfId="28"/>
    <cellStyle name="ex75 2" xfId="1570"/>
    <cellStyle name="ex75 2 2" xfId="1571"/>
    <cellStyle name="ex75 2 2 2" xfId="1572"/>
    <cellStyle name="ex75 2 2 3" xfId="1573"/>
    <cellStyle name="ex75 2 3" xfId="1574"/>
    <cellStyle name="ex75 2 4" xfId="1575"/>
    <cellStyle name="ex75 3" xfId="1576"/>
    <cellStyle name="ex75 3 2" xfId="1577"/>
    <cellStyle name="ex75 3 3" xfId="1578"/>
    <cellStyle name="ex75 4" xfId="1579"/>
    <cellStyle name="ex75 5" xfId="1580"/>
    <cellStyle name="ex76" xfId="29"/>
    <cellStyle name="ex76 10" xfId="23857"/>
    <cellStyle name="ex76 11" xfId="23893"/>
    <cellStyle name="ex76 2" xfId="1581"/>
    <cellStyle name="ex76 2 2" xfId="1582"/>
    <cellStyle name="ex76 2 2 2" xfId="1583"/>
    <cellStyle name="ex76 2 2 2 2" xfId="1584"/>
    <cellStyle name="ex76 2 2 2 3" xfId="1585"/>
    <cellStyle name="ex76 2 2 3" xfId="1586"/>
    <cellStyle name="ex76 2 2 4" xfId="1587"/>
    <cellStyle name="ex76 2 2 4 2" xfId="8819"/>
    <cellStyle name="ex76 2 2 4 3" xfId="8820"/>
    <cellStyle name="ex76 2 2 4 4" xfId="8821"/>
    <cellStyle name="ex76 2 2 4 5" xfId="8822"/>
    <cellStyle name="ex76 2 2 5" xfId="8823"/>
    <cellStyle name="ex76 2 2 6" xfId="8824"/>
    <cellStyle name="ex76 2 2 7" xfId="8825"/>
    <cellStyle name="ex76 2 2 8" xfId="8826"/>
    <cellStyle name="ex76 2 3" xfId="1588"/>
    <cellStyle name="ex76 2 3 2" xfId="1589"/>
    <cellStyle name="ex76 2 3 3" xfId="1590"/>
    <cellStyle name="ex76 2 4" xfId="1591"/>
    <cellStyle name="ex76 2 5" xfId="1592"/>
    <cellStyle name="ex76 2 5 2" xfId="8827"/>
    <cellStyle name="ex76 2 5 3" xfId="8828"/>
    <cellStyle name="ex76 2 5 4" xfId="8829"/>
    <cellStyle name="ex76 2 5 5" xfId="8830"/>
    <cellStyle name="ex76 2 6" xfId="8831"/>
    <cellStyle name="ex76 2 7" xfId="8832"/>
    <cellStyle name="ex76 2 8" xfId="8833"/>
    <cellStyle name="ex76 2 9" xfId="8834"/>
    <cellStyle name="ex76 3" xfId="1593"/>
    <cellStyle name="ex76 3 2" xfId="1594"/>
    <cellStyle name="ex76 3 3" xfId="1595"/>
    <cellStyle name="ex76 4" xfId="1596"/>
    <cellStyle name="ex76 5" xfId="1597"/>
    <cellStyle name="ex76 5 2" xfId="8835"/>
    <cellStyle name="ex76 5 3" xfId="8836"/>
    <cellStyle name="ex76 5 4" xfId="8837"/>
    <cellStyle name="ex76 5 5" xfId="8838"/>
    <cellStyle name="ex76 6" xfId="8839"/>
    <cellStyle name="ex76 7" xfId="8840"/>
    <cellStyle name="ex76 8" xfId="8841"/>
    <cellStyle name="ex76 9" xfId="8842"/>
    <cellStyle name="ex77" xfId="30"/>
    <cellStyle name="ex77 10" xfId="23858"/>
    <cellStyle name="ex77 11" xfId="23894"/>
    <cellStyle name="ex77 2" xfId="1598"/>
    <cellStyle name="ex77 2 2" xfId="1599"/>
    <cellStyle name="ex77 2 2 2" xfId="1600"/>
    <cellStyle name="ex77 2 2 2 2" xfId="1601"/>
    <cellStyle name="ex77 2 2 2 3" xfId="1602"/>
    <cellStyle name="ex77 2 2 3" xfId="1603"/>
    <cellStyle name="ex77 2 2 4" xfId="1604"/>
    <cellStyle name="ex77 2 2 4 2" xfId="8843"/>
    <cellStyle name="ex77 2 2 4 3" xfId="8844"/>
    <cellStyle name="ex77 2 2 4 4" xfId="8845"/>
    <cellStyle name="ex77 2 2 4 5" xfId="8846"/>
    <cellStyle name="ex77 2 2 5" xfId="8847"/>
    <cellStyle name="ex77 2 2 6" xfId="8848"/>
    <cellStyle name="ex77 2 2 7" xfId="8849"/>
    <cellStyle name="ex77 2 2 8" xfId="8850"/>
    <cellStyle name="ex77 2 3" xfId="1605"/>
    <cellStyle name="ex77 2 3 2" xfId="1606"/>
    <cellStyle name="ex77 2 3 3" xfId="1607"/>
    <cellStyle name="ex77 2 4" xfId="1608"/>
    <cellStyle name="ex77 2 5" xfId="1609"/>
    <cellStyle name="ex77 2 5 2" xfId="8851"/>
    <cellStyle name="ex77 2 5 3" xfId="8852"/>
    <cellStyle name="ex77 2 5 4" xfId="8853"/>
    <cellStyle name="ex77 2 5 5" xfId="8854"/>
    <cellStyle name="ex77 2 6" xfId="8855"/>
    <cellStyle name="ex77 2 7" xfId="8856"/>
    <cellStyle name="ex77 2 8" xfId="8857"/>
    <cellStyle name="ex77 2 9" xfId="8858"/>
    <cellStyle name="ex77 3" xfId="1610"/>
    <cellStyle name="ex77 3 2" xfId="1611"/>
    <cellStyle name="ex77 3 3" xfId="1612"/>
    <cellStyle name="ex77 4" xfId="1613"/>
    <cellStyle name="ex77 5" xfId="1614"/>
    <cellStyle name="ex77 5 2" xfId="8859"/>
    <cellStyle name="ex77 5 3" xfId="8860"/>
    <cellStyle name="ex77 5 4" xfId="8861"/>
    <cellStyle name="ex77 5 5" xfId="8862"/>
    <cellStyle name="ex77 6" xfId="8863"/>
    <cellStyle name="ex77 7" xfId="8864"/>
    <cellStyle name="ex77 8" xfId="8865"/>
    <cellStyle name="ex77 9" xfId="8866"/>
    <cellStyle name="ex78" xfId="31"/>
    <cellStyle name="ex78 10" xfId="23859"/>
    <cellStyle name="ex78 11" xfId="23895"/>
    <cellStyle name="ex78 2" xfId="1615"/>
    <cellStyle name="ex78 2 2" xfId="1616"/>
    <cellStyle name="ex78 2 2 2" xfId="1617"/>
    <cellStyle name="ex78 2 2 3" xfId="1618"/>
    <cellStyle name="ex78 2 3" xfId="1619"/>
    <cellStyle name="ex78 2 4" xfId="1620"/>
    <cellStyle name="ex78 2 4 2" xfId="8867"/>
    <cellStyle name="ex78 2 4 3" xfId="8868"/>
    <cellStyle name="ex78 2 4 4" xfId="8869"/>
    <cellStyle name="ex78 2 4 5" xfId="8870"/>
    <cellStyle name="ex78 2 5" xfId="8871"/>
    <cellStyle name="ex78 2 6" xfId="8872"/>
    <cellStyle name="ex78 2 7" xfId="8873"/>
    <cellStyle name="ex78 2 8" xfId="8874"/>
    <cellStyle name="ex78 3" xfId="1621"/>
    <cellStyle name="ex78 3 2" xfId="1622"/>
    <cellStyle name="ex78 3 3" xfId="1623"/>
    <cellStyle name="ex78 4" xfId="1624"/>
    <cellStyle name="ex78 5" xfId="1625"/>
    <cellStyle name="ex78 5 2" xfId="8875"/>
    <cellStyle name="ex78 5 3" xfId="8876"/>
    <cellStyle name="ex78 5 4" xfId="8877"/>
    <cellStyle name="ex78 5 5" xfId="8878"/>
    <cellStyle name="ex78 6" xfId="8879"/>
    <cellStyle name="ex78 7" xfId="8880"/>
    <cellStyle name="ex78 8" xfId="8881"/>
    <cellStyle name="ex78 9" xfId="8882"/>
    <cellStyle name="ex79" xfId="1626"/>
    <cellStyle name="ex79 10" xfId="8883"/>
    <cellStyle name="ex79 11" xfId="23860"/>
    <cellStyle name="ex79 12" xfId="23922"/>
    <cellStyle name="ex79 2" xfId="1627"/>
    <cellStyle name="ex79 2 2" xfId="1628"/>
    <cellStyle name="ex79 2 2 2" xfId="1629"/>
    <cellStyle name="ex79 2 2 3" xfId="1630"/>
    <cellStyle name="ex79 2 3" xfId="1631"/>
    <cellStyle name="ex79 2 4" xfId="1632"/>
    <cellStyle name="ex79 2 4 2" xfId="8884"/>
    <cellStyle name="ex79 2 4 3" xfId="8885"/>
    <cellStyle name="ex79 2 4 4" xfId="8886"/>
    <cellStyle name="ex79 2 4 5" xfId="8887"/>
    <cellStyle name="ex79 2 5" xfId="8888"/>
    <cellStyle name="ex79 2 6" xfId="8889"/>
    <cellStyle name="ex79 2 7" xfId="8890"/>
    <cellStyle name="ex79 2 8" xfId="8891"/>
    <cellStyle name="ex79 3" xfId="1633"/>
    <cellStyle name="ex79 3 2" xfId="1634"/>
    <cellStyle name="ex79 3 2 2" xfId="1635"/>
    <cellStyle name="ex79 3 2 3" xfId="1636"/>
    <cellStyle name="ex79 3 3" xfId="1637"/>
    <cellStyle name="ex79 3 4" xfId="1638"/>
    <cellStyle name="ex79 3 4 2" xfId="8892"/>
    <cellStyle name="ex79 3 4 3" xfId="8893"/>
    <cellStyle name="ex79 3 4 4" xfId="8894"/>
    <cellStyle name="ex79 3 4 5" xfId="8895"/>
    <cellStyle name="ex79 3 5" xfId="8896"/>
    <cellStyle name="ex79 3 6" xfId="8897"/>
    <cellStyle name="ex79 3 7" xfId="8898"/>
    <cellStyle name="ex79 3 8" xfId="8899"/>
    <cellStyle name="ex79 4" xfId="1639"/>
    <cellStyle name="ex79 4 2" xfId="1640"/>
    <cellStyle name="ex79 4 3" xfId="1641"/>
    <cellStyle name="ex79 5" xfId="1642"/>
    <cellStyle name="ex79 6" xfId="1643"/>
    <cellStyle name="ex79 6 2" xfId="8900"/>
    <cellStyle name="ex79 6 3" xfId="8901"/>
    <cellStyle name="ex79 6 4" xfId="8902"/>
    <cellStyle name="ex79 6 5" xfId="8903"/>
    <cellStyle name="ex79 7" xfId="8904"/>
    <cellStyle name="ex79 8" xfId="8905"/>
    <cellStyle name="ex79 9" xfId="8906"/>
    <cellStyle name="ex80" xfId="33"/>
    <cellStyle name="ex80 2" xfId="1644"/>
    <cellStyle name="ex80 2 2" xfId="1645"/>
    <cellStyle name="ex80 2 2 2" xfId="1646"/>
    <cellStyle name="ex80 2 2 3" xfId="1647"/>
    <cellStyle name="ex80 2 3" xfId="1648"/>
    <cellStyle name="ex80 2 4" xfId="1649"/>
    <cellStyle name="ex80 3" xfId="1650"/>
    <cellStyle name="ex80 3 2" xfId="1651"/>
    <cellStyle name="ex80 3 3" xfId="1652"/>
    <cellStyle name="ex80 4" xfId="1653"/>
    <cellStyle name="ex80 5" xfId="1654"/>
    <cellStyle name="ex81" xfId="34"/>
    <cellStyle name="ex81 10" xfId="23861"/>
    <cellStyle name="ex81 11" xfId="23897"/>
    <cellStyle name="ex81 2" xfId="1655"/>
    <cellStyle name="ex81 2 2" xfId="1656"/>
    <cellStyle name="ex81 2 2 2" xfId="1657"/>
    <cellStyle name="ex81 2 2 3" xfId="1658"/>
    <cellStyle name="ex81 2 3" xfId="1659"/>
    <cellStyle name="ex81 2 4" xfId="1660"/>
    <cellStyle name="ex81 2 4 2" xfId="8907"/>
    <cellStyle name="ex81 2 4 3" xfId="8908"/>
    <cellStyle name="ex81 2 4 4" xfId="8909"/>
    <cellStyle name="ex81 2 4 5" xfId="8910"/>
    <cellStyle name="ex81 2 5" xfId="8911"/>
    <cellStyle name="ex81 2 6" xfId="8912"/>
    <cellStyle name="ex81 2 7" xfId="8913"/>
    <cellStyle name="ex81 2 8" xfId="8914"/>
    <cellStyle name="ex81 3" xfId="1661"/>
    <cellStyle name="ex81 3 2" xfId="1662"/>
    <cellStyle name="ex81 3 3" xfId="1663"/>
    <cellStyle name="ex81 4" xfId="1664"/>
    <cellStyle name="ex81 5" xfId="1665"/>
    <cellStyle name="ex81 5 2" xfId="8915"/>
    <cellStyle name="ex81 5 3" xfId="8916"/>
    <cellStyle name="ex81 5 4" xfId="8917"/>
    <cellStyle name="ex81 5 5" xfId="8918"/>
    <cellStyle name="ex81 6" xfId="8919"/>
    <cellStyle name="ex81 7" xfId="8920"/>
    <cellStyle name="ex81 8" xfId="8921"/>
    <cellStyle name="ex81 9" xfId="8922"/>
    <cellStyle name="ex82" xfId="35"/>
    <cellStyle name="ex82 10" xfId="23862"/>
    <cellStyle name="ex82 11" xfId="23898"/>
    <cellStyle name="ex82 2" xfId="1666"/>
    <cellStyle name="ex82 2 2" xfId="1667"/>
    <cellStyle name="ex82 2 2 2" xfId="1668"/>
    <cellStyle name="ex82 2 2 3" xfId="1669"/>
    <cellStyle name="ex82 2 3" xfId="1670"/>
    <cellStyle name="ex82 2 4" xfId="1671"/>
    <cellStyle name="ex82 2 4 2" xfId="8923"/>
    <cellStyle name="ex82 2 4 3" xfId="8924"/>
    <cellStyle name="ex82 2 4 4" xfId="8925"/>
    <cellStyle name="ex82 2 4 5" xfId="8926"/>
    <cellStyle name="ex82 2 5" xfId="8927"/>
    <cellStyle name="ex82 2 6" xfId="8928"/>
    <cellStyle name="ex82 2 7" xfId="8929"/>
    <cellStyle name="ex82 2 8" xfId="8930"/>
    <cellStyle name="ex82 3" xfId="1672"/>
    <cellStyle name="ex82 3 2" xfId="1673"/>
    <cellStyle name="ex82 3 3" xfId="1674"/>
    <cellStyle name="ex82 4" xfId="1675"/>
    <cellStyle name="ex82 5" xfId="1676"/>
    <cellStyle name="ex82 5 2" xfId="8931"/>
    <cellStyle name="ex82 5 3" xfId="8932"/>
    <cellStyle name="ex82 5 4" xfId="8933"/>
    <cellStyle name="ex82 5 5" xfId="8934"/>
    <cellStyle name="ex82 6" xfId="8935"/>
    <cellStyle name="ex82 7" xfId="8936"/>
    <cellStyle name="ex82 8" xfId="8937"/>
    <cellStyle name="ex82 9" xfId="8938"/>
    <cellStyle name="ex83" xfId="36"/>
    <cellStyle name="ex83 10" xfId="23863"/>
    <cellStyle name="ex83 11" xfId="23899"/>
    <cellStyle name="ex83 2" xfId="1677"/>
    <cellStyle name="ex83 2 2" xfId="1678"/>
    <cellStyle name="ex83 2 2 2" xfId="1679"/>
    <cellStyle name="ex83 2 2 3" xfId="1680"/>
    <cellStyle name="ex83 2 3" xfId="1681"/>
    <cellStyle name="ex83 2 4" xfId="1682"/>
    <cellStyle name="ex83 2 4 2" xfId="8939"/>
    <cellStyle name="ex83 2 4 3" xfId="8940"/>
    <cellStyle name="ex83 2 4 4" xfId="8941"/>
    <cellStyle name="ex83 2 4 5" xfId="8942"/>
    <cellStyle name="ex83 2 5" xfId="8943"/>
    <cellStyle name="ex83 2 6" xfId="8944"/>
    <cellStyle name="ex83 2 7" xfId="8945"/>
    <cellStyle name="ex83 2 8" xfId="8946"/>
    <cellStyle name="ex83 3" xfId="1683"/>
    <cellStyle name="ex83 3 2" xfId="1684"/>
    <cellStyle name="ex83 3 3" xfId="1685"/>
    <cellStyle name="ex83 4" xfId="1686"/>
    <cellStyle name="ex83 5" xfId="1687"/>
    <cellStyle name="ex83 5 2" xfId="8947"/>
    <cellStyle name="ex83 5 3" xfId="8948"/>
    <cellStyle name="ex83 5 4" xfId="8949"/>
    <cellStyle name="ex83 5 5" xfId="8950"/>
    <cellStyle name="ex83 6" xfId="8951"/>
    <cellStyle name="ex83 7" xfId="8952"/>
    <cellStyle name="ex83 8" xfId="8953"/>
    <cellStyle name="ex83 9" xfId="8954"/>
    <cellStyle name="ex84" xfId="1688"/>
    <cellStyle name="ex84 10" xfId="23864"/>
    <cellStyle name="ex84 11" xfId="23923"/>
    <cellStyle name="ex84 2" xfId="1689"/>
    <cellStyle name="ex84 2 2" xfId="1690"/>
    <cellStyle name="ex84 2 2 2" xfId="1691"/>
    <cellStyle name="ex84 2 2 3" xfId="1692"/>
    <cellStyle name="ex84 2 3" xfId="1693"/>
    <cellStyle name="ex84 2 4" xfId="1694"/>
    <cellStyle name="ex84 2 4 2" xfId="8955"/>
    <cellStyle name="ex84 2 4 3" xfId="8956"/>
    <cellStyle name="ex84 2 4 4" xfId="8957"/>
    <cellStyle name="ex84 2 4 5" xfId="8958"/>
    <cellStyle name="ex84 2 5" xfId="8959"/>
    <cellStyle name="ex84 2 6" xfId="8960"/>
    <cellStyle name="ex84 2 7" xfId="8961"/>
    <cellStyle name="ex84 2 8" xfId="8962"/>
    <cellStyle name="ex84 3" xfId="1695"/>
    <cellStyle name="ex84 3 2" xfId="1696"/>
    <cellStyle name="ex84 3 3" xfId="1697"/>
    <cellStyle name="ex84 4" xfId="1698"/>
    <cellStyle name="ex84 5" xfId="1699"/>
    <cellStyle name="ex84 5 2" xfId="8963"/>
    <cellStyle name="ex84 5 3" xfId="8964"/>
    <cellStyle name="ex84 5 4" xfId="8965"/>
    <cellStyle name="ex84 5 5" xfId="8966"/>
    <cellStyle name="ex84 6" xfId="8967"/>
    <cellStyle name="ex84 7" xfId="8968"/>
    <cellStyle name="ex84 8" xfId="8969"/>
    <cellStyle name="ex84 9" xfId="8970"/>
    <cellStyle name="ex85" xfId="1700"/>
    <cellStyle name="ex85 2" xfId="1701"/>
    <cellStyle name="ex85 2 2" xfId="1702"/>
    <cellStyle name="ex85 2 3" xfId="1703"/>
    <cellStyle name="ex85 3" xfId="1704"/>
    <cellStyle name="ex85 4" xfId="1705"/>
    <cellStyle name="ex86" xfId="1706"/>
    <cellStyle name="ex86 10" xfId="23924"/>
    <cellStyle name="ex86 2" xfId="1707"/>
    <cellStyle name="ex86 2 2" xfId="1708"/>
    <cellStyle name="ex86 2 3" xfId="1709"/>
    <cellStyle name="ex86 3" xfId="1710"/>
    <cellStyle name="ex86 4" xfId="1711"/>
    <cellStyle name="ex86 4 2" xfId="8971"/>
    <cellStyle name="ex86 4 3" xfId="8972"/>
    <cellStyle name="ex86 4 4" xfId="8973"/>
    <cellStyle name="ex86 4 5" xfId="8974"/>
    <cellStyle name="ex86 5" xfId="8975"/>
    <cellStyle name="ex86 6" xfId="8976"/>
    <cellStyle name="ex86 7" xfId="8977"/>
    <cellStyle name="ex86 8" xfId="8978"/>
    <cellStyle name="ex86 9" xfId="23865"/>
    <cellStyle name="ex87" xfId="1712"/>
    <cellStyle name="ex87 10" xfId="23925"/>
    <cellStyle name="ex87 2" xfId="1713"/>
    <cellStyle name="ex87 2 2" xfId="1714"/>
    <cellStyle name="ex87 2 3" xfId="1715"/>
    <cellStyle name="ex87 3" xfId="1716"/>
    <cellStyle name="ex87 4" xfId="1717"/>
    <cellStyle name="ex87 4 2" xfId="8979"/>
    <cellStyle name="ex87 4 3" xfId="8980"/>
    <cellStyle name="ex87 4 4" xfId="8981"/>
    <cellStyle name="ex87 4 5" xfId="8982"/>
    <cellStyle name="ex87 5" xfId="8983"/>
    <cellStyle name="ex87 6" xfId="8984"/>
    <cellStyle name="ex87 7" xfId="8985"/>
    <cellStyle name="ex87 8" xfId="8986"/>
    <cellStyle name="ex87 9" xfId="23866"/>
    <cellStyle name="ex88" xfId="1718"/>
    <cellStyle name="ex88 10" xfId="23926"/>
    <cellStyle name="ex88 2" xfId="1719"/>
    <cellStyle name="ex88 2 2" xfId="1720"/>
    <cellStyle name="ex88 2 3" xfId="1721"/>
    <cellStyle name="ex88 3" xfId="1722"/>
    <cellStyle name="ex88 4" xfId="1723"/>
    <cellStyle name="ex88 4 2" xfId="8987"/>
    <cellStyle name="ex88 4 3" xfId="8988"/>
    <cellStyle name="ex88 4 4" xfId="8989"/>
    <cellStyle name="ex88 4 5" xfId="8990"/>
    <cellStyle name="ex88 5" xfId="8991"/>
    <cellStyle name="ex88 6" xfId="8992"/>
    <cellStyle name="ex88 7" xfId="8993"/>
    <cellStyle name="ex88 8" xfId="8994"/>
    <cellStyle name="ex88 9" xfId="23867"/>
    <cellStyle name="ex89" xfId="1724"/>
    <cellStyle name="ex89 10" xfId="23927"/>
    <cellStyle name="ex89 2" xfId="1725"/>
    <cellStyle name="ex89 2 2" xfId="1726"/>
    <cellStyle name="ex89 2 3" xfId="1727"/>
    <cellStyle name="ex89 3" xfId="1728"/>
    <cellStyle name="ex89 4" xfId="1729"/>
    <cellStyle name="ex89 4 2" xfId="8995"/>
    <cellStyle name="ex89 4 3" xfId="8996"/>
    <cellStyle name="ex89 4 4" xfId="8997"/>
    <cellStyle name="ex89 4 5" xfId="8998"/>
    <cellStyle name="ex89 5" xfId="8999"/>
    <cellStyle name="ex89 6" xfId="9000"/>
    <cellStyle name="ex89 7" xfId="9001"/>
    <cellStyle name="ex89 8" xfId="9002"/>
    <cellStyle name="ex89 9" xfId="23868"/>
    <cellStyle name="Explanatory Text" xfId="1730"/>
    <cellStyle name="Explanatory Text 2" xfId="1731"/>
    <cellStyle name="Explanatory Text 2 2" xfId="1732"/>
    <cellStyle name="Explanatory Text 2 2 2" xfId="9003"/>
    <cellStyle name="Explanatory Text 2 2 3" xfId="9004"/>
    <cellStyle name="Explanatory Text 2 2 4" xfId="9005"/>
    <cellStyle name="Explanatory Text 2 2 5" xfId="9006"/>
    <cellStyle name="Explanatory Text 2 2 6" xfId="9007"/>
    <cellStyle name="Explanatory Text 2 3" xfId="1733"/>
    <cellStyle name="Explanatory Text 2 3 2" xfId="9008"/>
    <cellStyle name="Explanatory Text 2 3 3" xfId="9009"/>
    <cellStyle name="Explanatory Text 2 3 4" xfId="9010"/>
    <cellStyle name="Explanatory Text 2 3 5" xfId="9011"/>
    <cellStyle name="Explanatory Text 2 3 6" xfId="9012"/>
    <cellStyle name="Explanatory Text 2 4" xfId="9013"/>
    <cellStyle name="Explanatory Text 2 5" xfId="9014"/>
    <cellStyle name="Explanatory Text 2 6" xfId="9015"/>
    <cellStyle name="Explanatory Text 2 7" xfId="9016"/>
    <cellStyle name="Explanatory Text 2 8" xfId="9017"/>
    <cellStyle name="Explanatory Text 3" xfId="1734"/>
    <cellStyle name="Explanatory Text 3 2" xfId="9018"/>
    <cellStyle name="Explanatory Text 3 3" xfId="9019"/>
    <cellStyle name="Explanatory Text 3 4" xfId="9020"/>
    <cellStyle name="Explanatory Text 3 5" xfId="9021"/>
    <cellStyle name="Explanatory Text 3 6" xfId="9022"/>
    <cellStyle name="Explanatory Text 4" xfId="1735"/>
    <cellStyle name="Explanatory Text 4 2" xfId="9023"/>
    <cellStyle name="Explanatory Text 4 3" xfId="9024"/>
    <cellStyle name="Explanatory Text 4 4" xfId="9025"/>
    <cellStyle name="Explanatory Text 4 5" xfId="9026"/>
    <cellStyle name="Explanatory Text 5" xfId="9027"/>
    <cellStyle name="Explanatory Text 6" xfId="9028"/>
    <cellStyle name="Explanatory Text 7" xfId="9029"/>
    <cellStyle name="Explanatory Text 8" xfId="9030"/>
    <cellStyle name="Good" xfId="1736"/>
    <cellStyle name="Good 2" xfId="1737"/>
    <cellStyle name="Good 2 2" xfId="1738"/>
    <cellStyle name="Good 2 2 2" xfId="9031"/>
    <cellStyle name="Good 2 2 3" xfId="9032"/>
    <cellStyle name="Good 2 2 4" xfId="9033"/>
    <cellStyle name="Good 2 2 5" xfId="9034"/>
    <cellStyle name="Good 2 2 6" xfId="9035"/>
    <cellStyle name="Good 2 3" xfId="1739"/>
    <cellStyle name="Good 2 3 2" xfId="9036"/>
    <cellStyle name="Good 2 3 3" xfId="9037"/>
    <cellStyle name="Good 2 3 4" xfId="9038"/>
    <cellStyle name="Good 2 3 5" xfId="9039"/>
    <cellStyle name="Good 2 3 6" xfId="9040"/>
    <cellStyle name="Good 2 4" xfId="9041"/>
    <cellStyle name="Good 2 5" xfId="9042"/>
    <cellStyle name="Good 2 6" xfId="9043"/>
    <cellStyle name="Good 2 7" xfId="9044"/>
    <cellStyle name="Good 2 8" xfId="9045"/>
    <cellStyle name="Good 3" xfId="1740"/>
    <cellStyle name="Good 3 2" xfId="9046"/>
    <cellStyle name="Good 3 3" xfId="9047"/>
    <cellStyle name="Good 3 4" xfId="9048"/>
    <cellStyle name="Good 3 5" xfId="9049"/>
    <cellStyle name="Good 3 6" xfId="9050"/>
    <cellStyle name="Good 4" xfId="1741"/>
    <cellStyle name="Good 4 2" xfId="9051"/>
    <cellStyle name="Good 4 3" xfId="9052"/>
    <cellStyle name="Good 4 4" xfId="9053"/>
    <cellStyle name="Good 4 5" xfId="9054"/>
    <cellStyle name="Good 5" xfId="9055"/>
    <cellStyle name="Good 6" xfId="9056"/>
    <cellStyle name="Good 7" xfId="9057"/>
    <cellStyle name="Good 8" xfId="9058"/>
    <cellStyle name="Heading 1" xfId="1742"/>
    <cellStyle name="Heading 1 2" xfId="1743"/>
    <cellStyle name="Heading 1 2 2" xfId="1744"/>
    <cellStyle name="Heading 1 2 2 2" xfId="9059"/>
    <cellStyle name="Heading 1 2 2 3" xfId="9060"/>
    <cellStyle name="Heading 1 2 2 4" xfId="9061"/>
    <cellStyle name="Heading 1 2 2 5" xfId="9062"/>
    <cellStyle name="Heading 1 2 2 6" xfId="9063"/>
    <cellStyle name="Heading 1 2 3" xfId="1745"/>
    <cellStyle name="Heading 1 2 3 2" xfId="9064"/>
    <cellStyle name="Heading 1 2 3 3" xfId="9065"/>
    <cellStyle name="Heading 1 2 3 4" xfId="9066"/>
    <cellStyle name="Heading 1 2 3 5" xfId="9067"/>
    <cellStyle name="Heading 1 2 3 6" xfId="9068"/>
    <cellStyle name="Heading 1 2 4" xfId="9069"/>
    <cellStyle name="Heading 1 2 5" xfId="9070"/>
    <cellStyle name="Heading 1 2 6" xfId="9071"/>
    <cellStyle name="Heading 1 2 7" xfId="9072"/>
    <cellStyle name="Heading 1 2 8" xfId="9073"/>
    <cellStyle name="Heading 1 3" xfId="1746"/>
    <cellStyle name="Heading 1 3 2" xfId="9074"/>
    <cellStyle name="Heading 1 3 3" xfId="9075"/>
    <cellStyle name="Heading 1 3 4" xfId="9076"/>
    <cellStyle name="Heading 1 3 5" xfId="9077"/>
    <cellStyle name="Heading 1 3 6" xfId="9078"/>
    <cellStyle name="Heading 1 4" xfId="1747"/>
    <cellStyle name="Heading 1 4 2" xfId="9079"/>
    <cellStyle name="Heading 1 4 3" xfId="9080"/>
    <cellStyle name="Heading 1 4 4" xfId="9081"/>
    <cellStyle name="Heading 1 4 5" xfId="9082"/>
    <cellStyle name="Heading 1 5" xfId="9083"/>
    <cellStyle name="Heading 1 6" xfId="9084"/>
    <cellStyle name="Heading 1 7" xfId="9085"/>
    <cellStyle name="Heading 1 8" xfId="9086"/>
    <cellStyle name="Heading 2" xfId="1748"/>
    <cellStyle name="Heading 2 2" xfId="1749"/>
    <cellStyle name="Heading 2 2 2" xfId="1750"/>
    <cellStyle name="Heading 2 2 2 2" xfId="9087"/>
    <cellStyle name="Heading 2 2 2 3" xfId="9088"/>
    <cellStyle name="Heading 2 2 2 4" xfId="9089"/>
    <cellStyle name="Heading 2 2 2 5" xfId="9090"/>
    <cellStyle name="Heading 2 2 2 6" xfId="9091"/>
    <cellStyle name="Heading 2 2 3" xfId="1751"/>
    <cellStyle name="Heading 2 2 3 2" xfId="9092"/>
    <cellStyle name="Heading 2 2 3 3" xfId="9093"/>
    <cellStyle name="Heading 2 2 3 4" xfId="9094"/>
    <cellStyle name="Heading 2 2 3 5" xfId="9095"/>
    <cellStyle name="Heading 2 2 3 6" xfId="9096"/>
    <cellStyle name="Heading 2 2 4" xfId="9097"/>
    <cellStyle name="Heading 2 2 5" xfId="9098"/>
    <cellStyle name="Heading 2 2 6" xfId="9099"/>
    <cellStyle name="Heading 2 2 7" xfId="9100"/>
    <cellStyle name="Heading 2 2 8" xfId="9101"/>
    <cellStyle name="Heading 2 3" xfId="1752"/>
    <cellStyle name="Heading 2 3 2" xfId="9102"/>
    <cellStyle name="Heading 2 3 3" xfId="9103"/>
    <cellStyle name="Heading 2 3 4" xfId="9104"/>
    <cellStyle name="Heading 2 3 5" xfId="9105"/>
    <cellStyle name="Heading 2 3 6" xfId="9106"/>
    <cellStyle name="Heading 2 4" xfId="1753"/>
    <cellStyle name="Heading 2 4 2" xfId="9107"/>
    <cellStyle name="Heading 2 4 3" xfId="9108"/>
    <cellStyle name="Heading 2 4 4" xfId="9109"/>
    <cellStyle name="Heading 2 4 5" xfId="9110"/>
    <cellStyle name="Heading 2 5" xfId="9111"/>
    <cellStyle name="Heading 2 6" xfId="9112"/>
    <cellStyle name="Heading 2 7" xfId="9113"/>
    <cellStyle name="Heading 2 8" xfId="9114"/>
    <cellStyle name="Heading 3" xfId="1754"/>
    <cellStyle name="Heading 3 2" xfId="1755"/>
    <cellStyle name="Heading 3 2 2" xfId="1756"/>
    <cellStyle name="Heading 3 2 2 2" xfId="9115"/>
    <cellStyle name="Heading 3 2 2 3" xfId="9116"/>
    <cellStyle name="Heading 3 2 2 4" xfId="9117"/>
    <cellStyle name="Heading 3 2 2 5" xfId="9118"/>
    <cellStyle name="Heading 3 2 2 6" xfId="9119"/>
    <cellStyle name="Heading 3 2 3" xfId="1757"/>
    <cellStyle name="Heading 3 2 3 2" xfId="9120"/>
    <cellStyle name="Heading 3 2 3 3" xfId="9121"/>
    <cellStyle name="Heading 3 2 3 4" xfId="9122"/>
    <cellStyle name="Heading 3 2 3 5" xfId="9123"/>
    <cellStyle name="Heading 3 2 3 6" xfId="9124"/>
    <cellStyle name="Heading 3 2 4" xfId="9125"/>
    <cellStyle name="Heading 3 2 5" xfId="9126"/>
    <cellStyle name="Heading 3 2 6" xfId="9127"/>
    <cellStyle name="Heading 3 2 7" xfId="9128"/>
    <cellStyle name="Heading 3 2 8" xfId="9129"/>
    <cellStyle name="Heading 3 3" xfId="1758"/>
    <cellStyle name="Heading 3 3 2" xfId="9130"/>
    <cellStyle name="Heading 3 3 3" xfId="9131"/>
    <cellStyle name="Heading 3 3 4" xfId="9132"/>
    <cellStyle name="Heading 3 3 5" xfId="9133"/>
    <cellStyle name="Heading 3 3 6" xfId="9134"/>
    <cellStyle name="Heading 3 4" xfId="1759"/>
    <cellStyle name="Heading 3 4 2" xfId="9135"/>
    <cellStyle name="Heading 3 4 3" xfId="9136"/>
    <cellStyle name="Heading 3 4 4" xfId="9137"/>
    <cellStyle name="Heading 3 4 5" xfId="9138"/>
    <cellStyle name="Heading 3 5" xfId="9139"/>
    <cellStyle name="Heading 3 6" xfId="9140"/>
    <cellStyle name="Heading 3 7" xfId="9141"/>
    <cellStyle name="Heading 3 8" xfId="9142"/>
    <cellStyle name="Heading 4" xfId="1760"/>
    <cellStyle name="Heading 4 2" xfId="1761"/>
    <cellStyle name="Heading 4 2 2" xfId="1762"/>
    <cellStyle name="Heading 4 2 2 2" xfId="9143"/>
    <cellStyle name="Heading 4 2 2 3" xfId="9144"/>
    <cellStyle name="Heading 4 2 2 4" xfId="9145"/>
    <cellStyle name="Heading 4 2 2 5" xfId="9146"/>
    <cellStyle name="Heading 4 2 2 6" xfId="9147"/>
    <cellStyle name="Heading 4 2 3" xfId="1763"/>
    <cellStyle name="Heading 4 2 3 2" xfId="9148"/>
    <cellStyle name="Heading 4 2 3 3" xfId="9149"/>
    <cellStyle name="Heading 4 2 3 4" xfId="9150"/>
    <cellStyle name="Heading 4 2 3 5" xfId="9151"/>
    <cellStyle name="Heading 4 2 3 6" xfId="9152"/>
    <cellStyle name="Heading 4 2 4" xfId="9153"/>
    <cellStyle name="Heading 4 2 5" xfId="9154"/>
    <cellStyle name="Heading 4 2 6" xfId="9155"/>
    <cellStyle name="Heading 4 2 7" xfId="9156"/>
    <cellStyle name="Heading 4 2 8" xfId="9157"/>
    <cellStyle name="Heading 4 3" xfId="1764"/>
    <cellStyle name="Heading 4 3 2" xfId="9158"/>
    <cellStyle name="Heading 4 3 3" xfId="9159"/>
    <cellStyle name="Heading 4 3 4" xfId="9160"/>
    <cellStyle name="Heading 4 3 5" xfId="9161"/>
    <cellStyle name="Heading 4 3 6" xfId="9162"/>
    <cellStyle name="Heading 4 4" xfId="1765"/>
    <cellStyle name="Heading 4 4 2" xfId="9163"/>
    <cellStyle name="Heading 4 4 3" xfId="9164"/>
    <cellStyle name="Heading 4 4 4" xfId="9165"/>
    <cellStyle name="Heading 4 4 5" xfId="9166"/>
    <cellStyle name="Heading 4 5" xfId="9167"/>
    <cellStyle name="Heading 4 6" xfId="9168"/>
    <cellStyle name="Heading 4 7" xfId="9169"/>
    <cellStyle name="Heading 4 8" xfId="9170"/>
    <cellStyle name="Input" xfId="1766"/>
    <cellStyle name="Input 2" xfId="1767"/>
    <cellStyle name="Input 2 2" xfId="1768"/>
    <cellStyle name="Input 2 2 2" xfId="9171"/>
    <cellStyle name="Input 2 2 3" xfId="9172"/>
    <cellStyle name="Input 2 2 4" xfId="9173"/>
    <cellStyle name="Input 2 2 5" xfId="9174"/>
    <cellStyle name="Input 2 2 6" xfId="9175"/>
    <cellStyle name="Input 2 3" xfId="1769"/>
    <cellStyle name="Input 2 3 2" xfId="9176"/>
    <cellStyle name="Input 2 3 3" xfId="9177"/>
    <cellStyle name="Input 2 3 4" xfId="9178"/>
    <cellStyle name="Input 2 3 5" xfId="9179"/>
    <cellStyle name="Input 2 3 6" xfId="9180"/>
    <cellStyle name="Input 2 4" xfId="9181"/>
    <cellStyle name="Input 2 5" xfId="9182"/>
    <cellStyle name="Input 2 6" xfId="9183"/>
    <cellStyle name="Input 2 7" xfId="9184"/>
    <cellStyle name="Input 2 8" xfId="9185"/>
    <cellStyle name="Input 3" xfId="1770"/>
    <cellStyle name="Input 3 2" xfId="9186"/>
    <cellStyle name="Input 3 3" xfId="9187"/>
    <cellStyle name="Input 3 4" xfId="9188"/>
    <cellStyle name="Input 3 5" xfId="9189"/>
    <cellStyle name="Input 3 6" xfId="9190"/>
    <cellStyle name="Input 4" xfId="1771"/>
    <cellStyle name="Input 4 2" xfId="9191"/>
    <cellStyle name="Input 4 3" xfId="9192"/>
    <cellStyle name="Input 4 4" xfId="9193"/>
    <cellStyle name="Input 4 5" xfId="9194"/>
    <cellStyle name="Input 5" xfId="9195"/>
    <cellStyle name="Input 6" xfId="9196"/>
    <cellStyle name="Input 7" xfId="9197"/>
    <cellStyle name="Input 8" xfId="9198"/>
    <cellStyle name="Linked Cell" xfId="1772"/>
    <cellStyle name="Linked Cell 2" xfId="1773"/>
    <cellStyle name="Linked Cell 2 2" xfId="1774"/>
    <cellStyle name="Linked Cell 2 2 2" xfId="9199"/>
    <cellStyle name="Linked Cell 2 2 3" xfId="9200"/>
    <cellStyle name="Linked Cell 2 2 4" xfId="9201"/>
    <cellStyle name="Linked Cell 2 2 5" xfId="9202"/>
    <cellStyle name="Linked Cell 2 2 6" xfId="9203"/>
    <cellStyle name="Linked Cell 2 3" xfId="1775"/>
    <cellStyle name="Linked Cell 2 3 2" xfId="9204"/>
    <cellStyle name="Linked Cell 2 3 3" xfId="9205"/>
    <cellStyle name="Linked Cell 2 3 4" xfId="9206"/>
    <cellStyle name="Linked Cell 2 3 5" xfId="9207"/>
    <cellStyle name="Linked Cell 2 3 6" xfId="9208"/>
    <cellStyle name="Linked Cell 2 4" xfId="9209"/>
    <cellStyle name="Linked Cell 2 5" xfId="9210"/>
    <cellStyle name="Linked Cell 2 6" xfId="9211"/>
    <cellStyle name="Linked Cell 2 7" xfId="9212"/>
    <cellStyle name="Linked Cell 2 8" xfId="9213"/>
    <cellStyle name="Linked Cell 3" xfId="1776"/>
    <cellStyle name="Linked Cell 3 2" xfId="9214"/>
    <cellStyle name="Linked Cell 3 3" xfId="9215"/>
    <cellStyle name="Linked Cell 3 4" xfId="9216"/>
    <cellStyle name="Linked Cell 3 5" xfId="9217"/>
    <cellStyle name="Linked Cell 3 6" xfId="9218"/>
    <cellStyle name="Linked Cell 4" xfId="1777"/>
    <cellStyle name="Linked Cell 4 2" xfId="9219"/>
    <cellStyle name="Linked Cell 4 3" xfId="9220"/>
    <cellStyle name="Linked Cell 4 4" xfId="9221"/>
    <cellStyle name="Linked Cell 4 5" xfId="9222"/>
    <cellStyle name="Linked Cell 5" xfId="9223"/>
    <cellStyle name="Linked Cell 6" xfId="9224"/>
    <cellStyle name="Linked Cell 7" xfId="9225"/>
    <cellStyle name="Linked Cell 8" xfId="9226"/>
    <cellStyle name="Neutral" xfId="1778"/>
    <cellStyle name="Neutral 2" xfId="1779"/>
    <cellStyle name="Neutral 2 2" xfId="1780"/>
    <cellStyle name="Neutral 2 2 2" xfId="9227"/>
    <cellStyle name="Neutral 2 2 3" xfId="9228"/>
    <cellStyle name="Neutral 2 2 4" xfId="9229"/>
    <cellStyle name="Neutral 2 2 5" xfId="9230"/>
    <cellStyle name="Neutral 2 2 6" xfId="9231"/>
    <cellStyle name="Neutral 2 3" xfId="1781"/>
    <cellStyle name="Neutral 2 3 2" xfId="9232"/>
    <cellStyle name="Neutral 2 3 3" xfId="9233"/>
    <cellStyle name="Neutral 2 3 4" xfId="9234"/>
    <cellStyle name="Neutral 2 3 5" xfId="9235"/>
    <cellStyle name="Neutral 2 3 6" xfId="9236"/>
    <cellStyle name="Neutral 2 4" xfId="9237"/>
    <cellStyle name="Neutral 2 5" xfId="9238"/>
    <cellStyle name="Neutral 2 6" xfId="9239"/>
    <cellStyle name="Neutral 2 7" xfId="9240"/>
    <cellStyle name="Neutral 2 8" xfId="9241"/>
    <cellStyle name="Neutral 3" xfId="1782"/>
    <cellStyle name="Neutral 3 2" xfId="9242"/>
    <cellStyle name="Neutral 3 3" xfId="9243"/>
    <cellStyle name="Neutral 3 4" xfId="9244"/>
    <cellStyle name="Neutral 3 5" xfId="9245"/>
    <cellStyle name="Neutral 3 6" xfId="9246"/>
    <cellStyle name="Neutral 4" xfId="1783"/>
    <cellStyle name="Neutral 4 2" xfId="9247"/>
    <cellStyle name="Neutral 4 3" xfId="9248"/>
    <cellStyle name="Neutral 4 4" xfId="9249"/>
    <cellStyle name="Neutral 4 5" xfId="9250"/>
    <cellStyle name="Neutral 5" xfId="9251"/>
    <cellStyle name="Neutral 6" xfId="9252"/>
    <cellStyle name="Neutral 7" xfId="9253"/>
    <cellStyle name="Neutral 8" xfId="9254"/>
    <cellStyle name="Normal" xfId="1784"/>
    <cellStyle name="Normal 2" xfId="1785"/>
    <cellStyle name="Normal 2 2" xfId="1786"/>
    <cellStyle name="Normal 2 3" xfId="1787"/>
    <cellStyle name="Normal 3" xfId="1788"/>
    <cellStyle name="Normal 4" xfId="1789"/>
    <cellStyle name="Normal 4 2" xfId="9255"/>
    <cellStyle name="Normal 4 3" xfId="9256"/>
    <cellStyle name="Normal 4 4" xfId="9257"/>
    <cellStyle name="Normal 4 5" xfId="9258"/>
    <cellStyle name="Normal 5" xfId="9259"/>
    <cellStyle name="Normal 6" xfId="9260"/>
    <cellStyle name="Normal 7" xfId="9261"/>
    <cellStyle name="Normal 8" xfId="9262"/>
    <cellStyle name="Note" xfId="1790"/>
    <cellStyle name="Note 10" xfId="9263"/>
    <cellStyle name="Note 11" xfId="9264"/>
    <cellStyle name="Note 12" xfId="9265"/>
    <cellStyle name="Note 13" xfId="9266"/>
    <cellStyle name="Note 2" xfId="1791"/>
    <cellStyle name="Note 2 2" xfId="1792"/>
    <cellStyle name="Note 2 2 2" xfId="1793"/>
    <cellStyle name="Note 2 2 3" xfId="1794"/>
    <cellStyle name="Note 2 3" xfId="1795"/>
    <cellStyle name="Note 2 4" xfId="1796"/>
    <cellStyle name="Note 2 4 2" xfId="9267"/>
    <cellStyle name="Note 2 4 3" xfId="9268"/>
    <cellStyle name="Note 2 4 4" xfId="9269"/>
    <cellStyle name="Note 2 4 5" xfId="9270"/>
    <cellStyle name="Note 2 5" xfId="9271"/>
    <cellStyle name="Note 2 6" xfId="9272"/>
    <cellStyle name="Note 2 7" xfId="9273"/>
    <cellStyle name="Note 2 8" xfId="9274"/>
    <cellStyle name="Note 3" xfId="1797"/>
    <cellStyle name="Note 3 2" xfId="1798"/>
    <cellStyle name="Note 3 2 2" xfId="1799"/>
    <cellStyle name="Note 3 2 3" xfId="1800"/>
    <cellStyle name="Note 3 3" xfId="1801"/>
    <cellStyle name="Note 3 4" xfId="1802"/>
    <cellStyle name="Note 3 4 2" xfId="9275"/>
    <cellStyle name="Note 3 4 3" xfId="9276"/>
    <cellStyle name="Note 3 4 4" xfId="9277"/>
    <cellStyle name="Note 3 4 5" xfId="9278"/>
    <cellStyle name="Note 3 5" xfId="9279"/>
    <cellStyle name="Note 3 6" xfId="9280"/>
    <cellStyle name="Note 3 7" xfId="9281"/>
    <cellStyle name="Note 3 8" xfId="9282"/>
    <cellStyle name="Note 4" xfId="1803"/>
    <cellStyle name="Note 4 2" xfId="1804"/>
    <cellStyle name="Note 4 2 2" xfId="1805"/>
    <cellStyle name="Note 4 2 3" xfId="1806"/>
    <cellStyle name="Note 4 3" xfId="1807"/>
    <cellStyle name="Note 4 4" xfId="1808"/>
    <cellStyle name="Note 4 4 2" xfId="9283"/>
    <cellStyle name="Note 4 4 3" xfId="9284"/>
    <cellStyle name="Note 4 4 4" xfId="9285"/>
    <cellStyle name="Note 4 4 5" xfId="9286"/>
    <cellStyle name="Note 4 5" xfId="9287"/>
    <cellStyle name="Note 4 6" xfId="9288"/>
    <cellStyle name="Note 4 7" xfId="9289"/>
    <cellStyle name="Note 4 8" xfId="9290"/>
    <cellStyle name="Note 5" xfId="1809"/>
    <cellStyle name="Note 5 2" xfId="1810"/>
    <cellStyle name="Note 5 2 2" xfId="1811"/>
    <cellStyle name="Note 5 2 3" xfId="1812"/>
    <cellStyle name="Note 5 3" xfId="1813"/>
    <cellStyle name="Note 5 4" xfId="1814"/>
    <cellStyle name="Note 5 4 2" xfId="9291"/>
    <cellStyle name="Note 5 4 3" xfId="9292"/>
    <cellStyle name="Note 5 4 4" xfId="9293"/>
    <cellStyle name="Note 5 4 5" xfId="9294"/>
    <cellStyle name="Note 5 5" xfId="9295"/>
    <cellStyle name="Note 5 6" xfId="9296"/>
    <cellStyle name="Note 5 7" xfId="9297"/>
    <cellStyle name="Note 5 8" xfId="9298"/>
    <cellStyle name="Note 6" xfId="1815"/>
    <cellStyle name="Note 6 2" xfId="1816"/>
    <cellStyle name="Note 6 2 2" xfId="1817"/>
    <cellStyle name="Note 6 2 3" xfId="1818"/>
    <cellStyle name="Note 6 3" xfId="1819"/>
    <cellStyle name="Note 6 4" xfId="1820"/>
    <cellStyle name="Note 6 4 2" xfId="9299"/>
    <cellStyle name="Note 6 4 3" xfId="9300"/>
    <cellStyle name="Note 6 4 4" xfId="9301"/>
    <cellStyle name="Note 6 4 5" xfId="9302"/>
    <cellStyle name="Note 6 5" xfId="9303"/>
    <cellStyle name="Note 6 6" xfId="9304"/>
    <cellStyle name="Note 6 7" xfId="9305"/>
    <cellStyle name="Note 6 8" xfId="9306"/>
    <cellStyle name="Note 7" xfId="1821"/>
    <cellStyle name="Note 7 2" xfId="1822"/>
    <cellStyle name="Note 7 3" xfId="1823"/>
    <cellStyle name="Note 8" xfId="1824"/>
    <cellStyle name="Note 9" xfId="1825"/>
    <cellStyle name="Note 9 2" xfId="9307"/>
    <cellStyle name="Note 9 3" xfId="9308"/>
    <cellStyle name="Note 9 4" xfId="9309"/>
    <cellStyle name="Note 9 5" xfId="9310"/>
    <cellStyle name="Output" xfId="1826"/>
    <cellStyle name="Output 2" xfId="1827"/>
    <cellStyle name="Output 2 2" xfId="1828"/>
    <cellStyle name="Output 2 2 2" xfId="9311"/>
    <cellStyle name="Output 2 2 3" xfId="9312"/>
    <cellStyle name="Output 2 2 4" xfId="9313"/>
    <cellStyle name="Output 2 2 5" xfId="9314"/>
    <cellStyle name="Output 2 2 6" xfId="9315"/>
    <cellStyle name="Output 2 3" xfId="1829"/>
    <cellStyle name="Output 2 3 2" xfId="9316"/>
    <cellStyle name="Output 2 3 3" xfId="9317"/>
    <cellStyle name="Output 2 3 4" xfId="9318"/>
    <cellStyle name="Output 2 3 5" xfId="9319"/>
    <cellStyle name="Output 2 3 6" xfId="9320"/>
    <cellStyle name="Output 2 4" xfId="9321"/>
    <cellStyle name="Output 2 5" xfId="9322"/>
    <cellStyle name="Output 2 6" xfId="9323"/>
    <cellStyle name="Output 2 7" xfId="9324"/>
    <cellStyle name="Output 2 8" xfId="9325"/>
    <cellStyle name="Output 3" xfId="1830"/>
    <cellStyle name="Output 3 2" xfId="9326"/>
    <cellStyle name="Output 3 3" xfId="9327"/>
    <cellStyle name="Output 3 4" xfId="9328"/>
    <cellStyle name="Output 3 5" xfId="9329"/>
    <cellStyle name="Output 3 6" xfId="9330"/>
    <cellStyle name="Output 4" xfId="1831"/>
    <cellStyle name="Output 4 2" xfId="9331"/>
    <cellStyle name="Output 4 3" xfId="9332"/>
    <cellStyle name="Output 4 4" xfId="9333"/>
    <cellStyle name="Output 4 5" xfId="9334"/>
    <cellStyle name="Output 5" xfId="9335"/>
    <cellStyle name="Output 6" xfId="9336"/>
    <cellStyle name="Output 7" xfId="9337"/>
    <cellStyle name="Output 8" xfId="9338"/>
    <cellStyle name="st57" xfId="1832"/>
    <cellStyle name="st57 10" xfId="23909"/>
    <cellStyle name="st57 2" xfId="1833"/>
    <cellStyle name="st57 2 2" xfId="1834"/>
    <cellStyle name="st57 2 3" xfId="1835"/>
    <cellStyle name="st57 3" xfId="1836"/>
    <cellStyle name="st57 4" xfId="1837"/>
    <cellStyle name="st57 4 2" xfId="9339"/>
    <cellStyle name="st57 4 3" xfId="9340"/>
    <cellStyle name="st57 4 4" xfId="9341"/>
    <cellStyle name="st57 4 5" xfId="9342"/>
    <cellStyle name="st57 5" xfId="9343"/>
    <cellStyle name="st57 6" xfId="9344"/>
    <cellStyle name="st57 7" xfId="9345"/>
    <cellStyle name="st57 8" xfId="9346"/>
    <cellStyle name="st57 9" xfId="23869"/>
    <cellStyle name="st58" xfId="11"/>
    <cellStyle name="st58 2" xfId="1838"/>
    <cellStyle name="st58 2 2" xfId="1839"/>
    <cellStyle name="st58 2 3" xfId="1840"/>
    <cellStyle name="st58 3" xfId="1841"/>
    <cellStyle name="st58 4" xfId="1842"/>
    <cellStyle name="st58 4 2" xfId="9347"/>
    <cellStyle name="st58 4 3" xfId="9348"/>
    <cellStyle name="st58 4 4" xfId="9349"/>
    <cellStyle name="st58 4 5" xfId="9350"/>
    <cellStyle name="st58 5" xfId="9351"/>
    <cellStyle name="st58 6" xfId="9352"/>
    <cellStyle name="st58 7" xfId="9353"/>
    <cellStyle name="st58 8" xfId="9354"/>
    <cellStyle name="st58 9" xfId="23877"/>
    <cellStyle name="st80" xfId="1843"/>
    <cellStyle name="st80 2" xfId="1844"/>
    <cellStyle name="st80 2 2" xfId="1845"/>
    <cellStyle name="st80 2 3" xfId="1846"/>
    <cellStyle name="st80 3" xfId="1847"/>
    <cellStyle name="st80 4" xfId="1848"/>
    <cellStyle name="st80 4 2" xfId="9355"/>
    <cellStyle name="st80 4 3" xfId="9356"/>
    <cellStyle name="st80 4 4" xfId="9357"/>
    <cellStyle name="st80 4 5" xfId="9358"/>
    <cellStyle name="st80 5" xfId="9359"/>
    <cellStyle name="st80 6" xfId="9360"/>
    <cellStyle name="st80 7" xfId="9361"/>
    <cellStyle name="st80 8" xfId="9362"/>
    <cellStyle name="st81" xfId="1849"/>
    <cellStyle name="st81 2" xfId="1850"/>
    <cellStyle name="st81 2 2" xfId="1851"/>
    <cellStyle name="st81 2 3" xfId="1852"/>
    <cellStyle name="st81 3" xfId="1853"/>
    <cellStyle name="st81 4" xfId="1854"/>
    <cellStyle name="st81 4 2" xfId="9363"/>
    <cellStyle name="st81 4 3" xfId="9364"/>
    <cellStyle name="st81 4 4" xfId="9365"/>
    <cellStyle name="st81 4 5" xfId="9366"/>
    <cellStyle name="st81 5" xfId="9367"/>
    <cellStyle name="st81 6" xfId="9368"/>
    <cellStyle name="st81 7" xfId="9369"/>
    <cellStyle name="st81 8" xfId="9370"/>
    <cellStyle name="st82" xfId="1855"/>
    <cellStyle name="st82 2" xfId="1856"/>
    <cellStyle name="st82 2 2" xfId="1857"/>
    <cellStyle name="st82 2 3" xfId="1858"/>
    <cellStyle name="st82 3" xfId="1859"/>
    <cellStyle name="st82 4" xfId="1860"/>
    <cellStyle name="st82 4 2" xfId="9371"/>
    <cellStyle name="st82 4 3" xfId="9372"/>
    <cellStyle name="st82 4 4" xfId="9373"/>
    <cellStyle name="st82 4 5" xfId="9374"/>
    <cellStyle name="st82 5" xfId="9375"/>
    <cellStyle name="st82 6" xfId="9376"/>
    <cellStyle name="st82 7" xfId="9377"/>
    <cellStyle name="st82 8" xfId="9378"/>
    <cellStyle name="st83" xfId="1861"/>
    <cellStyle name="st83 10" xfId="9379"/>
    <cellStyle name="st83 2" xfId="1862"/>
    <cellStyle name="st83 2 2" xfId="1863"/>
    <cellStyle name="st83 2 2 2" xfId="1864"/>
    <cellStyle name="st83 2 2 3" xfId="1865"/>
    <cellStyle name="st83 2 3" xfId="1866"/>
    <cellStyle name="st83 2 4" xfId="1867"/>
    <cellStyle name="st83 2 4 2" xfId="9380"/>
    <cellStyle name="st83 2 4 3" xfId="9381"/>
    <cellStyle name="st83 2 4 4" xfId="9382"/>
    <cellStyle name="st83 2 4 5" xfId="9383"/>
    <cellStyle name="st83 2 5" xfId="9384"/>
    <cellStyle name="st83 2 6" xfId="9385"/>
    <cellStyle name="st83 2 7" xfId="9386"/>
    <cellStyle name="st83 2 8" xfId="9387"/>
    <cellStyle name="st83 3" xfId="1868"/>
    <cellStyle name="st83 3 2" xfId="1869"/>
    <cellStyle name="st83 3 2 2" xfId="1870"/>
    <cellStyle name="st83 3 2 3" xfId="1871"/>
    <cellStyle name="st83 3 3" xfId="1872"/>
    <cellStyle name="st83 3 4" xfId="1873"/>
    <cellStyle name="st83 3 4 2" xfId="9388"/>
    <cellStyle name="st83 3 4 3" xfId="9389"/>
    <cellStyle name="st83 3 4 4" xfId="9390"/>
    <cellStyle name="st83 3 4 5" xfId="9391"/>
    <cellStyle name="st83 3 5" xfId="9392"/>
    <cellStyle name="st83 3 6" xfId="9393"/>
    <cellStyle name="st83 3 7" xfId="9394"/>
    <cellStyle name="st83 3 8" xfId="9395"/>
    <cellStyle name="st83 4" xfId="1874"/>
    <cellStyle name="st83 4 2" xfId="1875"/>
    <cellStyle name="st83 4 3" xfId="1876"/>
    <cellStyle name="st83 5" xfId="1877"/>
    <cellStyle name="st83 6" xfId="1878"/>
    <cellStyle name="st83 6 2" xfId="9396"/>
    <cellStyle name="st83 6 3" xfId="9397"/>
    <cellStyle name="st83 6 4" xfId="9398"/>
    <cellStyle name="st83 6 5" xfId="9399"/>
    <cellStyle name="st83 7" xfId="9400"/>
    <cellStyle name="st83 8" xfId="9401"/>
    <cellStyle name="st83 9" xfId="9402"/>
    <cellStyle name="st84" xfId="1879"/>
    <cellStyle name="st84 2" xfId="1880"/>
    <cellStyle name="st84 2 2" xfId="1881"/>
    <cellStyle name="st84 2 2 2" xfId="1882"/>
    <cellStyle name="st84 2 2 3" xfId="1883"/>
    <cellStyle name="st84 2 3" xfId="1884"/>
    <cellStyle name="st84 2 4" xfId="1885"/>
    <cellStyle name="st84 2 4 2" xfId="9403"/>
    <cellStyle name="st84 2 4 3" xfId="9404"/>
    <cellStyle name="st84 2 4 4" xfId="9405"/>
    <cellStyle name="st84 2 4 5" xfId="9406"/>
    <cellStyle name="st84 2 5" xfId="9407"/>
    <cellStyle name="st84 2 6" xfId="9408"/>
    <cellStyle name="st84 2 7" xfId="9409"/>
    <cellStyle name="st84 2 8" xfId="9410"/>
    <cellStyle name="st84 3" xfId="1886"/>
    <cellStyle name="st84 3 2" xfId="1887"/>
    <cellStyle name="st84 3 3" xfId="1888"/>
    <cellStyle name="st84 4" xfId="1889"/>
    <cellStyle name="st84 5" xfId="1890"/>
    <cellStyle name="st84 5 2" xfId="9411"/>
    <cellStyle name="st84 5 3" xfId="9412"/>
    <cellStyle name="st84 5 4" xfId="9413"/>
    <cellStyle name="st84 5 5" xfId="9414"/>
    <cellStyle name="st84 6" xfId="9415"/>
    <cellStyle name="st84 7" xfId="9416"/>
    <cellStyle name="st84 8" xfId="9417"/>
    <cellStyle name="st84 9" xfId="9418"/>
    <cellStyle name="st85" xfId="32"/>
    <cellStyle name="st85 10" xfId="9419"/>
    <cellStyle name="st85 11" xfId="23896"/>
    <cellStyle name="st85 2" xfId="1891"/>
    <cellStyle name="st85 2 2" xfId="1892"/>
    <cellStyle name="st85 2 2 2" xfId="1893"/>
    <cellStyle name="st85 2 2 3" xfId="1894"/>
    <cellStyle name="st85 2 3" xfId="1895"/>
    <cellStyle name="st85 2 4" xfId="1896"/>
    <cellStyle name="st85 2 4 2" xfId="9420"/>
    <cellStyle name="st85 2 4 3" xfId="9421"/>
    <cellStyle name="st85 2 4 4" xfId="9422"/>
    <cellStyle name="st85 2 4 5" xfId="9423"/>
    <cellStyle name="st85 2 5" xfId="9424"/>
    <cellStyle name="st85 2 6" xfId="9425"/>
    <cellStyle name="st85 2 7" xfId="9426"/>
    <cellStyle name="st85 2 8" xfId="9427"/>
    <cellStyle name="st85 3" xfId="1897"/>
    <cellStyle name="st85 3 2" xfId="1898"/>
    <cellStyle name="st85 3 2 2" xfId="1899"/>
    <cellStyle name="st85 3 2 3" xfId="1900"/>
    <cellStyle name="st85 3 3" xfId="1901"/>
    <cellStyle name="st85 3 4" xfId="1902"/>
    <cellStyle name="st85 3 4 2" xfId="9428"/>
    <cellStyle name="st85 3 4 3" xfId="9429"/>
    <cellStyle name="st85 3 4 4" xfId="9430"/>
    <cellStyle name="st85 3 4 5" xfId="9431"/>
    <cellStyle name="st85 3 5" xfId="9432"/>
    <cellStyle name="st85 3 6" xfId="9433"/>
    <cellStyle name="st85 3 7" xfId="9434"/>
    <cellStyle name="st85 3 8" xfId="9435"/>
    <cellStyle name="st85 4" xfId="1903"/>
    <cellStyle name="st85 4 2" xfId="1904"/>
    <cellStyle name="st85 4 3" xfId="1905"/>
    <cellStyle name="st85 5" xfId="1906"/>
    <cellStyle name="st85 6" xfId="1907"/>
    <cellStyle name="st85 6 2" xfId="9436"/>
    <cellStyle name="st85 6 3" xfId="9437"/>
    <cellStyle name="st85 6 4" xfId="9438"/>
    <cellStyle name="st85 6 5" xfId="9439"/>
    <cellStyle name="st85 7" xfId="9440"/>
    <cellStyle name="st85 8" xfId="9441"/>
    <cellStyle name="st85 9" xfId="9442"/>
    <cellStyle name="st86" xfId="27"/>
    <cellStyle name="st86 10" xfId="9443"/>
    <cellStyle name="st86 11" xfId="23892"/>
    <cellStyle name="st86 2" xfId="1908"/>
    <cellStyle name="st86 2 2" xfId="1909"/>
    <cellStyle name="st86 2 2 2" xfId="1910"/>
    <cellStyle name="st86 2 2 3" xfId="1911"/>
    <cellStyle name="st86 2 3" xfId="1912"/>
    <cellStyle name="st86 2 4" xfId="1913"/>
    <cellStyle name="st86 2 4 2" xfId="9444"/>
    <cellStyle name="st86 2 4 3" xfId="9445"/>
    <cellStyle name="st86 2 4 4" xfId="9446"/>
    <cellStyle name="st86 2 4 5" xfId="9447"/>
    <cellStyle name="st86 2 5" xfId="9448"/>
    <cellStyle name="st86 2 6" xfId="9449"/>
    <cellStyle name="st86 2 7" xfId="9450"/>
    <cellStyle name="st86 2 8" xfId="9451"/>
    <cellStyle name="st86 3" xfId="1914"/>
    <cellStyle name="st86 3 2" xfId="1915"/>
    <cellStyle name="st86 3 2 2" xfId="1916"/>
    <cellStyle name="st86 3 2 3" xfId="1917"/>
    <cellStyle name="st86 3 3" xfId="1918"/>
    <cellStyle name="st86 3 4" xfId="1919"/>
    <cellStyle name="st86 3 4 2" xfId="9452"/>
    <cellStyle name="st86 3 4 3" xfId="9453"/>
    <cellStyle name="st86 3 4 4" xfId="9454"/>
    <cellStyle name="st86 3 4 5" xfId="9455"/>
    <cellStyle name="st86 3 5" xfId="9456"/>
    <cellStyle name="st86 3 6" xfId="9457"/>
    <cellStyle name="st86 3 7" xfId="9458"/>
    <cellStyle name="st86 3 8" xfId="9459"/>
    <cellStyle name="st86 4" xfId="1920"/>
    <cellStyle name="st86 4 2" xfId="1921"/>
    <cellStyle name="st86 4 3" xfId="1922"/>
    <cellStyle name="st86 5" xfId="1923"/>
    <cellStyle name="st86 6" xfId="1924"/>
    <cellStyle name="st86 6 2" xfId="9460"/>
    <cellStyle name="st86 6 3" xfId="9461"/>
    <cellStyle name="st86 6 4" xfId="9462"/>
    <cellStyle name="st86 6 5" xfId="9463"/>
    <cellStyle name="st86 7" xfId="9464"/>
    <cellStyle name="st86 8" xfId="9465"/>
    <cellStyle name="st86 9" xfId="9466"/>
    <cellStyle name="st87" xfId="22"/>
    <cellStyle name="st87 10" xfId="23887"/>
    <cellStyle name="st87 2" xfId="1925"/>
    <cellStyle name="st87 2 2" xfId="1926"/>
    <cellStyle name="st87 2 2 2" xfId="1927"/>
    <cellStyle name="st87 2 2 3" xfId="1928"/>
    <cellStyle name="st87 2 3" xfId="1929"/>
    <cellStyle name="st87 2 4" xfId="1930"/>
    <cellStyle name="st87 2 4 2" xfId="9467"/>
    <cellStyle name="st87 2 4 3" xfId="9468"/>
    <cellStyle name="st87 2 4 4" xfId="9469"/>
    <cellStyle name="st87 2 4 5" xfId="9470"/>
    <cellStyle name="st87 2 5" xfId="9471"/>
    <cellStyle name="st87 2 6" xfId="9472"/>
    <cellStyle name="st87 2 7" xfId="9473"/>
    <cellStyle name="st87 2 8" xfId="9474"/>
    <cellStyle name="st87 3" xfId="1931"/>
    <cellStyle name="st87 3 2" xfId="1932"/>
    <cellStyle name="st87 3 3" xfId="1933"/>
    <cellStyle name="st87 4" xfId="1934"/>
    <cellStyle name="st87 5" xfId="1935"/>
    <cellStyle name="st87 5 2" xfId="9475"/>
    <cellStyle name="st87 5 3" xfId="9476"/>
    <cellStyle name="st87 5 4" xfId="9477"/>
    <cellStyle name="st87 5 5" xfId="9478"/>
    <cellStyle name="st87 6" xfId="9479"/>
    <cellStyle name="st87 7" xfId="9480"/>
    <cellStyle name="st87 8" xfId="9481"/>
    <cellStyle name="st87 9" xfId="9482"/>
    <cellStyle name="st88" xfId="17"/>
    <cellStyle name="st88 10" xfId="23882"/>
    <cellStyle name="st88 2" xfId="1936"/>
    <cellStyle name="st88 2 2" xfId="1937"/>
    <cellStyle name="st88 2 2 2" xfId="1938"/>
    <cellStyle name="st88 2 2 3" xfId="1939"/>
    <cellStyle name="st88 2 3" xfId="1940"/>
    <cellStyle name="st88 2 4" xfId="1941"/>
    <cellStyle name="st88 2 4 2" xfId="9483"/>
    <cellStyle name="st88 2 4 3" xfId="9484"/>
    <cellStyle name="st88 2 4 4" xfId="9485"/>
    <cellStyle name="st88 2 4 5" xfId="9486"/>
    <cellStyle name="st88 2 5" xfId="9487"/>
    <cellStyle name="st88 2 6" xfId="9488"/>
    <cellStyle name="st88 2 7" xfId="9489"/>
    <cellStyle name="st88 2 8" xfId="9490"/>
    <cellStyle name="st88 3" xfId="1942"/>
    <cellStyle name="st88 3 2" xfId="1943"/>
    <cellStyle name="st88 3 3" xfId="1944"/>
    <cellStyle name="st88 4" xfId="1945"/>
    <cellStyle name="st88 5" xfId="1946"/>
    <cellStyle name="st88 5 2" xfId="9491"/>
    <cellStyle name="st88 5 3" xfId="9492"/>
    <cellStyle name="st88 5 4" xfId="9493"/>
    <cellStyle name="st88 5 5" xfId="9494"/>
    <cellStyle name="st88 6" xfId="9495"/>
    <cellStyle name="st88 7" xfId="9496"/>
    <cellStyle name="st88 8" xfId="9497"/>
    <cellStyle name="st88 9" xfId="9498"/>
    <cellStyle name="st89" xfId="1947"/>
    <cellStyle name="st89 2" xfId="1948"/>
    <cellStyle name="st89 2 2" xfId="1949"/>
    <cellStyle name="st89 2 3" xfId="1950"/>
    <cellStyle name="st89 3" xfId="1951"/>
    <cellStyle name="st89 4" xfId="1952"/>
    <cellStyle name="st89 4 2" xfId="9499"/>
    <cellStyle name="st89 4 3" xfId="9500"/>
    <cellStyle name="st89 4 4" xfId="9501"/>
    <cellStyle name="st89 4 5" xfId="9502"/>
    <cellStyle name="st89 5" xfId="9503"/>
    <cellStyle name="st89 6" xfId="9504"/>
    <cellStyle name="st89 7" xfId="9505"/>
    <cellStyle name="st89 8" xfId="9506"/>
    <cellStyle name="st90" xfId="1953"/>
    <cellStyle name="st90 2" xfId="1954"/>
    <cellStyle name="st90 2 2" xfId="1955"/>
    <cellStyle name="st90 2 3" xfId="1956"/>
    <cellStyle name="st90 3" xfId="1957"/>
    <cellStyle name="st90 4" xfId="1958"/>
    <cellStyle name="st90 4 2" xfId="9507"/>
    <cellStyle name="st90 4 3" xfId="9508"/>
    <cellStyle name="st90 4 4" xfId="9509"/>
    <cellStyle name="st90 4 5" xfId="9510"/>
    <cellStyle name="st90 5" xfId="9511"/>
    <cellStyle name="st90 6" xfId="9512"/>
    <cellStyle name="st90 7" xfId="9513"/>
    <cellStyle name="st90 8" xfId="9514"/>
    <cellStyle name="st91" xfId="1959"/>
    <cellStyle name="st91 2" xfId="1960"/>
    <cellStyle name="st91 2 2" xfId="1961"/>
    <cellStyle name="st91 2 3" xfId="1962"/>
    <cellStyle name="st91 3" xfId="1963"/>
    <cellStyle name="st91 4" xfId="1964"/>
    <cellStyle name="st91 4 2" xfId="9515"/>
    <cellStyle name="st91 4 3" xfId="9516"/>
    <cellStyle name="st91 4 4" xfId="9517"/>
    <cellStyle name="st91 4 5" xfId="9518"/>
    <cellStyle name="st91 5" xfId="9519"/>
    <cellStyle name="st91 6" xfId="9520"/>
    <cellStyle name="st91 7" xfId="9521"/>
    <cellStyle name="st91 8" xfId="9522"/>
    <cellStyle name="st92" xfId="1965"/>
    <cellStyle name="st92 2" xfId="1966"/>
    <cellStyle name="st92 2 2" xfId="1967"/>
    <cellStyle name="st92 2 3" xfId="1968"/>
    <cellStyle name="st92 3" xfId="1969"/>
    <cellStyle name="st92 4" xfId="1970"/>
    <cellStyle name="st92 4 2" xfId="9523"/>
    <cellStyle name="st92 4 3" xfId="9524"/>
    <cellStyle name="st92 4 4" xfId="9525"/>
    <cellStyle name="st92 4 5" xfId="9526"/>
    <cellStyle name="st92 5" xfId="9527"/>
    <cellStyle name="st92 6" xfId="9528"/>
    <cellStyle name="st92 7" xfId="9529"/>
    <cellStyle name="st92 8" xfId="9530"/>
    <cellStyle name="style0" xfId="1971"/>
    <cellStyle name="style0 2" xfId="1972"/>
    <cellStyle name="style0 2 2" xfId="1973"/>
    <cellStyle name="style0 2 2 2" xfId="1974"/>
    <cellStyle name="style0 2 2 3" xfId="1975"/>
    <cellStyle name="style0 2 3" xfId="1976"/>
    <cellStyle name="style0 2 4" xfId="1977"/>
    <cellStyle name="style0 2 4 2" xfId="9531"/>
    <cellStyle name="style0 2 4 3" xfId="9532"/>
    <cellStyle name="style0 2 4 4" xfId="9533"/>
    <cellStyle name="style0 2 4 5" xfId="9534"/>
    <cellStyle name="style0 2 5" xfId="9535"/>
    <cellStyle name="style0 2 6" xfId="9536"/>
    <cellStyle name="style0 2 7" xfId="9537"/>
    <cellStyle name="style0 2 8" xfId="9538"/>
    <cellStyle name="style0 3" xfId="1978"/>
    <cellStyle name="style0 3 2" xfId="1979"/>
    <cellStyle name="style0 3 3" xfId="1980"/>
    <cellStyle name="style0 4" xfId="1981"/>
    <cellStyle name="style0 5" xfId="1982"/>
    <cellStyle name="style0 5 2" xfId="9539"/>
    <cellStyle name="style0 5 3" xfId="9540"/>
    <cellStyle name="style0 5 4" xfId="9541"/>
    <cellStyle name="style0 5 5" xfId="9542"/>
    <cellStyle name="style0 6" xfId="9543"/>
    <cellStyle name="style0 7" xfId="9544"/>
    <cellStyle name="style0 8" xfId="9545"/>
    <cellStyle name="style0 9" xfId="9546"/>
    <cellStyle name="td" xfId="1983"/>
    <cellStyle name="td 2" xfId="1984"/>
    <cellStyle name="td 2 2" xfId="1985"/>
    <cellStyle name="td 2 2 2" xfId="1986"/>
    <cellStyle name="td 2 2 3" xfId="1987"/>
    <cellStyle name="td 2 3" xfId="1988"/>
    <cellStyle name="td 2 4" xfId="1989"/>
    <cellStyle name="td 2 4 2" xfId="9547"/>
    <cellStyle name="td 2 4 3" xfId="9548"/>
    <cellStyle name="td 2 4 4" xfId="9549"/>
    <cellStyle name="td 2 4 5" xfId="9550"/>
    <cellStyle name="td 2 5" xfId="9551"/>
    <cellStyle name="td 2 6" xfId="9552"/>
    <cellStyle name="td 2 7" xfId="9553"/>
    <cellStyle name="td 2 8" xfId="9554"/>
    <cellStyle name="td 3" xfId="1990"/>
    <cellStyle name="td 3 2" xfId="1991"/>
    <cellStyle name="td 3 3" xfId="1992"/>
    <cellStyle name="td 4" xfId="1993"/>
    <cellStyle name="td 5" xfId="1994"/>
    <cellStyle name="td 5 2" xfId="9555"/>
    <cellStyle name="td 5 3" xfId="9556"/>
    <cellStyle name="td 5 4" xfId="9557"/>
    <cellStyle name="td 5 5" xfId="9558"/>
    <cellStyle name="td 6" xfId="9559"/>
    <cellStyle name="td 7" xfId="9560"/>
    <cellStyle name="td 8" xfId="9561"/>
    <cellStyle name="td 9" xfId="9562"/>
    <cellStyle name="Title" xfId="1995"/>
    <cellStyle name="Title 10" xfId="9563"/>
    <cellStyle name="Title 11" xfId="9564"/>
    <cellStyle name="Title 12" xfId="9565"/>
    <cellStyle name="Title 2" xfId="1996"/>
    <cellStyle name="Title 2 2" xfId="1997"/>
    <cellStyle name="Title 2 2 2" xfId="1998"/>
    <cellStyle name="Title 2 2 2 2" xfId="9566"/>
    <cellStyle name="Title 2 2 2 3" xfId="9567"/>
    <cellStyle name="Title 2 2 2 4" xfId="9568"/>
    <cellStyle name="Title 2 2 2 5" xfId="9569"/>
    <cellStyle name="Title 2 2 2 6" xfId="9570"/>
    <cellStyle name="Title 2 2 3" xfId="1999"/>
    <cellStyle name="Title 2 2 3 2" xfId="9571"/>
    <cellStyle name="Title 2 2 3 3" xfId="9572"/>
    <cellStyle name="Title 2 2 3 4" xfId="9573"/>
    <cellStyle name="Title 2 2 3 5" xfId="9574"/>
    <cellStyle name="Title 2 2 3 6" xfId="9575"/>
    <cellStyle name="Title 2 2 4" xfId="9576"/>
    <cellStyle name="Title 2 2 5" xfId="9577"/>
    <cellStyle name="Title 2 2 6" xfId="9578"/>
    <cellStyle name="Title 2 2 7" xfId="9579"/>
    <cellStyle name="Title 2 2 8" xfId="9580"/>
    <cellStyle name="Title 2 3" xfId="2000"/>
    <cellStyle name="Title 2 3 2" xfId="9581"/>
    <cellStyle name="Title 2 3 3" xfId="9582"/>
    <cellStyle name="Title 2 3 4" xfId="9583"/>
    <cellStyle name="Title 2 3 5" xfId="9584"/>
    <cellStyle name="Title 2 3 6" xfId="9585"/>
    <cellStyle name="Title 2 4" xfId="2001"/>
    <cellStyle name="Title 2 4 2" xfId="9586"/>
    <cellStyle name="Title 2 4 3" xfId="9587"/>
    <cellStyle name="Title 2 4 4" xfId="9588"/>
    <cellStyle name="Title 2 4 5" xfId="9589"/>
    <cellStyle name="Title 2 5" xfId="9590"/>
    <cellStyle name="Title 2 6" xfId="9591"/>
    <cellStyle name="Title 2 7" xfId="9592"/>
    <cellStyle name="Title 2 8" xfId="9593"/>
    <cellStyle name="Title 3" xfId="2002"/>
    <cellStyle name="Title 3 2" xfId="2003"/>
    <cellStyle name="Title 3 2 2" xfId="2004"/>
    <cellStyle name="Title 3 2 2 2" xfId="9594"/>
    <cellStyle name="Title 3 2 2 3" xfId="9595"/>
    <cellStyle name="Title 3 2 2 4" xfId="9596"/>
    <cellStyle name="Title 3 2 2 5" xfId="9597"/>
    <cellStyle name="Title 3 2 2 6" xfId="9598"/>
    <cellStyle name="Title 3 2 3" xfId="2005"/>
    <cellStyle name="Title 3 2 3 2" xfId="9599"/>
    <cellStyle name="Title 3 2 3 3" xfId="9600"/>
    <cellStyle name="Title 3 2 3 4" xfId="9601"/>
    <cellStyle name="Title 3 2 3 5" xfId="9602"/>
    <cellStyle name="Title 3 2 3 6" xfId="9603"/>
    <cellStyle name="Title 3 2 4" xfId="9604"/>
    <cellStyle name="Title 3 2 5" xfId="9605"/>
    <cellStyle name="Title 3 2 6" xfId="9606"/>
    <cellStyle name="Title 3 2 7" xfId="9607"/>
    <cellStyle name="Title 3 2 8" xfId="9608"/>
    <cellStyle name="Title 3 3" xfId="2006"/>
    <cellStyle name="Title 3 3 2" xfId="9609"/>
    <cellStyle name="Title 3 3 3" xfId="9610"/>
    <cellStyle name="Title 3 3 4" xfId="9611"/>
    <cellStyle name="Title 3 3 5" xfId="9612"/>
    <cellStyle name="Title 3 3 6" xfId="9613"/>
    <cellStyle name="Title 3 4" xfId="2007"/>
    <cellStyle name="Title 3 4 2" xfId="9614"/>
    <cellStyle name="Title 3 4 3" xfId="9615"/>
    <cellStyle name="Title 3 4 4" xfId="9616"/>
    <cellStyle name="Title 3 4 5" xfId="9617"/>
    <cellStyle name="Title 3 5" xfId="9618"/>
    <cellStyle name="Title 3 6" xfId="9619"/>
    <cellStyle name="Title 3 7" xfId="9620"/>
    <cellStyle name="Title 3 8" xfId="9621"/>
    <cellStyle name="Title 4" xfId="2008"/>
    <cellStyle name="Title 4 2" xfId="2009"/>
    <cellStyle name="Title 4 2 2" xfId="2010"/>
    <cellStyle name="Title 4 2 2 2" xfId="9622"/>
    <cellStyle name="Title 4 2 2 3" xfId="9623"/>
    <cellStyle name="Title 4 2 2 4" xfId="9624"/>
    <cellStyle name="Title 4 2 2 5" xfId="9625"/>
    <cellStyle name="Title 4 2 2 6" xfId="9626"/>
    <cellStyle name="Title 4 2 3" xfId="2011"/>
    <cellStyle name="Title 4 2 3 2" xfId="9627"/>
    <cellStyle name="Title 4 2 3 3" xfId="9628"/>
    <cellStyle name="Title 4 2 3 4" xfId="9629"/>
    <cellStyle name="Title 4 2 3 5" xfId="9630"/>
    <cellStyle name="Title 4 2 3 6" xfId="9631"/>
    <cellStyle name="Title 4 2 4" xfId="9632"/>
    <cellStyle name="Title 4 2 5" xfId="9633"/>
    <cellStyle name="Title 4 2 6" xfId="9634"/>
    <cellStyle name="Title 4 2 7" xfId="9635"/>
    <cellStyle name="Title 4 2 8" xfId="9636"/>
    <cellStyle name="Title 4 3" xfId="2012"/>
    <cellStyle name="Title 4 3 2" xfId="9637"/>
    <cellStyle name="Title 4 3 3" xfId="9638"/>
    <cellStyle name="Title 4 3 4" xfId="9639"/>
    <cellStyle name="Title 4 3 5" xfId="9640"/>
    <cellStyle name="Title 4 3 6" xfId="9641"/>
    <cellStyle name="Title 4 4" xfId="2013"/>
    <cellStyle name="Title 4 4 2" xfId="9642"/>
    <cellStyle name="Title 4 4 3" xfId="9643"/>
    <cellStyle name="Title 4 4 4" xfId="9644"/>
    <cellStyle name="Title 4 4 5" xfId="9645"/>
    <cellStyle name="Title 4 5" xfId="9646"/>
    <cellStyle name="Title 4 6" xfId="9647"/>
    <cellStyle name="Title 4 7" xfId="9648"/>
    <cellStyle name="Title 4 8" xfId="9649"/>
    <cellStyle name="Title 5" xfId="2014"/>
    <cellStyle name="Title 5 2" xfId="2015"/>
    <cellStyle name="Title 5 2 2" xfId="2016"/>
    <cellStyle name="Title 5 2 2 2" xfId="9650"/>
    <cellStyle name="Title 5 2 2 3" xfId="9651"/>
    <cellStyle name="Title 5 2 2 4" xfId="9652"/>
    <cellStyle name="Title 5 2 2 5" xfId="9653"/>
    <cellStyle name="Title 5 2 2 6" xfId="9654"/>
    <cellStyle name="Title 5 2 3" xfId="2017"/>
    <cellStyle name="Title 5 2 3 2" xfId="9655"/>
    <cellStyle name="Title 5 2 3 3" xfId="9656"/>
    <cellStyle name="Title 5 2 3 4" xfId="9657"/>
    <cellStyle name="Title 5 2 3 5" xfId="9658"/>
    <cellStyle name="Title 5 2 3 6" xfId="9659"/>
    <cellStyle name="Title 5 2 4" xfId="9660"/>
    <cellStyle name="Title 5 2 5" xfId="9661"/>
    <cellStyle name="Title 5 2 6" xfId="9662"/>
    <cellStyle name="Title 5 2 7" xfId="9663"/>
    <cellStyle name="Title 5 2 8" xfId="9664"/>
    <cellStyle name="Title 5 3" xfId="2018"/>
    <cellStyle name="Title 5 3 2" xfId="9665"/>
    <cellStyle name="Title 5 3 3" xfId="9666"/>
    <cellStyle name="Title 5 3 4" xfId="9667"/>
    <cellStyle name="Title 5 3 5" xfId="9668"/>
    <cellStyle name="Title 5 3 6" xfId="9669"/>
    <cellStyle name="Title 5 4" xfId="2019"/>
    <cellStyle name="Title 5 4 2" xfId="9670"/>
    <cellStyle name="Title 5 4 3" xfId="9671"/>
    <cellStyle name="Title 5 4 4" xfId="9672"/>
    <cellStyle name="Title 5 4 5" xfId="9673"/>
    <cellStyle name="Title 5 5" xfId="9674"/>
    <cellStyle name="Title 5 6" xfId="9675"/>
    <cellStyle name="Title 5 7" xfId="9676"/>
    <cellStyle name="Title 5 8" xfId="9677"/>
    <cellStyle name="Title 6" xfId="2020"/>
    <cellStyle name="Title 6 2" xfId="2021"/>
    <cellStyle name="Title 6 2 2" xfId="9678"/>
    <cellStyle name="Title 6 2 3" xfId="9679"/>
    <cellStyle name="Title 6 2 4" xfId="9680"/>
    <cellStyle name="Title 6 2 5" xfId="9681"/>
    <cellStyle name="Title 6 2 6" xfId="9682"/>
    <cellStyle name="Title 6 3" xfId="2022"/>
    <cellStyle name="Title 6 3 2" xfId="9683"/>
    <cellStyle name="Title 6 3 3" xfId="9684"/>
    <cellStyle name="Title 6 3 4" xfId="9685"/>
    <cellStyle name="Title 6 3 5" xfId="9686"/>
    <cellStyle name="Title 6 3 6" xfId="9687"/>
    <cellStyle name="Title 6 4" xfId="9688"/>
    <cellStyle name="Title 6 5" xfId="9689"/>
    <cellStyle name="Title 6 6" xfId="9690"/>
    <cellStyle name="Title 6 7" xfId="9691"/>
    <cellStyle name="Title 6 8" xfId="9692"/>
    <cellStyle name="Title 7" xfId="2023"/>
    <cellStyle name="Title 7 2" xfId="9693"/>
    <cellStyle name="Title 7 3" xfId="9694"/>
    <cellStyle name="Title 7 4" xfId="9695"/>
    <cellStyle name="Title 7 5" xfId="9696"/>
    <cellStyle name="Title 7 6" xfId="9697"/>
    <cellStyle name="Title 8" xfId="2024"/>
    <cellStyle name="Title 8 2" xfId="9698"/>
    <cellStyle name="Title 8 3" xfId="9699"/>
    <cellStyle name="Title 8 4" xfId="9700"/>
    <cellStyle name="Title 8 5" xfId="9701"/>
    <cellStyle name="Title 9" xfId="9702"/>
    <cellStyle name="Total" xfId="2025"/>
    <cellStyle name="Total 2" xfId="2026"/>
    <cellStyle name="Total 2 2" xfId="2027"/>
    <cellStyle name="Total 2 2 2" xfId="9703"/>
    <cellStyle name="Total 2 2 3" xfId="9704"/>
    <cellStyle name="Total 2 2 4" xfId="9705"/>
    <cellStyle name="Total 2 2 5" xfId="9706"/>
    <cellStyle name="Total 2 2 6" xfId="9707"/>
    <cellStyle name="Total 2 3" xfId="2028"/>
    <cellStyle name="Total 2 3 2" xfId="9708"/>
    <cellStyle name="Total 2 3 3" xfId="9709"/>
    <cellStyle name="Total 2 3 4" xfId="9710"/>
    <cellStyle name="Total 2 3 5" xfId="9711"/>
    <cellStyle name="Total 2 3 6" xfId="9712"/>
    <cellStyle name="Total 2 4" xfId="9713"/>
    <cellStyle name="Total 2 5" xfId="9714"/>
    <cellStyle name="Total 2 6" xfId="9715"/>
    <cellStyle name="Total 2 7" xfId="9716"/>
    <cellStyle name="Total 2 8" xfId="9717"/>
    <cellStyle name="Total 3" xfId="2029"/>
    <cellStyle name="Total 3 2" xfId="9718"/>
    <cellStyle name="Total 3 3" xfId="9719"/>
    <cellStyle name="Total 3 4" xfId="9720"/>
    <cellStyle name="Total 3 5" xfId="9721"/>
    <cellStyle name="Total 3 6" xfId="9722"/>
    <cellStyle name="Total 4" xfId="2030"/>
    <cellStyle name="Total 4 2" xfId="9723"/>
    <cellStyle name="Total 4 3" xfId="9724"/>
    <cellStyle name="Total 4 4" xfId="9725"/>
    <cellStyle name="Total 4 5" xfId="9726"/>
    <cellStyle name="Total 5" xfId="9727"/>
    <cellStyle name="Total 6" xfId="9728"/>
    <cellStyle name="Total 7" xfId="9729"/>
    <cellStyle name="Total 8" xfId="9730"/>
    <cellStyle name="tr" xfId="2031"/>
    <cellStyle name="tr 10" xfId="9731"/>
    <cellStyle name="tr 2" xfId="2032"/>
    <cellStyle name="tr 2 2" xfId="2033"/>
    <cellStyle name="tr 2 2 2" xfId="2034"/>
    <cellStyle name="tr 2 2 3" xfId="2035"/>
    <cellStyle name="tr 2 3" xfId="2036"/>
    <cellStyle name="tr 2 4" xfId="2037"/>
    <cellStyle name="tr 2 4 2" xfId="9732"/>
    <cellStyle name="tr 2 4 3" xfId="9733"/>
    <cellStyle name="tr 2 4 4" xfId="9734"/>
    <cellStyle name="tr 2 4 5" xfId="9735"/>
    <cellStyle name="tr 2 5" xfId="9736"/>
    <cellStyle name="tr 2 6" xfId="9737"/>
    <cellStyle name="tr 2 7" xfId="9738"/>
    <cellStyle name="tr 2 8" xfId="9739"/>
    <cellStyle name="tr 3" xfId="2038"/>
    <cellStyle name="tr 3 2" xfId="2039"/>
    <cellStyle name="tr 3 2 2" xfId="2040"/>
    <cellStyle name="tr 3 2 3" xfId="2041"/>
    <cellStyle name="tr 3 3" xfId="2042"/>
    <cellStyle name="tr 3 4" xfId="2043"/>
    <cellStyle name="tr 3 4 2" xfId="9740"/>
    <cellStyle name="tr 3 4 3" xfId="9741"/>
    <cellStyle name="tr 3 4 4" xfId="9742"/>
    <cellStyle name="tr 3 4 5" xfId="9743"/>
    <cellStyle name="tr 3 5" xfId="9744"/>
    <cellStyle name="tr 3 6" xfId="9745"/>
    <cellStyle name="tr 3 7" xfId="9746"/>
    <cellStyle name="tr 3 8" xfId="9747"/>
    <cellStyle name="tr 4" xfId="2044"/>
    <cellStyle name="tr 4 2" xfId="2045"/>
    <cellStyle name="tr 4 3" xfId="2046"/>
    <cellStyle name="tr 5" xfId="2047"/>
    <cellStyle name="tr 6" xfId="2048"/>
    <cellStyle name="tr 6 2" xfId="9748"/>
    <cellStyle name="tr 6 3" xfId="9749"/>
    <cellStyle name="tr 6 4" xfId="9750"/>
    <cellStyle name="tr 6 5" xfId="9751"/>
    <cellStyle name="tr 7" xfId="9752"/>
    <cellStyle name="tr 8" xfId="9753"/>
    <cellStyle name="tr 9" xfId="9754"/>
    <cellStyle name="Warning Text" xfId="2049"/>
    <cellStyle name="Warning Text 2" xfId="2050"/>
    <cellStyle name="Warning Text 2 2" xfId="2051"/>
    <cellStyle name="Warning Text 2 3" xfId="2052"/>
    <cellStyle name="Warning Text 3" xfId="2053"/>
    <cellStyle name="Warning Text 4" xfId="2054"/>
    <cellStyle name="Warning Text 4 2" xfId="9755"/>
    <cellStyle name="Warning Text 4 3" xfId="9756"/>
    <cellStyle name="Warning Text 4 4" xfId="9757"/>
    <cellStyle name="Warning Text 4 5" xfId="9758"/>
    <cellStyle name="Warning Text 5" xfId="9759"/>
    <cellStyle name="Warning Text 6" xfId="9760"/>
    <cellStyle name="Warning Text 7" xfId="9761"/>
    <cellStyle name="Warning Text 8" xfId="9762"/>
    <cellStyle name="xl_bot_header" xfId="12"/>
    <cellStyle name="xl_bot_header 2" xfId="23914"/>
    <cellStyle name="xl_bot_left_header" xfId="23913"/>
    <cellStyle name="xl_bot_right_header" xfId="23915"/>
    <cellStyle name="xl_header" xfId="23908"/>
    <cellStyle name="xl_top_header" xfId="23911"/>
    <cellStyle name="xl_top_left_header" xfId="23910"/>
    <cellStyle name="xl_top_right_header" xfId="23912"/>
    <cellStyle name="xl_total_bot" xfId="23935"/>
    <cellStyle name="xl_total_center" xfId="23932"/>
    <cellStyle name="xl_total_left" xfId="23931"/>
    <cellStyle name="xl_total_top" xfId="23929"/>
    <cellStyle name="xl_total_top_left" xfId="23928"/>
    <cellStyle name="xl_total_top_right" xfId="23930"/>
    <cellStyle name="xl29" xfId="2055"/>
    <cellStyle name="xl29 2" xfId="2056"/>
    <cellStyle name="xl29 2 2" xfId="2057"/>
    <cellStyle name="xl29 2 3" xfId="2058"/>
    <cellStyle name="xl29 3" xfId="2059"/>
    <cellStyle name="xl29 4" xfId="2060"/>
    <cellStyle name="xl29 4 2" xfId="9763"/>
    <cellStyle name="xl29 4 3" xfId="9764"/>
    <cellStyle name="xl29 5" xfId="9765"/>
    <cellStyle name="xl29 6" xfId="9766"/>
    <cellStyle name="xl63" xfId="2061"/>
    <cellStyle name="xl63 2" xfId="2062"/>
    <cellStyle name="xl63 2 2" xfId="2063"/>
    <cellStyle name="xl63 2 3" xfId="2064"/>
    <cellStyle name="xl63 3" xfId="2065"/>
    <cellStyle name="xl63 4" xfId="2066"/>
    <cellStyle name="xl63 4 2" xfId="9767"/>
    <cellStyle name="xl63 4 3" xfId="9768"/>
    <cellStyle name="xl63 5" xfId="9769"/>
    <cellStyle name="xl63 6" xfId="9770"/>
    <cellStyle name="Акцент1 2" xfId="2067"/>
    <cellStyle name="Акцент1 2 2" xfId="2068"/>
    <cellStyle name="Акцент1 2 2 2" xfId="2069"/>
    <cellStyle name="Акцент1 2 2 2 2" xfId="2070"/>
    <cellStyle name="Акцент1 2 2 2 3" xfId="2071"/>
    <cellStyle name="Акцент1 2 2 3" xfId="2072"/>
    <cellStyle name="Акцент1 2 2 4" xfId="2073"/>
    <cellStyle name="Акцент1 2 2 4 2" xfId="9771"/>
    <cellStyle name="Акцент1 2 2 4 3" xfId="9772"/>
    <cellStyle name="Акцент1 2 2 4 4" xfId="9773"/>
    <cellStyle name="Акцент1 2 2 4 5" xfId="9774"/>
    <cellStyle name="Акцент1 2 2 5" xfId="9775"/>
    <cellStyle name="Акцент1 2 2 6" xfId="9776"/>
    <cellStyle name="Акцент1 2 2 7" xfId="9777"/>
    <cellStyle name="Акцент1 2 2 8" xfId="9778"/>
    <cellStyle name="Акцент1 2 3" xfId="2074"/>
    <cellStyle name="Акцент1 2 3 2" xfId="2075"/>
    <cellStyle name="Акцент1 2 3 3" xfId="2076"/>
    <cellStyle name="Акцент1 2 4" xfId="2077"/>
    <cellStyle name="Акцент1 2 5" xfId="2078"/>
    <cellStyle name="Акцент1 2 5 2" xfId="9779"/>
    <cellStyle name="Акцент1 2 5 3" xfId="9780"/>
    <cellStyle name="Акцент1 2 5 4" xfId="9781"/>
    <cellStyle name="Акцент1 2 5 5" xfId="9782"/>
    <cellStyle name="Акцент1 2 6" xfId="9783"/>
    <cellStyle name="Акцент1 2 7" xfId="9784"/>
    <cellStyle name="Акцент1 2 8" xfId="9785"/>
    <cellStyle name="Акцент1 2 9" xfId="9786"/>
    <cellStyle name="Акцент1 3" xfId="2079"/>
    <cellStyle name="Акцент1 3 2" xfId="2080"/>
    <cellStyle name="Акцент1 3 2 2" xfId="2081"/>
    <cellStyle name="Акцент1 3 2 3" xfId="2082"/>
    <cellStyle name="Акцент1 3 3" xfId="2083"/>
    <cellStyle name="Акцент1 3 4" xfId="2084"/>
    <cellStyle name="Акцент1 3 4 2" xfId="9787"/>
    <cellStyle name="Акцент1 3 4 3" xfId="9788"/>
    <cellStyle name="Акцент1 3 4 4" xfId="9789"/>
    <cellStyle name="Акцент1 3 4 5" xfId="9790"/>
    <cellStyle name="Акцент1 3 5" xfId="9791"/>
    <cellStyle name="Акцент1 3 6" xfId="9792"/>
    <cellStyle name="Акцент1 3 7" xfId="9793"/>
    <cellStyle name="Акцент1 3 8" xfId="9794"/>
    <cellStyle name="Акцент1 4" xfId="2085"/>
    <cellStyle name="Акцент1 4 2" xfId="2086"/>
    <cellStyle name="Акцент1 4 2 2" xfId="2087"/>
    <cellStyle name="Акцент1 4 2 3" xfId="2088"/>
    <cellStyle name="Акцент1 4 3" xfId="2089"/>
    <cellStyle name="Акцент1 4 4" xfId="2090"/>
    <cellStyle name="Акцент1 4 4 2" xfId="9795"/>
    <cellStyle name="Акцент1 4 4 3" xfId="9796"/>
    <cellStyle name="Акцент1 4 4 4" xfId="9797"/>
    <cellStyle name="Акцент1 4 4 5" xfId="9798"/>
    <cellStyle name="Акцент1 4 5" xfId="9799"/>
    <cellStyle name="Акцент1 4 6" xfId="9800"/>
    <cellStyle name="Акцент1 4 7" xfId="9801"/>
    <cellStyle name="Акцент1 4 8" xfId="9802"/>
    <cellStyle name="Акцент1 5" xfId="2091"/>
    <cellStyle name="Акцент1 5 2" xfId="2092"/>
    <cellStyle name="Акцент1 5 2 2" xfId="2093"/>
    <cellStyle name="Акцент1 5 2 3" xfId="2094"/>
    <cellStyle name="Акцент1 5 3" xfId="2095"/>
    <cellStyle name="Акцент1 5 4" xfId="2096"/>
    <cellStyle name="Акцент1 5 4 2" xfId="9803"/>
    <cellStyle name="Акцент1 5 4 3" xfId="9804"/>
    <cellStyle name="Акцент1 5 4 4" xfId="9805"/>
    <cellStyle name="Акцент1 5 4 5" xfId="9806"/>
    <cellStyle name="Акцент1 5 5" xfId="9807"/>
    <cellStyle name="Акцент1 5 6" xfId="9808"/>
    <cellStyle name="Акцент1 5 7" xfId="9809"/>
    <cellStyle name="Акцент1 5 8" xfId="9810"/>
    <cellStyle name="Акцент1 6" xfId="2097"/>
    <cellStyle name="Акцент1 6 2" xfId="2098"/>
    <cellStyle name="Акцент1 6 2 2" xfId="2099"/>
    <cellStyle name="Акцент1 6 2 3" xfId="2100"/>
    <cellStyle name="Акцент1 6 3" xfId="2101"/>
    <cellStyle name="Акцент1 6 4" xfId="2102"/>
    <cellStyle name="Акцент1 6 4 2" xfId="9811"/>
    <cellStyle name="Акцент1 6 4 3" xfId="9812"/>
    <cellStyle name="Акцент1 6 4 4" xfId="9813"/>
    <cellStyle name="Акцент1 6 4 5" xfId="9814"/>
    <cellStyle name="Акцент1 6 5" xfId="9815"/>
    <cellStyle name="Акцент1 6 6" xfId="9816"/>
    <cellStyle name="Акцент1 6 7" xfId="9817"/>
    <cellStyle name="Акцент1 6 8" xfId="9818"/>
    <cellStyle name="Акцент2 2" xfId="2103"/>
    <cellStyle name="Акцент2 2 2" xfId="2104"/>
    <cellStyle name="Акцент2 2 2 2" xfId="2105"/>
    <cellStyle name="Акцент2 2 2 2 2" xfId="2106"/>
    <cellStyle name="Акцент2 2 2 2 3" xfId="2107"/>
    <cellStyle name="Акцент2 2 2 3" xfId="2108"/>
    <cellStyle name="Акцент2 2 2 4" xfId="2109"/>
    <cellStyle name="Акцент2 2 2 4 2" xfId="9819"/>
    <cellStyle name="Акцент2 2 2 4 3" xfId="9820"/>
    <cellStyle name="Акцент2 2 2 4 4" xfId="9821"/>
    <cellStyle name="Акцент2 2 2 4 5" xfId="9822"/>
    <cellStyle name="Акцент2 2 2 5" xfId="9823"/>
    <cellStyle name="Акцент2 2 2 6" xfId="9824"/>
    <cellStyle name="Акцент2 2 2 7" xfId="9825"/>
    <cellStyle name="Акцент2 2 2 8" xfId="9826"/>
    <cellStyle name="Акцент2 2 3" xfId="2110"/>
    <cellStyle name="Акцент2 2 3 2" xfId="2111"/>
    <cellStyle name="Акцент2 2 3 3" xfId="2112"/>
    <cellStyle name="Акцент2 2 4" xfId="2113"/>
    <cellStyle name="Акцент2 2 5" xfId="2114"/>
    <cellStyle name="Акцент2 2 5 2" xfId="9827"/>
    <cellStyle name="Акцент2 2 5 3" xfId="9828"/>
    <cellStyle name="Акцент2 2 5 4" xfId="9829"/>
    <cellStyle name="Акцент2 2 5 5" xfId="9830"/>
    <cellStyle name="Акцент2 2 6" xfId="9831"/>
    <cellStyle name="Акцент2 2 7" xfId="9832"/>
    <cellStyle name="Акцент2 2 8" xfId="9833"/>
    <cellStyle name="Акцент2 2 9" xfId="9834"/>
    <cellStyle name="Акцент2 3" xfId="2115"/>
    <cellStyle name="Акцент2 3 2" xfId="2116"/>
    <cellStyle name="Акцент2 3 2 2" xfId="2117"/>
    <cellStyle name="Акцент2 3 2 3" xfId="2118"/>
    <cellStyle name="Акцент2 3 3" xfId="2119"/>
    <cellStyle name="Акцент2 3 4" xfId="2120"/>
    <cellStyle name="Акцент2 3 4 2" xfId="9835"/>
    <cellStyle name="Акцент2 3 4 3" xfId="9836"/>
    <cellStyle name="Акцент2 3 4 4" xfId="9837"/>
    <cellStyle name="Акцент2 3 4 5" xfId="9838"/>
    <cellStyle name="Акцент2 3 5" xfId="9839"/>
    <cellStyle name="Акцент2 3 6" xfId="9840"/>
    <cellStyle name="Акцент2 3 7" xfId="9841"/>
    <cellStyle name="Акцент2 3 8" xfId="9842"/>
    <cellStyle name="Акцент2 4" xfId="2121"/>
    <cellStyle name="Акцент2 4 2" xfId="2122"/>
    <cellStyle name="Акцент2 4 2 2" xfId="2123"/>
    <cellStyle name="Акцент2 4 2 3" xfId="2124"/>
    <cellStyle name="Акцент2 4 3" xfId="2125"/>
    <cellStyle name="Акцент2 4 4" xfId="2126"/>
    <cellStyle name="Акцент2 4 4 2" xfId="9843"/>
    <cellStyle name="Акцент2 4 4 3" xfId="9844"/>
    <cellStyle name="Акцент2 4 4 4" xfId="9845"/>
    <cellStyle name="Акцент2 4 4 5" xfId="9846"/>
    <cellStyle name="Акцент2 4 5" xfId="9847"/>
    <cellStyle name="Акцент2 4 6" xfId="9848"/>
    <cellStyle name="Акцент2 4 7" xfId="9849"/>
    <cellStyle name="Акцент2 4 8" xfId="9850"/>
    <cellStyle name="Акцент2 5" xfId="2127"/>
    <cellStyle name="Акцент2 5 2" xfId="2128"/>
    <cellStyle name="Акцент2 5 2 2" xfId="2129"/>
    <cellStyle name="Акцент2 5 2 3" xfId="2130"/>
    <cellStyle name="Акцент2 5 3" xfId="2131"/>
    <cellStyle name="Акцент2 5 4" xfId="2132"/>
    <cellStyle name="Акцент2 5 4 2" xfId="9851"/>
    <cellStyle name="Акцент2 5 4 3" xfId="9852"/>
    <cellStyle name="Акцент2 5 4 4" xfId="9853"/>
    <cellStyle name="Акцент2 5 4 5" xfId="9854"/>
    <cellStyle name="Акцент2 5 5" xfId="9855"/>
    <cellStyle name="Акцент2 5 6" xfId="9856"/>
    <cellStyle name="Акцент2 5 7" xfId="9857"/>
    <cellStyle name="Акцент2 5 8" xfId="9858"/>
    <cellStyle name="Акцент2 6" xfId="2133"/>
    <cellStyle name="Акцент2 6 2" xfId="2134"/>
    <cellStyle name="Акцент2 6 2 2" xfId="2135"/>
    <cellStyle name="Акцент2 6 2 3" xfId="2136"/>
    <cellStyle name="Акцент2 6 3" xfId="2137"/>
    <cellStyle name="Акцент2 6 4" xfId="2138"/>
    <cellStyle name="Акцент2 6 4 2" xfId="9859"/>
    <cellStyle name="Акцент2 6 4 3" xfId="9860"/>
    <cellStyle name="Акцент2 6 4 4" xfId="9861"/>
    <cellStyle name="Акцент2 6 4 5" xfId="9862"/>
    <cellStyle name="Акцент2 6 5" xfId="9863"/>
    <cellStyle name="Акцент2 6 6" xfId="9864"/>
    <cellStyle name="Акцент2 6 7" xfId="9865"/>
    <cellStyle name="Акцент2 6 8" xfId="9866"/>
    <cellStyle name="Акцент3 2" xfId="2139"/>
    <cellStyle name="Акцент3 2 2" xfId="2140"/>
    <cellStyle name="Акцент3 2 2 2" xfId="2141"/>
    <cellStyle name="Акцент3 2 2 2 2" xfId="2142"/>
    <cellStyle name="Акцент3 2 2 2 3" xfId="2143"/>
    <cellStyle name="Акцент3 2 2 3" xfId="2144"/>
    <cellStyle name="Акцент3 2 2 4" xfId="2145"/>
    <cellStyle name="Акцент3 2 2 4 2" xfId="9867"/>
    <cellStyle name="Акцент3 2 2 4 3" xfId="9868"/>
    <cellStyle name="Акцент3 2 2 4 4" xfId="9869"/>
    <cellStyle name="Акцент3 2 2 4 5" xfId="9870"/>
    <cellStyle name="Акцент3 2 2 5" xfId="9871"/>
    <cellStyle name="Акцент3 2 2 6" xfId="9872"/>
    <cellStyle name="Акцент3 2 2 7" xfId="9873"/>
    <cellStyle name="Акцент3 2 2 8" xfId="9874"/>
    <cellStyle name="Акцент3 2 3" xfId="2146"/>
    <cellStyle name="Акцент3 2 3 2" xfId="2147"/>
    <cellStyle name="Акцент3 2 3 3" xfId="2148"/>
    <cellStyle name="Акцент3 2 4" xfId="2149"/>
    <cellStyle name="Акцент3 2 5" xfId="2150"/>
    <cellStyle name="Акцент3 2 5 2" xfId="9875"/>
    <cellStyle name="Акцент3 2 5 3" xfId="9876"/>
    <cellStyle name="Акцент3 2 5 4" xfId="9877"/>
    <cellStyle name="Акцент3 2 5 5" xfId="9878"/>
    <cellStyle name="Акцент3 2 6" xfId="9879"/>
    <cellStyle name="Акцент3 2 7" xfId="9880"/>
    <cellStyle name="Акцент3 2 8" xfId="9881"/>
    <cellStyle name="Акцент3 2 9" xfId="9882"/>
    <cellStyle name="Акцент3 3" xfId="2151"/>
    <cellStyle name="Акцент3 3 2" xfId="2152"/>
    <cellStyle name="Акцент3 3 2 2" xfId="2153"/>
    <cellStyle name="Акцент3 3 2 3" xfId="2154"/>
    <cellStyle name="Акцент3 3 3" xfId="2155"/>
    <cellStyle name="Акцент3 3 4" xfId="2156"/>
    <cellStyle name="Акцент3 3 4 2" xfId="9883"/>
    <cellStyle name="Акцент3 3 4 3" xfId="9884"/>
    <cellStyle name="Акцент3 3 4 4" xfId="9885"/>
    <cellStyle name="Акцент3 3 4 5" xfId="9886"/>
    <cellStyle name="Акцент3 3 5" xfId="9887"/>
    <cellStyle name="Акцент3 3 6" xfId="9888"/>
    <cellStyle name="Акцент3 3 7" xfId="9889"/>
    <cellStyle name="Акцент3 3 8" xfId="9890"/>
    <cellStyle name="Акцент3 4" xfId="2157"/>
    <cellStyle name="Акцент3 4 2" xfId="2158"/>
    <cellStyle name="Акцент3 4 2 2" xfId="2159"/>
    <cellStyle name="Акцент3 4 2 3" xfId="2160"/>
    <cellStyle name="Акцент3 4 3" xfId="2161"/>
    <cellStyle name="Акцент3 4 4" xfId="2162"/>
    <cellStyle name="Акцент3 4 4 2" xfId="9891"/>
    <cellStyle name="Акцент3 4 4 3" xfId="9892"/>
    <cellStyle name="Акцент3 4 4 4" xfId="9893"/>
    <cellStyle name="Акцент3 4 4 5" xfId="9894"/>
    <cellStyle name="Акцент3 4 5" xfId="9895"/>
    <cellStyle name="Акцент3 4 6" xfId="9896"/>
    <cellStyle name="Акцент3 4 7" xfId="9897"/>
    <cellStyle name="Акцент3 4 8" xfId="9898"/>
    <cellStyle name="Акцент3 5" xfId="2163"/>
    <cellStyle name="Акцент3 5 2" xfId="2164"/>
    <cellStyle name="Акцент3 5 2 2" xfId="2165"/>
    <cellStyle name="Акцент3 5 2 3" xfId="2166"/>
    <cellStyle name="Акцент3 5 3" xfId="2167"/>
    <cellStyle name="Акцент3 5 4" xfId="2168"/>
    <cellStyle name="Акцент3 5 4 2" xfId="9899"/>
    <cellStyle name="Акцент3 5 4 3" xfId="9900"/>
    <cellStyle name="Акцент3 5 4 4" xfId="9901"/>
    <cellStyle name="Акцент3 5 4 5" xfId="9902"/>
    <cellStyle name="Акцент3 5 5" xfId="9903"/>
    <cellStyle name="Акцент3 5 6" xfId="9904"/>
    <cellStyle name="Акцент3 5 7" xfId="9905"/>
    <cellStyle name="Акцент3 5 8" xfId="9906"/>
    <cellStyle name="Акцент3 6" xfId="2169"/>
    <cellStyle name="Акцент3 6 2" xfId="2170"/>
    <cellStyle name="Акцент3 6 2 2" xfId="2171"/>
    <cellStyle name="Акцент3 6 2 3" xfId="2172"/>
    <cellStyle name="Акцент3 6 3" xfId="2173"/>
    <cellStyle name="Акцент3 6 4" xfId="2174"/>
    <cellStyle name="Акцент3 6 4 2" xfId="9907"/>
    <cellStyle name="Акцент3 6 4 3" xfId="9908"/>
    <cellStyle name="Акцент3 6 4 4" xfId="9909"/>
    <cellStyle name="Акцент3 6 4 5" xfId="9910"/>
    <cellStyle name="Акцент3 6 5" xfId="9911"/>
    <cellStyle name="Акцент3 6 6" xfId="9912"/>
    <cellStyle name="Акцент3 6 7" xfId="9913"/>
    <cellStyle name="Акцент3 6 8" xfId="9914"/>
    <cellStyle name="Акцент4 2" xfId="2175"/>
    <cellStyle name="Акцент4 2 10" xfId="2176"/>
    <cellStyle name="Акцент4 2 10 2" xfId="9915"/>
    <cellStyle name="Акцент4 2 10 3" xfId="9916"/>
    <cellStyle name="Акцент4 2 10 4" xfId="9917"/>
    <cellStyle name="Акцент4 2 10 5" xfId="9918"/>
    <cellStyle name="Акцент4 2 11" xfId="9919"/>
    <cellStyle name="Акцент4 2 12" xfId="9920"/>
    <cellStyle name="Акцент4 2 13" xfId="9921"/>
    <cellStyle name="Акцент4 2 14" xfId="9922"/>
    <cellStyle name="Акцент4 2 15" xfId="9923"/>
    <cellStyle name="Акцент4 2 16" xfId="9924"/>
    <cellStyle name="Акцент4 2 17" xfId="9925"/>
    <cellStyle name="Акцент4 2 18" xfId="9926"/>
    <cellStyle name="Акцент4 2 2" xfId="2177"/>
    <cellStyle name="Акцент4 2 2 2" xfId="2178"/>
    <cellStyle name="Акцент4 2 2 2 2" xfId="2179"/>
    <cellStyle name="Акцент4 2 2 2 3" xfId="2180"/>
    <cellStyle name="Акцент4 2 2 3" xfId="2181"/>
    <cellStyle name="Акцент4 2 2 4" xfId="2182"/>
    <cellStyle name="Акцент4 2 2 4 2" xfId="9927"/>
    <cellStyle name="Акцент4 2 2 4 3" xfId="9928"/>
    <cellStyle name="Акцент4 2 2 4 4" xfId="9929"/>
    <cellStyle name="Акцент4 2 2 4 5" xfId="9930"/>
    <cellStyle name="Акцент4 2 2 5" xfId="9931"/>
    <cellStyle name="Акцент4 2 2 6" xfId="9932"/>
    <cellStyle name="Акцент4 2 2 7" xfId="9933"/>
    <cellStyle name="Акцент4 2 2 8" xfId="9934"/>
    <cellStyle name="Акцент4 2 3" xfId="2183"/>
    <cellStyle name="Акцент4 2 3 2" xfId="2184"/>
    <cellStyle name="Акцент4 2 3 3" xfId="2185"/>
    <cellStyle name="Акцент4 2 4" xfId="2186"/>
    <cellStyle name="Акцент4 2 5" xfId="2187"/>
    <cellStyle name="Акцент4 2 5 2" xfId="9935"/>
    <cellStyle name="Акцент4 2 5 3" xfId="9936"/>
    <cellStyle name="Акцент4 2 5 4" xfId="9937"/>
    <cellStyle name="Акцент4 2 5 5" xfId="9938"/>
    <cellStyle name="Акцент4 2 6" xfId="2188"/>
    <cellStyle name="Акцент4 2 6 2" xfId="9939"/>
    <cellStyle name="Акцент4 2 6 3" xfId="9940"/>
    <cellStyle name="Акцент4 2 6 4" xfId="9941"/>
    <cellStyle name="Акцент4 2 6 5" xfId="9942"/>
    <cellStyle name="Акцент4 2 7" xfId="2189"/>
    <cellStyle name="Акцент4 2 7 2" xfId="9943"/>
    <cellStyle name="Акцент4 2 7 3" xfId="9944"/>
    <cellStyle name="Акцент4 2 7 4" xfId="9945"/>
    <cellStyle name="Акцент4 2 7 5" xfId="9946"/>
    <cellStyle name="Акцент4 2 8" xfId="2190"/>
    <cellStyle name="Акцент4 2 8 2" xfId="9947"/>
    <cellStyle name="Акцент4 2 8 3" xfId="9948"/>
    <cellStyle name="Акцент4 2 8 4" xfId="9949"/>
    <cellStyle name="Акцент4 2 8 5" xfId="9950"/>
    <cellStyle name="Акцент4 2 9" xfId="2191"/>
    <cellStyle name="Акцент4 2 9 2" xfId="9951"/>
    <cellStyle name="Акцент4 2 9 3" xfId="9952"/>
    <cellStyle name="Акцент4 2 9 4" xfId="9953"/>
    <cellStyle name="Акцент4 2 9 5" xfId="9954"/>
    <cellStyle name="Акцент4 3" xfId="2192"/>
    <cellStyle name="Акцент4 3 10" xfId="9955"/>
    <cellStyle name="Акцент4 3 11" xfId="9956"/>
    <cellStyle name="Акцент4 3 12" xfId="9957"/>
    <cellStyle name="Акцент4 3 13" xfId="9958"/>
    <cellStyle name="Акцент4 3 14" xfId="9959"/>
    <cellStyle name="Акцент4 3 15" xfId="9960"/>
    <cellStyle name="Акцент4 3 16" xfId="9961"/>
    <cellStyle name="Акцент4 3 17" xfId="9962"/>
    <cellStyle name="Акцент4 3 2" xfId="2193"/>
    <cellStyle name="Акцент4 3 2 2" xfId="2194"/>
    <cellStyle name="Акцент4 3 2 3" xfId="2195"/>
    <cellStyle name="Акцент4 3 3" xfId="2196"/>
    <cellStyle name="Акцент4 3 4" xfId="2197"/>
    <cellStyle name="Акцент4 3 4 2" xfId="9963"/>
    <cellStyle name="Акцент4 3 4 3" xfId="9964"/>
    <cellStyle name="Акцент4 3 4 4" xfId="9965"/>
    <cellStyle name="Акцент4 3 4 5" xfId="9966"/>
    <cellStyle name="Акцент4 3 5" xfId="2198"/>
    <cellStyle name="Акцент4 3 5 2" xfId="9967"/>
    <cellStyle name="Акцент4 3 5 3" xfId="9968"/>
    <cellStyle name="Акцент4 3 5 4" xfId="9969"/>
    <cellStyle name="Акцент4 3 5 5" xfId="9970"/>
    <cellStyle name="Акцент4 3 6" xfId="2199"/>
    <cellStyle name="Акцент4 3 6 2" xfId="9971"/>
    <cellStyle name="Акцент4 3 6 3" xfId="9972"/>
    <cellStyle name="Акцент4 3 6 4" xfId="9973"/>
    <cellStyle name="Акцент4 3 6 5" xfId="9974"/>
    <cellStyle name="Акцент4 3 7" xfId="2200"/>
    <cellStyle name="Акцент4 3 7 2" xfId="9975"/>
    <cellStyle name="Акцент4 3 7 3" xfId="9976"/>
    <cellStyle name="Акцент4 3 7 4" xfId="9977"/>
    <cellStyle name="Акцент4 3 7 5" xfId="9978"/>
    <cellStyle name="Акцент4 3 8" xfId="2201"/>
    <cellStyle name="Акцент4 3 8 2" xfId="9979"/>
    <cellStyle name="Акцент4 3 8 3" xfId="9980"/>
    <cellStyle name="Акцент4 3 8 4" xfId="9981"/>
    <cellStyle name="Акцент4 3 8 5" xfId="9982"/>
    <cellStyle name="Акцент4 3 9" xfId="2202"/>
    <cellStyle name="Акцент4 3 9 2" xfId="9983"/>
    <cellStyle name="Акцент4 3 9 3" xfId="9984"/>
    <cellStyle name="Акцент4 3 9 4" xfId="9985"/>
    <cellStyle name="Акцент4 3 9 5" xfId="9986"/>
    <cellStyle name="Акцент4 4" xfId="2203"/>
    <cellStyle name="Акцент4 4 10" xfId="9987"/>
    <cellStyle name="Акцент4 4 11" xfId="9988"/>
    <cellStyle name="Акцент4 4 12" xfId="9989"/>
    <cellStyle name="Акцент4 4 13" xfId="9990"/>
    <cellStyle name="Акцент4 4 14" xfId="9991"/>
    <cellStyle name="Акцент4 4 15" xfId="9992"/>
    <cellStyle name="Акцент4 4 16" xfId="9993"/>
    <cellStyle name="Акцент4 4 17" xfId="9994"/>
    <cellStyle name="Акцент4 4 2" xfId="2204"/>
    <cellStyle name="Акцент4 4 2 2" xfId="2205"/>
    <cellStyle name="Акцент4 4 2 3" xfId="2206"/>
    <cellStyle name="Акцент4 4 3" xfId="2207"/>
    <cellStyle name="Акцент4 4 4" xfId="2208"/>
    <cellStyle name="Акцент4 4 4 2" xfId="9995"/>
    <cellStyle name="Акцент4 4 4 3" xfId="9996"/>
    <cellStyle name="Акцент4 4 4 4" xfId="9997"/>
    <cellStyle name="Акцент4 4 4 5" xfId="9998"/>
    <cellStyle name="Акцент4 4 5" xfId="2209"/>
    <cellStyle name="Акцент4 4 5 2" xfId="9999"/>
    <cellStyle name="Акцент4 4 5 3" xfId="10000"/>
    <cellStyle name="Акцент4 4 5 4" xfId="10001"/>
    <cellStyle name="Акцент4 4 5 5" xfId="10002"/>
    <cellStyle name="Акцент4 4 6" xfId="2210"/>
    <cellStyle name="Акцент4 4 6 2" xfId="10003"/>
    <cellStyle name="Акцент4 4 6 3" xfId="10004"/>
    <cellStyle name="Акцент4 4 6 4" xfId="10005"/>
    <cellStyle name="Акцент4 4 6 5" xfId="10006"/>
    <cellStyle name="Акцент4 4 7" xfId="2211"/>
    <cellStyle name="Акцент4 4 7 2" xfId="10007"/>
    <cellStyle name="Акцент4 4 7 3" xfId="10008"/>
    <cellStyle name="Акцент4 4 7 4" xfId="10009"/>
    <cellStyle name="Акцент4 4 7 5" xfId="10010"/>
    <cellStyle name="Акцент4 4 8" xfId="2212"/>
    <cellStyle name="Акцент4 4 8 2" xfId="10011"/>
    <cellStyle name="Акцент4 4 8 3" xfId="10012"/>
    <cellStyle name="Акцент4 4 8 4" xfId="10013"/>
    <cellStyle name="Акцент4 4 8 5" xfId="10014"/>
    <cellStyle name="Акцент4 4 9" xfId="2213"/>
    <cellStyle name="Акцент4 4 9 2" xfId="10015"/>
    <cellStyle name="Акцент4 4 9 3" xfId="10016"/>
    <cellStyle name="Акцент4 4 9 4" xfId="10017"/>
    <cellStyle name="Акцент4 4 9 5" xfId="10018"/>
    <cellStyle name="Акцент4 5" xfId="2214"/>
    <cellStyle name="Акцент4 5 10" xfId="10019"/>
    <cellStyle name="Акцент4 5 11" xfId="10020"/>
    <cellStyle name="Акцент4 5 12" xfId="10021"/>
    <cellStyle name="Акцент4 5 13" xfId="10022"/>
    <cellStyle name="Акцент4 5 14" xfId="10023"/>
    <cellStyle name="Акцент4 5 15" xfId="10024"/>
    <cellStyle name="Акцент4 5 16" xfId="10025"/>
    <cellStyle name="Акцент4 5 17" xfId="10026"/>
    <cellStyle name="Акцент4 5 2" xfId="2215"/>
    <cellStyle name="Акцент4 5 2 2" xfId="2216"/>
    <cellStyle name="Акцент4 5 2 3" xfId="2217"/>
    <cellStyle name="Акцент4 5 3" xfId="2218"/>
    <cellStyle name="Акцент4 5 4" xfId="2219"/>
    <cellStyle name="Акцент4 5 4 2" xfId="10027"/>
    <cellStyle name="Акцент4 5 4 3" xfId="10028"/>
    <cellStyle name="Акцент4 5 4 4" xfId="10029"/>
    <cellStyle name="Акцент4 5 4 5" xfId="10030"/>
    <cellStyle name="Акцент4 5 5" xfId="2220"/>
    <cellStyle name="Акцент4 5 5 2" xfId="10031"/>
    <cellStyle name="Акцент4 5 5 3" xfId="10032"/>
    <cellStyle name="Акцент4 5 5 4" xfId="10033"/>
    <cellStyle name="Акцент4 5 5 5" xfId="10034"/>
    <cellStyle name="Акцент4 5 6" xfId="2221"/>
    <cellStyle name="Акцент4 5 6 2" xfId="10035"/>
    <cellStyle name="Акцент4 5 6 3" xfId="10036"/>
    <cellStyle name="Акцент4 5 6 4" xfId="10037"/>
    <cellStyle name="Акцент4 5 6 5" xfId="10038"/>
    <cellStyle name="Акцент4 5 7" xfId="2222"/>
    <cellStyle name="Акцент4 5 7 2" xfId="10039"/>
    <cellStyle name="Акцент4 5 7 3" xfId="10040"/>
    <cellStyle name="Акцент4 5 7 4" xfId="10041"/>
    <cellStyle name="Акцент4 5 7 5" xfId="10042"/>
    <cellStyle name="Акцент4 5 8" xfId="2223"/>
    <cellStyle name="Акцент4 5 8 2" xfId="10043"/>
    <cellStyle name="Акцент4 5 8 3" xfId="10044"/>
    <cellStyle name="Акцент4 5 8 4" xfId="10045"/>
    <cellStyle name="Акцент4 5 8 5" xfId="10046"/>
    <cellStyle name="Акцент4 5 9" xfId="2224"/>
    <cellStyle name="Акцент4 5 9 2" xfId="10047"/>
    <cellStyle name="Акцент4 5 9 3" xfId="10048"/>
    <cellStyle name="Акцент4 5 9 4" xfId="10049"/>
    <cellStyle name="Акцент4 5 9 5" xfId="10050"/>
    <cellStyle name="Акцент4 6" xfId="2225"/>
    <cellStyle name="Акцент4 6 10" xfId="10051"/>
    <cellStyle name="Акцент4 6 11" xfId="10052"/>
    <cellStyle name="Акцент4 6 12" xfId="10053"/>
    <cellStyle name="Акцент4 6 13" xfId="10054"/>
    <cellStyle name="Акцент4 6 14" xfId="10055"/>
    <cellStyle name="Акцент4 6 15" xfId="10056"/>
    <cellStyle name="Акцент4 6 16" xfId="10057"/>
    <cellStyle name="Акцент4 6 17" xfId="10058"/>
    <cellStyle name="Акцент4 6 2" xfId="2226"/>
    <cellStyle name="Акцент4 6 2 2" xfId="2227"/>
    <cellStyle name="Акцент4 6 2 3" xfId="2228"/>
    <cellStyle name="Акцент4 6 3" xfId="2229"/>
    <cellStyle name="Акцент4 6 4" xfId="2230"/>
    <cellStyle name="Акцент4 6 4 2" xfId="10059"/>
    <cellStyle name="Акцент4 6 4 3" xfId="10060"/>
    <cellStyle name="Акцент4 6 4 4" xfId="10061"/>
    <cellStyle name="Акцент4 6 4 5" xfId="10062"/>
    <cellStyle name="Акцент4 6 5" xfId="2231"/>
    <cellStyle name="Акцент4 6 5 2" xfId="10063"/>
    <cellStyle name="Акцент4 6 5 3" xfId="10064"/>
    <cellStyle name="Акцент4 6 5 4" xfId="10065"/>
    <cellStyle name="Акцент4 6 5 5" xfId="10066"/>
    <cellStyle name="Акцент4 6 6" xfId="2232"/>
    <cellStyle name="Акцент4 6 6 2" xfId="10067"/>
    <cellStyle name="Акцент4 6 6 3" xfId="10068"/>
    <cellStyle name="Акцент4 6 6 4" xfId="10069"/>
    <cellStyle name="Акцент4 6 6 5" xfId="10070"/>
    <cellStyle name="Акцент4 6 7" xfId="2233"/>
    <cellStyle name="Акцент4 6 7 2" xfId="10071"/>
    <cellStyle name="Акцент4 6 7 3" xfId="10072"/>
    <cellStyle name="Акцент4 6 7 4" xfId="10073"/>
    <cellStyle name="Акцент4 6 7 5" xfId="10074"/>
    <cellStyle name="Акцент4 6 8" xfId="2234"/>
    <cellStyle name="Акцент4 6 8 2" xfId="10075"/>
    <cellStyle name="Акцент4 6 8 3" xfId="10076"/>
    <cellStyle name="Акцент4 6 8 4" xfId="10077"/>
    <cellStyle name="Акцент4 6 8 5" xfId="10078"/>
    <cellStyle name="Акцент4 6 9" xfId="2235"/>
    <cellStyle name="Акцент4 6 9 2" xfId="10079"/>
    <cellStyle name="Акцент4 6 9 3" xfId="10080"/>
    <cellStyle name="Акцент4 6 9 4" xfId="10081"/>
    <cellStyle name="Акцент4 6 9 5" xfId="10082"/>
    <cellStyle name="Акцент5 2" xfId="2236"/>
    <cellStyle name="Акцент5 2 2" xfId="2237"/>
    <cellStyle name="Акцент5 2 2 2" xfId="2238"/>
    <cellStyle name="Акцент5 2 2 2 2" xfId="2239"/>
    <cellStyle name="Акцент5 2 2 2 3" xfId="2240"/>
    <cellStyle name="Акцент5 2 2 3" xfId="2241"/>
    <cellStyle name="Акцент5 2 2 4" xfId="2242"/>
    <cellStyle name="Акцент5 2 2 4 2" xfId="10083"/>
    <cellStyle name="Акцент5 2 2 4 3" xfId="10084"/>
    <cellStyle name="Акцент5 2 2 4 4" xfId="10085"/>
    <cellStyle name="Акцент5 2 2 4 5" xfId="10086"/>
    <cellStyle name="Акцент5 2 2 5" xfId="10087"/>
    <cellStyle name="Акцент5 2 2 6" xfId="10088"/>
    <cellStyle name="Акцент5 2 2 7" xfId="10089"/>
    <cellStyle name="Акцент5 2 2 8" xfId="10090"/>
    <cellStyle name="Акцент5 2 3" xfId="2243"/>
    <cellStyle name="Акцент5 2 3 2" xfId="2244"/>
    <cellStyle name="Акцент5 2 3 3" xfId="2245"/>
    <cellStyle name="Акцент5 2 4" xfId="2246"/>
    <cellStyle name="Акцент5 2 5" xfId="2247"/>
    <cellStyle name="Акцент5 2 5 2" xfId="10091"/>
    <cellStyle name="Акцент5 2 5 3" xfId="10092"/>
    <cellStyle name="Акцент5 2 5 4" xfId="10093"/>
    <cellStyle name="Акцент5 2 5 5" xfId="10094"/>
    <cellStyle name="Акцент5 2 6" xfId="10095"/>
    <cellStyle name="Акцент5 2 7" xfId="10096"/>
    <cellStyle name="Акцент5 2 8" xfId="10097"/>
    <cellStyle name="Акцент5 2 9" xfId="10098"/>
    <cellStyle name="Акцент5 3" xfId="2248"/>
    <cellStyle name="Акцент5 3 2" xfId="2249"/>
    <cellStyle name="Акцент5 3 2 2" xfId="2250"/>
    <cellStyle name="Акцент5 3 2 3" xfId="2251"/>
    <cellStyle name="Акцент5 3 3" xfId="2252"/>
    <cellStyle name="Акцент5 3 4" xfId="2253"/>
    <cellStyle name="Акцент5 3 4 2" xfId="10099"/>
    <cellStyle name="Акцент5 3 4 3" xfId="10100"/>
    <cellStyle name="Акцент5 3 4 4" xfId="10101"/>
    <cellStyle name="Акцент5 3 4 5" xfId="10102"/>
    <cellStyle name="Акцент5 3 5" xfId="10103"/>
    <cellStyle name="Акцент5 3 6" xfId="10104"/>
    <cellStyle name="Акцент5 3 7" xfId="10105"/>
    <cellStyle name="Акцент5 3 8" xfId="10106"/>
    <cellStyle name="Акцент5 4" xfId="2254"/>
    <cellStyle name="Акцент5 4 2" xfId="2255"/>
    <cellStyle name="Акцент5 4 2 2" xfId="2256"/>
    <cellStyle name="Акцент5 4 2 3" xfId="2257"/>
    <cellStyle name="Акцент5 4 3" xfId="2258"/>
    <cellStyle name="Акцент5 4 4" xfId="2259"/>
    <cellStyle name="Акцент5 4 4 2" xfId="10107"/>
    <cellStyle name="Акцент5 4 4 3" xfId="10108"/>
    <cellStyle name="Акцент5 4 4 4" xfId="10109"/>
    <cellStyle name="Акцент5 4 4 5" xfId="10110"/>
    <cellStyle name="Акцент5 4 5" xfId="10111"/>
    <cellStyle name="Акцент5 4 6" xfId="10112"/>
    <cellStyle name="Акцент5 4 7" xfId="10113"/>
    <cellStyle name="Акцент5 4 8" xfId="10114"/>
    <cellStyle name="Акцент5 5" xfId="2260"/>
    <cellStyle name="Акцент5 5 2" xfId="2261"/>
    <cellStyle name="Акцент5 5 2 2" xfId="2262"/>
    <cellStyle name="Акцент5 5 2 3" xfId="2263"/>
    <cellStyle name="Акцент5 5 3" xfId="2264"/>
    <cellStyle name="Акцент5 5 4" xfId="2265"/>
    <cellStyle name="Акцент5 5 4 2" xfId="10115"/>
    <cellStyle name="Акцент5 5 4 3" xfId="10116"/>
    <cellStyle name="Акцент5 5 4 4" xfId="10117"/>
    <cellStyle name="Акцент5 5 4 5" xfId="10118"/>
    <cellStyle name="Акцент5 5 5" xfId="10119"/>
    <cellStyle name="Акцент5 5 6" xfId="10120"/>
    <cellStyle name="Акцент5 5 7" xfId="10121"/>
    <cellStyle name="Акцент5 5 8" xfId="10122"/>
    <cellStyle name="Акцент5 6" xfId="2266"/>
    <cellStyle name="Акцент5 6 2" xfId="2267"/>
    <cellStyle name="Акцент5 6 2 2" xfId="2268"/>
    <cellStyle name="Акцент5 6 2 3" xfId="2269"/>
    <cellStyle name="Акцент5 6 3" xfId="2270"/>
    <cellStyle name="Акцент5 6 4" xfId="2271"/>
    <cellStyle name="Акцент5 6 4 2" xfId="10123"/>
    <cellStyle name="Акцент5 6 4 3" xfId="10124"/>
    <cellStyle name="Акцент5 6 4 4" xfId="10125"/>
    <cellStyle name="Акцент5 6 4 5" xfId="10126"/>
    <cellStyle name="Акцент5 6 5" xfId="10127"/>
    <cellStyle name="Акцент5 6 6" xfId="10128"/>
    <cellStyle name="Акцент5 6 7" xfId="10129"/>
    <cellStyle name="Акцент5 6 8" xfId="10130"/>
    <cellStyle name="Акцент6 2" xfId="2272"/>
    <cellStyle name="Акцент6 2 2" xfId="2273"/>
    <cellStyle name="Акцент6 2 2 2" xfId="2274"/>
    <cellStyle name="Акцент6 2 2 2 2" xfId="2275"/>
    <cellStyle name="Акцент6 2 2 2 3" xfId="2276"/>
    <cellStyle name="Акцент6 2 2 3" xfId="2277"/>
    <cellStyle name="Акцент6 2 2 4" xfId="2278"/>
    <cellStyle name="Акцент6 2 2 4 2" xfId="10131"/>
    <cellStyle name="Акцент6 2 2 4 3" xfId="10132"/>
    <cellStyle name="Акцент6 2 2 4 4" xfId="10133"/>
    <cellStyle name="Акцент6 2 2 4 5" xfId="10134"/>
    <cellStyle name="Акцент6 2 2 5" xfId="10135"/>
    <cellStyle name="Акцент6 2 2 6" xfId="10136"/>
    <cellStyle name="Акцент6 2 2 7" xfId="10137"/>
    <cellStyle name="Акцент6 2 2 8" xfId="10138"/>
    <cellStyle name="Акцент6 2 3" xfId="2279"/>
    <cellStyle name="Акцент6 2 3 2" xfId="2280"/>
    <cellStyle name="Акцент6 2 3 3" xfId="2281"/>
    <cellStyle name="Акцент6 2 4" xfId="2282"/>
    <cellStyle name="Акцент6 2 5" xfId="2283"/>
    <cellStyle name="Акцент6 2 5 2" xfId="10139"/>
    <cellStyle name="Акцент6 2 5 3" xfId="10140"/>
    <cellStyle name="Акцент6 2 5 4" xfId="10141"/>
    <cellStyle name="Акцент6 2 5 5" xfId="10142"/>
    <cellStyle name="Акцент6 2 6" xfId="10143"/>
    <cellStyle name="Акцент6 2 7" xfId="10144"/>
    <cellStyle name="Акцент6 2 8" xfId="10145"/>
    <cellStyle name="Акцент6 2 9" xfId="10146"/>
    <cellStyle name="Акцент6 3" xfId="2284"/>
    <cellStyle name="Акцент6 3 2" xfId="2285"/>
    <cellStyle name="Акцент6 3 2 2" xfId="2286"/>
    <cellStyle name="Акцент6 3 2 3" xfId="2287"/>
    <cellStyle name="Акцент6 3 3" xfId="2288"/>
    <cellStyle name="Акцент6 3 4" xfId="2289"/>
    <cellStyle name="Акцент6 3 4 2" xfId="10147"/>
    <cellStyle name="Акцент6 3 4 3" xfId="10148"/>
    <cellStyle name="Акцент6 3 4 4" xfId="10149"/>
    <cellStyle name="Акцент6 3 4 5" xfId="10150"/>
    <cellStyle name="Акцент6 3 5" xfId="10151"/>
    <cellStyle name="Акцент6 3 6" xfId="10152"/>
    <cellStyle name="Акцент6 3 7" xfId="10153"/>
    <cellStyle name="Акцент6 3 8" xfId="10154"/>
    <cellStyle name="Акцент6 4" xfId="2290"/>
    <cellStyle name="Акцент6 4 2" xfId="2291"/>
    <cellStyle name="Акцент6 4 2 2" xfId="2292"/>
    <cellStyle name="Акцент6 4 2 3" xfId="2293"/>
    <cellStyle name="Акцент6 4 3" xfId="2294"/>
    <cellStyle name="Акцент6 4 4" xfId="2295"/>
    <cellStyle name="Акцент6 4 4 2" xfId="10155"/>
    <cellStyle name="Акцент6 4 4 3" xfId="10156"/>
    <cellStyle name="Акцент6 4 4 4" xfId="10157"/>
    <cellStyle name="Акцент6 4 4 5" xfId="10158"/>
    <cellStyle name="Акцент6 4 5" xfId="10159"/>
    <cellStyle name="Акцент6 4 6" xfId="10160"/>
    <cellStyle name="Акцент6 4 7" xfId="10161"/>
    <cellStyle name="Акцент6 4 8" xfId="10162"/>
    <cellStyle name="Акцент6 5" xfId="2296"/>
    <cellStyle name="Акцент6 5 2" xfId="2297"/>
    <cellStyle name="Акцент6 5 2 2" xfId="2298"/>
    <cellStyle name="Акцент6 5 2 3" xfId="2299"/>
    <cellStyle name="Акцент6 5 3" xfId="2300"/>
    <cellStyle name="Акцент6 5 4" xfId="2301"/>
    <cellStyle name="Акцент6 5 4 2" xfId="10163"/>
    <cellStyle name="Акцент6 5 4 3" xfId="10164"/>
    <cellStyle name="Акцент6 5 4 4" xfId="10165"/>
    <cellStyle name="Акцент6 5 4 5" xfId="10166"/>
    <cellStyle name="Акцент6 5 5" xfId="10167"/>
    <cellStyle name="Акцент6 5 6" xfId="10168"/>
    <cellStyle name="Акцент6 5 7" xfId="10169"/>
    <cellStyle name="Акцент6 5 8" xfId="10170"/>
    <cellStyle name="Акцент6 6" xfId="2302"/>
    <cellStyle name="Акцент6 6 2" xfId="2303"/>
    <cellStyle name="Акцент6 6 2 2" xfId="2304"/>
    <cellStyle name="Акцент6 6 2 3" xfId="2305"/>
    <cellStyle name="Акцент6 6 3" xfId="2306"/>
    <cellStyle name="Акцент6 6 4" xfId="2307"/>
    <cellStyle name="Акцент6 6 4 2" xfId="10171"/>
    <cellStyle name="Акцент6 6 4 3" xfId="10172"/>
    <cellStyle name="Акцент6 6 4 4" xfId="10173"/>
    <cellStyle name="Акцент6 6 4 5" xfId="10174"/>
    <cellStyle name="Акцент6 6 5" xfId="10175"/>
    <cellStyle name="Акцент6 6 6" xfId="10176"/>
    <cellStyle name="Акцент6 6 7" xfId="10177"/>
    <cellStyle name="Акцент6 6 8" xfId="10178"/>
    <cellStyle name="Ввод  2" xfId="2308"/>
    <cellStyle name="Ввод  2 10" xfId="10179"/>
    <cellStyle name="Ввод  2 11" xfId="10180"/>
    <cellStyle name="Ввод  2 12" xfId="10181"/>
    <cellStyle name="Ввод  2 13" xfId="10182"/>
    <cellStyle name="Ввод  2 14" xfId="10183"/>
    <cellStyle name="Ввод  2 15" xfId="10184"/>
    <cellStyle name="Ввод  2 2" xfId="2309"/>
    <cellStyle name="Ввод  2 2 10" xfId="10185"/>
    <cellStyle name="Ввод  2 2 11" xfId="10186"/>
    <cellStyle name="Ввод  2 2 12" xfId="10187"/>
    <cellStyle name="Ввод  2 2 13" xfId="10188"/>
    <cellStyle name="Ввод  2 2 14" xfId="10189"/>
    <cellStyle name="Ввод  2 2 2" xfId="2310"/>
    <cellStyle name="Ввод  2 2 2 10" xfId="10190"/>
    <cellStyle name="Ввод  2 2 2 11" xfId="10191"/>
    <cellStyle name="Ввод  2 2 2 12" xfId="10192"/>
    <cellStyle name="Ввод  2 2 2 2" xfId="2311"/>
    <cellStyle name="Ввод  2 2 2 2 2" xfId="10193"/>
    <cellStyle name="Ввод  2 2 2 2 3" xfId="10194"/>
    <cellStyle name="Ввод  2 2 2 2 4" xfId="10195"/>
    <cellStyle name="Ввод  2 2 2 2 5" xfId="10196"/>
    <cellStyle name="Ввод  2 2 2 3" xfId="2312"/>
    <cellStyle name="Ввод  2 2 2 3 2" xfId="10197"/>
    <cellStyle name="Ввод  2 2 2 3 3" xfId="10198"/>
    <cellStyle name="Ввод  2 2 2 3 4" xfId="10199"/>
    <cellStyle name="Ввод  2 2 2 3 5" xfId="10200"/>
    <cellStyle name="Ввод  2 2 2 4" xfId="2313"/>
    <cellStyle name="Ввод  2 2 2 4 2" xfId="10201"/>
    <cellStyle name="Ввод  2 2 2 4 3" xfId="10202"/>
    <cellStyle name="Ввод  2 2 2 4 4" xfId="10203"/>
    <cellStyle name="Ввод  2 2 2 4 5" xfId="10204"/>
    <cellStyle name="Ввод  2 2 2 5" xfId="10205"/>
    <cellStyle name="Ввод  2 2 2 5 2" xfId="10206"/>
    <cellStyle name="Ввод  2 2 2 5 3" xfId="10207"/>
    <cellStyle name="Ввод  2 2 2 5 4" xfId="10208"/>
    <cellStyle name="Ввод  2 2 2 6" xfId="10209"/>
    <cellStyle name="Ввод  2 2 2 7" xfId="10210"/>
    <cellStyle name="Ввод  2 2 2 8" xfId="10211"/>
    <cellStyle name="Ввод  2 2 2 9" xfId="10212"/>
    <cellStyle name="Ввод  2 2 3" xfId="2314"/>
    <cellStyle name="Ввод  2 2 3 10" xfId="10213"/>
    <cellStyle name="Ввод  2 2 3 11" xfId="10214"/>
    <cellStyle name="Ввод  2 2 3 2" xfId="2315"/>
    <cellStyle name="Ввод  2 2 3 2 2" xfId="10215"/>
    <cellStyle name="Ввод  2 2 3 2 3" xfId="10216"/>
    <cellStyle name="Ввод  2 2 3 2 4" xfId="10217"/>
    <cellStyle name="Ввод  2 2 3 2 5" xfId="10218"/>
    <cellStyle name="Ввод  2 2 3 3" xfId="2316"/>
    <cellStyle name="Ввод  2 2 3 3 2" xfId="10219"/>
    <cellStyle name="Ввод  2 2 3 3 3" xfId="10220"/>
    <cellStyle name="Ввод  2 2 3 3 4" xfId="10221"/>
    <cellStyle name="Ввод  2 2 3 3 5" xfId="10222"/>
    <cellStyle name="Ввод  2 2 3 4" xfId="10223"/>
    <cellStyle name="Ввод  2 2 3 4 2" xfId="10224"/>
    <cellStyle name="Ввод  2 2 3 4 3" xfId="10225"/>
    <cellStyle name="Ввод  2 2 3 4 4" xfId="10226"/>
    <cellStyle name="Ввод  2 2 3 5" xfId="10227"/>
    <cellStyle name="Ввод  2 2 3 6" xfId="10228"/>
    <cellStyle name="Ввод  2 2 3 7" xfId="10229"/>
    <cellStyle name="Ввод  2 2 3 8" xfId="10230"/>
    <cellStyle name="Ввод  2 2 3 9" xfId="10231"/>
    <cellStyle name="Ввод  2 2 4" xfId="2317"/>
    <cellStyle name="Ввод  2 2 4 2" xfId="10232"/>
    <cellStyle name="Ввод  2 2 4 3" xfId="10233"/>
    <cellStyle name="Ввод  2 2 4 4" xfId="10234"/>
    <cellStyle name="Ввод  2 2 4 5" xfId="10235"/>
    <cellStyle name="Ввод  2 2 4 6" xfId="10236"/>
    <cellStyle name="Ввод  2 2 4 7" xfId="10237"/>
    <cellStyle name="Ввод  2 2 4 8" xfId="10238"/>
    <cellStyle name="Ввод  2 2 5" xfId="2318"/>
    <cellStyle name="Ввод  2 2 5 2" xfId="10239"/>
    <cellStyle name="Ввод  2 2 5 3" xfId="10240"/>
    <cellStyle name="Ввод  2 2 5 4" xfId="10241"/>
    <cellStyle name="Ввод  2 2 5 5" xfId="10242"/>
    <cellStyle name="Ввод  2 2 5 6" xfId="10243"/>
    <cellStyle name="Ввод  2 2 5 7" xfId="10244"/>
    <cellStyle name="Ввод  2 2 5 8" xfId="10245"/>
    <cellStyle name="Ввод  2 2 6" xfId="2319"/>
    <cellStyle name="Ввод  2 2 6 2" xfId="10246"/>
    <cellStyle name="Ввод  2 2 6 3" xfId="10247"/>
    <cellStyle name="Ввод  2 2 6 4" xfId="10248"/>
    <cellStyle name="Ввод  2 2 6 5" xfId="10249"/>
    <cellStyle name="Ввод  2 2 6 6" xfId="10250"/>
    <cellStyle name="Ввод  2 2 6 7" xfId="10251"/>
    <cellStyle name="Ввод  2 2 6 8" xfId="10252"/>
    <cellStyle name="Ввод  2 2 7" xfId="10253"/>
    <cellStyle name="Ввод  2 2 7 2" xfId="10254"/>
    <cellStyle name="Ввод  2 2 7 3" xfId="10255"/>
    <cellStyle name="Ввод  2 2 7 4" xfId="10256"/>
    <cellStyle name="Ввод  2 2 8" xfId="10257"/>
    <cellStyle name="Ввод  2 2 9" xfId="10258"/>
    <cellStyle name="Ввод  2 3" xfId="2320"/>
    <cellStyle name="Ввод  2 3 10" xfId="10259"/>
    <cellStyle name="Ввод  2 3 11" xfId="10260"/>
    <cellStyle name="Ввод  2 3 12" xfId="10261"/>
    <cellStyle name="Ввод  2 3 2" xfId="2321"/>
    <cellStyle name="Ввод  2 3 2 2" xfId="10262"/>
    <cellStyle name="Ввод  2 3 2 2 2" xfId="10263"/>
    <cellStyle name="Ввод  2 3 2 2 3" xfId="10264"/>
    <cellStyle name="Ввод  2 3 2 2 4" xfId="10265"/>
    <cellStyle name="Ввод  2 3 2 3" xfId="10266"/>
    <cellStyle name="Ввод  2 3 2 4" xfId="10267"/>
    <cellStyle name="Ввод  2 3 2 5" xfId="10268"/>
    <cellStyle name="Ввод  2 3 2 6" xfId="10269"/>
    <cellStyle name="Ввод  2 3 3" xfId="2322"/>
    <cellStyle name="Ввод  2 3 3 2" xfId="10270"/>
    <cellStyle name="Ввод  2 3 3 2 2" xfId="10271"/>
    <cellStyle name="Ввод  2 3 3 2 3" xfId="10272"/>
    <cellStyle name="Ввод  2 3 3 2 4" xfId="10273"/>
    <cellStyle name="Ввод  2 3 3 3" xfId="10274"/>
    <cellStyle name="Ввод  2 3 3 4" xfId="10275"/>
    <cellStyle name="Ввод  2 3 3 5" xfId="10276"/>
    <cellStyle name="Ввод  2 3 3 6" xfId="10277"/>
    <cellStyle name="Ввод  2 3 4" xfId="2323"/>
    <cellStyle name="Ввод  2 3 4 2" xfId="10278"/>
    <cellStyle name="Ввод  2 3 4 2 2" xfId="10279"/>
    <cellStyle name="Ввод  2 3 4 2 3" xfId="10280"/>
    <cellStyle name="Ввод  2 3 4 2 4" xfId="10281"/>
    <cellStyle name="Ввод  2 3 4 3" xfId="10282"/>
    <cellStyle name="Ввод  2 3 4 4" xfId="10283"/>
    <cellStyle name="Ввод  2 3 4 5" xfId="10284"/>
    <cellStyle name="Ввод  2 3 4 6" xfId="10285"/>
    <cellStyle name="Ввод  2 3 5" xfId="10286"/>
    <cellStyle name="Ввод  2 3 5 2" xfId="10287"/>
    <cellStyle name="Ввод  2 3 5 3" xfId="10288"/>
    <cellStyle name="Ввод  2 3 5 4" xfId="10289"/>
    <cellStyle name="Ввод  2 3 6" xfId="10290"/>
    <cellStyle name="Ввод  2 3 7" xfId="10291"/>
    <cellStyle name="Ввод  2 3 8" xfId="10292"/>
    <cellStyle name="Ввод  2 3 9" xfId="10293"/>
    <cellStyle name="Ввод  2 4" xfId="2324"/>
    <cellStyle name="Ввод  2 4 10" xfId="10294"/>
    <cellStyle name="Ввод  2 4 11" xfId="10295"/>
    <cellStyle name="Ввод  2 4 2" xfId="2325"/>
    <cellStyle name="Ввод  2 4 2 2" xfId="10296"/>
    <cellStyle name="Ввод  2 4 2 2 2" xfId="10297"/>
    <cellStyle name="Ввод  2 4 2 2 3" xfId="10298"/>
    <cellStyle name="Ввод  2 4 2 2 4" xfId="10299"/>
    <cellStyle name="Ввод  2 4 2 3" xfId="10300"/>
    <cellStyle name="Ввод  2 4 2 4" xfId="10301"/>
    <cellStyle name="Ввод  2 4 2 5" xfId="10302"/>
    <cellStyle name="Ввод  2 4 2 6" xfId="10303"/>
    <cellStyle name="Ввод  2 4 3" xfId="2326"/>
    <cellStyle name="Ввод  2 4 3 2" xfId="10304"/>
    <cellStyle name="Ввод  2 4 3 2 2" xfId="10305"/>
    <cellStyle name="Ввод  2 4 3 2 3" xfId="10306"/>
    <cellStyle name="Ввод  2 4 3 2 4" xfId="10307"/>
    <cellStyle name="Ввод  2 4 3 3" xfId="10308"/>
    <cellStyle name="Ввод  2 4 3 4" xfId="10309"/>
    <cellStyle name="Ввод  2 4 3 5" xfId="10310"/>
    <cellStyle name="Ввод  2 4 3 6" xfId="10311"/>
    <cellStyle name="Ввод  2 4 4" xfId="10312"/>
    <cellStyle name="Ввод  2 4 4 2" xfId="10313"/>
    <cellStyle name="Ввод  2 4 4 3" xfId="10314"/>
    <cellStyle name="Ввод  2 4 4 4" xfId="10315"/>
    <cellStyle name="Ввод  2 4 5" xfId="10316"/>
    <cellStyle name="Ввод  2 4 6" xfId="10317"/>
    <cellStyle name="Ввод  2 4 7" xfId="10318"/>
    <cellStyle name="Ввод  2 4 8" xfId="10319"/>
    <cellStyle name="Ввод  2 4 9" xfId="10320"/>
    <cellStyle name="Ввод  2 5" xfId="2327"/>
    <cellStyle name="Ввод  2 5 2" xfId="10321"/>
    <cellStyle name="Ввод  2 5 3" xfId="10322"/>
    <cellStyle name="Ввод  2 5 4" xfId="10323"/>
    <cellStyle name="Ввод  2 5 5" xfId="10324"/>
    <cellStyle name="Ввод  2 5 6" xfId="10325"/>
    <cellStyle name="Ввод  2 5 7" xfId="10326"/>
    <cellStyle name="Ввод  2 5 8" xfId="10327"/>
    <cellStyle name="Ввод  2 6" xfId="2328"/>
    <cellStyle name="Ввод  2 6 2" xfId="10328"/>
    <cellStyle name="Ввод  2 6 3" xfId="10329"/>
    <cellStyle name="Ввод  2 6 4" xfId="10330"/>
    <cellStyle name="Ввод  2 6 5" xfId="10331"/>
    <cellStyle name="Ввод  2 6 6" xfId="10332"/>
    <cellStyle name="Ввод  2 6 7" xfId="10333"/>
    <cellStyle name="Ввод  2 6 8" xfId="10334"/>
    <cellStyle name="Ввод  2 7" xfId="2329"/>
    <cellStyle name="Ввод  2 7 2" xfId="10335"/>
    <cellStyle name="Ввод  2 7 3" xfId="10336"/>
    <cellStyle name="Ввод  2 7 4" xfId="10337"/>
    <cellStyle name="Ввод  2 7 5" xfId="10338"/>
    <cellStyle name="Ввод  2 7 6" xfId="10339"/>
    <cellStyle name="Ввод  2 7 7" xfId="10340"/>
    <cellStyle name="Ввод  2 7 8" xfId="10341"/>
    <cellStyle name="Ввод  2 8" xfId="10342"/>
    <cellStyle name="Ввод  2 8 2" xfId="10343"/>
    <cellStyle name="Ввод  2 8 3" xfId="10344"/>
    <cellStyle name="Ввод  2 8 4" xfId="10345"/>
    <cellStyle name="Ввод  2 9" xfId="10346"/>
    <cellStyle name="Ввод  3" xfId="2330"/>
    <cellStyle name="Ввод  3 10" xfId="10347"/>
    <cellStyle name="Ввод  3 11" xfId="10348"/>
    <cellStyle name="Ввод  3 12" xfId="10349"/>
    <cellStyle name="Ввод  3 13" xfId="10350"/>
    <cellStyle name="Ввод  3 14" xfId="10351"/>
    <cellStyle name="Ввод  3 2" xfId="2331"/>
    <cellStyle name="Ввод  3 2 10" xfId="10352"/>
    <cellStyle name="Ввод  3 2 11" xfId="10353"/>
    <cellStyle name="Ввод  3 2 12" xfId="10354"/>
    <cellStyle name="Ввод  3 2 2" xfId="2332"/>
    <cellStyle name="Ввод  3 2 2 2" xfId="10355"/>
    <cellStyle name="Ввод  3 2 2 2 2" xfId="10356"/>
    <cellStyle name="Ввод  3 2 2 2 3" xfId="10357"/>
    <cellStyle name="Ввод  3 2 2 2 4" xfId="10358"/>
    <cellStyle name="Ввод  3 2 2 3" xfId="10359"/>
    <cellStyle name="Ввод  3 2 2 4" xfId="10360"/>
    <cellStyle name="Ввод  3 2 2 5" xfId="10361"/>
    <cellStyle name="Ввод  3 2 2 6" xfId="10362"/>
    <cellStyle name="Ввод  3 2 3" xfId="2333"/>
    <cellStyle name="Ввод  3 2 3 2" xfId="10363"/>
    <cellStyle name="Ввод  3 2 3 2 2" xfId="10364"/>
    <cellStyle name="Ввод  3 2 3 2 3" xfId="10365"/>
    <cellStyle name="Ввод  3 2 3 2 4" xfId="10366"/>
    <cellStyle name="Ввод  3 2 3 3" xfId="10367"/>
    <cellStyle name="Ввод  3 2 3 4" xfId="10368"/>
    <cellStyle name="Ввод  3 2 3 5" xfId="10369"/>
    <cellStyle name="Ввод  3 2 3 6" xfId="10370"/>
    <cellStyle name="Ввод  3 2 4" xfId="2334"/>
    <cellStyle name="Ввод  3 2 4 2" xfId="10371"/>
    <cellStyle name="Ввод  3 2 4 2 2" xfId="10372"/>
    <cellStyle name="Ввод  3 2 4 2 3" xfId="10373"/>
    <cellStyle name="Ввод  3 2 4 2 4" xfId="10374"/>
    <cellStyle name="Ввод  3 2 4 3" xfId="10375"/>
    <cellStyle name="Ввод  3 2 4 4" xfId="10376"/>
    <cellStyle name="Ввод  3 2 4 5" xfId="10377"/>
    <cellStyle name="Ввод  3 2 4 6" xfId="10378"/>
    <cellStyle name="Ввод  3 2 5" xfId="10379"/>
    <cellStyle name="Ввод  3 2 5 2" xfId="10380"/>
    <cellStyle name="Ввод  3 2 5 3" xfId="10381"/>
    <cellStyle name="Ввод  3 2 5 4" xfId="10382"/>
    <cellStyle name="Ввод  3 2 6" xfId="10383"/>
    <cellStyle name="Ввод  3 2 7" xfId="10384"/>
    <cellStyle name="Ввод  3 2 8" xfId="10385"/>
    <cellStyle name="Ввод  3 2 9" xfId="10386"/>
    <cellStyle name="Ввод  3 3" xfId="2335"/>
    <cellStyle name="Ввод  3 3 10" xfId="10387"/>
    <cellStyle name="Ввод  3 3 11" xfId="10388"/>
    <cellStyle name="Ввод  3 3 2" xfId="2336"/>
    <cellStyle name="Ввод  3 3 2 2" xfId="10389"/>
    <cellStyle name="Ввод  3 3 2 2 2" xfId="10390"/>
    <cellStyle name="Ввод  3 3 2 2 3" xfId="10391"/>
    <cellStyle name="Ввод  3 3 2 2 4" xfId="10392"/>
    <cellStyle name="Ввод  3 3 2 3" xfId="10393"/>
    <cellStyle name="Ввод  3 3 2 4" xfId="10394"/>
    <cellStyle name="Ввод  3 3 2 5" xfId="10395"/>
    <cellStyle name="Ввод  3 3 2 6" xfId="10396"/>
    <cellStyle name="Ввод  3 3 3" xfId="2337"/>
    <cellStyle name="Ввод  3 3 3 2" xfId="10397"/>
    <cellStyle name="Ввод  3 3 3 2 2" xfId="10398"/>
    <cellStyle name="Ввод  3 3 3 2 3" xfId="10399"/>
    <cellStyle name="Ввод  3 3 3 2 4" xfId="10400"/>
    <cellStyle name="Ввод  3 3 3 3" xfId="10401"/>
    <cellStyle name="Ввод  3 3 3 4" xfId="10402"/>
    <cellStyle name="Ввод  3 3 3 5" xfId="10403"/>
    <cellStyle name="Ввод  3 3 3 6" xfId="10404"/>
    <cellStyle name="Ввод  3 3 4" xfId="10405"/>
    <cellStyle name="Ввод  3 3 4 2" xfId="10406"/>
    <cellStyle name="Ввод  3 3 4 3" xfId="10407"/>
    <cellStyle name="Ввод  3 3 4 4" xfId="10408"/>
    <cellStyle name="Ввод  3 3 5" xfId="10409"/>
    <cellStyle name="Ввод  3 3 6" xfId="10410"/>
    <cellStyle name="Ввод  3 3 7" xfId="10411"/>
    <cellStyle name="Ввод  3 3 8" xfId="10412"/>
    <cellStyle name="Ввод  3 3 9" xfId="10413"/>
    <cellStyle name="Ввод  3 4" xfId="2338"/>
    <cellStyle name="Ввод  3 4 2" xfId="10414"/>
    <cellStyle name="Ввод  3 4 3" xfId="10415"/>
    <cellStyle name="Ввод  3 4 4" xfId="10416"/>
    <cellStyle name="Ввод  3 4 5" xfId="10417"/>
    <cellStyle name="Ввод  3 4 6" xfId="10418"/>
    <cellStyle name="Ввод  3 4 7" xfId="10419"/>
    <cellStyle name="Ввод  3 4 8" xfId="10420"/>
    <cellStyle name="Ввод  3 5" xfId="2339"/>
    <cellStyle name="Ввод  3 5 2" xfId="10421"/>
    <cellStyle name="Ввод  3 5 3" xfId="10422"/>
    <cellStyle name="Ввод  3 5 4" xfId="10423"/>
    <cellStyle name="Ввод  3 5 5" xfId="10424"/>
    <cellStyle name="Ввод  3 5 6" xfId="10425"/>
    <cellStyle name="Ввод  3 5 7" xfId="10426"/>
    <cellStyle name="Ввод  3 5 8" xfId="10427"/>
    <cellStyle name="Ввод  3 6" xfId="2340"/>
    <cellStyle name="Ввод  3 6 2" xfId="10428"/>
    <cellStyle name="Ввод  3 6 3" xfId="10429"/>
    <cellStyle name="Ввод  3 6 4" xfId="10430"/>
    <cellStyle name="Ввод  3 6 5" xfId="10431"/>
    <cellStyle name="Ввод  3 6 6" xfId="10432"/>
    <cellStyle name="Ввод  3 6 7" xfId="10433"/>
    <cellStyle name="Ввод  3 6 8" xfId="10434"/>
    <cellStyle name="Ввод  3 7" xfId="10435"/>
    <cellStyle name="Ввод  3 7 2" xfId="10436"/>
    <cellStyle name="Ввод  3 7 3" xfId="10437"/>
    <cellStyle name="Ввод  3 7 4" xfId="10438"/>
    <cellStyle name="Ввод  3 8" xfId="10439"/>
    <cellStyle name="Ввод  3 9" xfId="10440"/>
    <cellStyle name="Ввод  4" xfId="2341"/>
    <cellStyle name="Ввод  4 10" xfId="10441"/>
    <cellStyle name="Ввод  4 11" xfId="10442"/>
    <cellStyle name="Ввод  4 12" xfId="10443"/>
    <cellStyle name="Ввод  4 13" xfId="10444"/>
    <cellStyle name="Ввод  4 14" xfId="10445"/>
    <cellStyle name="Ввод  4 2" xfId="2342"/>
    <cellStyle name="Ввод  4 2 10" xfId="10446"/>
    <cellStyle name="Ввод  4 2 11" xfId="10447"/>
    <cellStyle name="Ввод  4 2 12" xfId="10448"/>
    <cellStyle name="Ввод  4 2 2" xfId="2343"/>
    <cellStyle name="Ввод  4 2 2 2" xfId="10449"/>
    <cellStyle name="Ввод  4 2 2 2 2" xfId="10450"/>
    <cellStyle name="Ввод  4 2 2 2 3" xfId="10451"/>
    <cellStyle name="Ввод  4 2 2 2 4" xfId="10452"/>
    <cellStyle name="Ввод  4 2 2 3" xfId="10453"/>
    <cellStyle name="Ввод  4 2 2 4" xfId="10454"/>
    <cellStyle name="Ввод  4 2 2 5" xfId="10455"/>
    <cellStyle name="Ввод  4 2 2 6" xfId="10456"/>
    <cellStyle name="Ввод  4 2 3" xfId="2344"/>
    <cellStyle name="Ввод  4 2 3 2" xfId="10457"/>
    <cellStyle name="Ввод  4 2 3 2 2" xfId="10458"/>
    <cellStyle name="Ввод  4 2 3 2 3" xfId="10459"/>
    <cellStyle name="Ввод  4 2 3 2 4" xfId="10460"/>
    <cellStyle name="Ввод  4 2 3 3" xfId="10461"/>
    <cellStyle name="Ввод  4 2 3 4" xfId="10462"/>
    <cellStyle name="Ввод  4 2 3 5" xfId="10463"/>
    <cellStyle name="Ввод  4 2 3 6" xfId="10464"/>
    <cellStyle name="Ввод  4 2 4" xfId="2345"/>
    <cellStyle name="Ввод  4 2 4 2" xfId="10465"/>
    <cellStyle name="Ввод  4 2 4 2 2" xfId="10466"/>
    <cellStyle name="Ввод  4 2 4 2 3" xfId="10467"/>
    <cellStyle name="Ввод  4 2 4 2 4" xfId="10468"/>
    <cellStyle name="Ввод  4 2 4 3" xfId="10469"/>
    <cellStyle name="Ввод  4 2 4 4" xfId="10470"/>
    <cellStyle name="Ввод  4 2 4 5" xfId="10471"/>
    <cellStyle name="Ввод  4 2 4 6" xfId="10472"/>
    <cellStyle name="Ввод  4 2 5" xfId="10473"/>
    <cellStyle name="Ввод  4 2 5 2" xfId="10474"/>
    <cellStyle name="Ввод  4 2 5 3" xfId="10475"/>
    <cellStyle name="Ввод  4 2 5 4" xfId="10476"/>
    <cellStyle name="Ввод  4 2 6" xfId="10477"/>
    <cellStyle name="Ввод  4 2 7" xfId="10478"/>
    <cellStyle name="Ввод  4 2 8" xfId="10479"/>
    <cellStyle name="Ввод  4 2 9" xfId="10480"/>
    <cellStyle name="Ввод  4 3" xfId="2346"/>
    <cellStyle name="Ввод  4 3 10" xfId="10481"/>
    <cellStyle name="Ввод  4 3 11" xfId="10482"/>
    <cellStyle name="Ввод  4 3 2" xfId="2347"/>
    <cellStyle name="Ввод  4 3 2 2" xfId="10483"/>
    <cellStyle name="Ввод  4 3 2 2 2" xfId="10484"/>
    <cellStyle name="Ввод  4 3 2 2 3" xfId="10485"/>
    <cellStyle name="Ввод  4 3 2 2 4" xfId="10486"/>
    <cellStyle name="Ввод  4 3 2 3" xfId="10487"/>
    <cellStyle name="Ввод  4 3 2 4" xfId="10488"/>
    <cellStyle name="Ввод  4 3 2 5" xfId="10489"/>
    <cellStyle name="Ввод  4 3 2 6" xfId="10490"/>
    <cellStyle name="Ввод  4 3 3" xfId="2348"/>
    <cellStyle name="Ввод  4 3 3 2" xfId="10491"/>
    <cellStyle name="Ввод  4 3 3 2 2" xfId="10492"/>
    <cellStyle name="Ввод  4 3 3 2 3" xfId="10493"/>
    <cellStyle name="Ввод  4 3 3 2 4" xfId="10494"/>
    <cellStyle name="Ввод  4 3 3 3" xfId="10495"/>
    <cellStyle name="Ввод  4 3 3 4" xfId="10496"/>
    <cellStyle name="Ввод  4 3 3 5" xfId="10497"/>
    <cellStyle name="Ввод  4 3 3 6" xfId="10498"/>
    <cellStyle name="Ввод  4 3 4" xfId="10499"/>
    <cellStyle name="Ввод  4 3 4 2" xfId="10500"/>
    <cellStyle name="Ввод  4 3 4 3" xfId="10501"/>
    <cellStyle name="Ввод  4 3 4 4" xfId="10502"/>
    <cellStyle name="Ввод  4 3 5" xfId="10503"/>
    <cellStyle name="Ввод  4 3 6" xfId="10504"/>
    <cellStyle name="Ввод  4 3 7" xfId="10505"/>
    <cellStyle name="Ввод  4 3 8" xfId="10506"/>
    <cellStyle name="Ввод  4 3 9" xfId="10507"/>
    <cellStyle name="Ввод  4 4" xfId="2349"/>
    <cellStyle name="Ввод  4 4 2" xfId="10508"/>
    <cellStyle name="Ввод  4 4 3" xfId="10509"/>
    <cellStyle name="Ввод  4 4 4" xfId="10510"/>
    <cellStyle name="Ввод  4 4 5" xfId="10511"/>
    <cellStyle name="Ввод  4 4 6" xfId="10512"/>
    <cellStyle name="Ввод  4 4 7" xfId="10513"/>
    <cellStyle name="Ввод  4 4 8" xfId="10514"/>
    <cellStyle name="Ввод  4 5" xfId="2350"/>
    <cellStyle name="Ввод  4 5 2" xfId="10515"/>
    <cellStyle name="Ввод  4 5 3" xfId="10516"/>
    <cellStyle name="Ввод  4 5 4" xfId="10517"/>
    <cellStyle name="Ввод  4 5 5" xfId="10518"/>
    <cellStyle name="Ввод  4 5 6" xfId="10519"/>
    <cellStyle name="Ввод  4 5 7" xfId="10520"/>
    <cellStyle name="Ввод  4 5 8" xfId="10521"/>
    <cellStyle name="Ввод  4 6" xfId="2351"/>
    <cellStyle name="Ввод  4 6 2" xfId="10522"/>
    <cellStyle name="Ввод  4 6 3" xfId="10523"/>
    <cellStyle name="Ввод  4 6 4" xfId="10524"/>
    <cellStyle name="Ввод  4 6 5" xfId="10525"/>
    <cellStyle name="Ввод  4 6 6" xfId="10526"/>
    <cellStyle name="Ввод  4 6 7" xfId="10527"/>
    <cellStyle name="Ввод  4 6 8" xfId="10528"/>
    <cellStyle name="Ввод  4 7" xfId="10529"/>
    <cellStyle name="Ввод  4 7 2" xfId="10530"/>
    <cellStyle name="Ввод  4 7 3" xfId="10531"/>
    <cellStyle name="Ввод  4 7 4" xfId="10532"/>
    <cellStyle name="Ввод  4 8" xfId="10533"/>
    <cellStyle name="Ввод  4 9" xfId="10534"/>
    <cellStyle name="Ввод  5" xfId="2352"/>
    <cellStyle name="Ввод  5 10" xfId="10535"/>
    <cellStyle name="Ввод  5 11" xfId="10536"/>
    <cellStyle name="Ввод  5 12" xfId="10537"/>
    <cellStyle name="Ввод  5 13" xfId="10538"/>
    <cellStyle name="Ввод  5 14" xfId="10539"/>
    <cellStyle name="Ввод  5 2" xfId="2353"/>
    <cellStyle name="Ввод  5 2 10" xfId="10540"/>
    <cellStyle name="Ввод  5 2 11" xfId="10541"/>
    <cellStyle name="Ввод  5 2 12" xfId="10542"/>
    <cellStyle name="Ввод  5 2 2" xfId="2354"/>
    <cellStyle name="Ввод  5 2 2 2" xfId="10543"/>
    <cellStyle name="Ввод  5 2 2 2 2" xfId="10544"/>
    <cellStyle name="Ввод  5 2 2 2 3" xfId="10545"/>
    <cellStyle name="Ввод  5 2 2 2 4" xfId="10546"/>
    <cellStyle name="Ввод  5 2 2 3" xfId="10547"/>
    <cellStyle name="Ввод  5 2 2 4" xfId="10548"/>
    <cellStyle name="Ввод  5 2 2 5" xfId="10549"/>
    <cellStyle name="Ввод  5 2 2 6" xfId="10550"/>
    <cellStyle name="Ввод  5 2 3" xfId="2355"/>
    <cellStyle name="Ввод  5 2 3 2" xfId="10551"/>
    <cellStyle name="Ввод  5 2 3 2 2" xfId="10552"/>
    <cellStyle name="Ввод  5 2 3 2 3" xfId="10553"/>
    <cellStyle name="Ввод  5 2 3 2 4" xfId="10554"/>
    <cellStyle name="Ввод  5 2 3 3" xfId="10555"/>
    <cellStyle name="Ввод  5 2 3 4" xfId="10556"/>
    <cellStyle name="Ввод  5 2 3 5" xfId="10557"/>
    <cellStyle name="Ввод  5 2 3 6" xfId="10558"/>
    <cellStyle name="Ввод  5 2 4" xfId="2356"/>
    <cellStyle name="Ввод  5 2 4 2" xfId="10559"/>
    <cellStyle name="Ввод  5 2 4 2 2" xfId="10560"/>
    <cellStyle name="Ввод  5 2 4 2 3" xfId="10561"/>
    <cellStyle name="Ввод  5 2 4 2 4" xfId="10562"/>
    <cellStyle name="Ввод  5 2 4 3" xfId="10563"/>
    <cellStyle name="Ввод  5 2 4 4" xfId="10564"/>
    <cellStyle name="Ввод  5 2 4 5" xfId="10565"/>
    <cellStyle name="Ввод  5 2 4 6" xfId="10566"/>
    <cellStyle name="Ввод  5 2 5" xfId="10567"/>
    <cellStyle name="Ввод  5 2 5 2" xfId="10568"/>
    <cellStyle name="Ввод  5 2 5 3" xfId="10569"/>
    <cellStyle name="Ввод  5 2 5 4" xfId="10570"/>
    <cellStyle name="Ввод  5 2 6" xfId="10571"/>
    <cellStyle name="Ввод  5 2 7" xfId="10572"/>
    <cellStyle name="Ввод  5 2 8" xfId="10573"/>
    <cellStyle name="Ввод  5 2 9" xfId="10574"/>
    <cellStyle name="Ввод  5 3" xfId="2357"/>
    <cellStyle name="Ввод  5 3 10" xfId="10575"/>
    <cellStyle name="Ввод  5 3 11" xfId="10576"/>
    <cellStyle name="Ввод  5 3 2" xfId="2358"/>
    <cellStyle name="Ввод  5 3 2 2" xfId="10577"/>
    <cellStyle name="Ввод  5 3 2 2 2" xfId="10578"/>
    <cellStyle name="Ввод  5 3 2 2 3" xfId="10579"/>
    <cellStyle name="Ввод  5 3 2 2 4" xfId="10580"/>
    <cellStyle name="Ввод  5 3 2 3" xfId="10581"/>
    <cellStyle name="Ввод  5 3 2 4" xfId="10582"/>
    <cellStyle name="Ввод  5 3 2 5" xfId="10583"/>
    <cellStyle name="Ввод  5 3 2 6" xfId="10584"/>
    <cellStyle name="Ввод  5 3 3" xfId="2359"/>
    <cellStyle name="Ввод  5 3 3 2" xfId="10585"/>
    <cellStyle name="Ввод  5 3 3 2 2" xfId="10586"/>
    <cellStyle name="Ввод  5 3 3 2 3" xfId="10587"/>
    <cellStyle name="Ввод  5 3 3 2 4" xfId="10588"/>
    <cellStyle name="Ввод  5 3 3 3" xfId="10589"/>
    <cellStyle name="Ввод  5 3 3 4" xfId="10590"/>
    <cellStyle name="Ввод  5 3 3 5" xfId="10591"/>
    <cellStyle name="Ввод  5 3 3 6" xfId="10592"/>
    <cellStyle name="Ввод  5 3 4" xfId="10593"/>
    <cellStyle name="Ввод  5 3 4 2" xfId="10594"/>
    <cellStyle name="Ввод  5 3 4 3" xfId="10595"/>
    <cellStyle name="Ввод  5 3 4 4" xfId="10596"/>
    <cellStyle name="Ввод  5 3 5" xfId="10597"/>
    <cellStyle name="Ввод  5 3 6" xfId="10598"/>
    <cellStyle name="Ввод  5 3 7" xfId="10599"/>
    <cellStyle name="Ввод  5 3 8" xfId="10600"/>
    <cellStyle name="Ввод  5 3 9" xfId="10601"/>
    <cellStyle name="Ввод  5 4" xfId="2360"/>
    <cellStyle name="Ввод  5 4 2" xfId="10602"/>
    <cellStyle name="Ввод  5 4 3" xfId="10603"/>
    <cellStyle name="Ввод  5 4 4" xfId="10604"/>
    <cellStyle name="Ввод  5 4 5" xfId="10605"/>
    <cellStyle name="Ввод  5 4 6" xfId="10606"/>
    <cellStyle name="Ввод  5 4 7" xfId="10607"/>
    <cellStyle name="Ввод  5 4 8" xfId="10608"/>
    <cellStyle name="Ввод  5 5" xfId="2361"/>
    <cellStyle name="Ввод  5 5 2" xfId="10609"/>
    <cellStyle name="Ввод  5 5 3" xfId="10610"/>
    <cellStyle name="Ввод  5 5 4" xfId="10611"/>
    <cellStyle name="Ввод  5 5 5" xfId="10612"/>
    <cellStyle name="Ввод  5 5 6" xfId="10613"/>
    <cellStyle name="Ввод  5 5 7" xfId="10614"/>
    <cellStyle name="Ввод  5 5 8" xfId="10615"/>
    <cellStyle name="Ввод  5 6" xfId="2362"/>
    <cellStyle name="Ввод  5 6 2" xfId="10616"/>
    <cellStyle name="Ввод  5 6 3" xfId="10617"/>
    <cellStyle name="Ввод  5 6 4" xfId="10618"/>
    <cellStyle name="Ввод  5 6 5" xfId="10619"/>
    <cellStyle name="Ввод  5 6 6" xfId="10620"/>
    <cellStyle name="Ввод  5 6 7" xfId="10621"/>
    <cellStyle name="Ввод  5 6 8" xfId="10622"/>
    <cellStyle name="Ввод  5 7" xfId="10623"/>
    <cellStyle name="Ввод  5 7 2" xfId="10624"/>
    <cellStyle name="Ввод  5 7 3" xfId="10625"/>
    <cellStyle name="Ввод  5 7 4" xfId="10626"/>
    <cellStyle name="Ввод  5 8" xfId="10627"/>
    <cellStyle name="Ввод  5 9" xfId="10628"/>
    <cellStyle name="Ввод  6" xfId="2363"/>
    <cellStyle name="Ввод  6 10" xfId="10629"/>
    <cellStyle name="Ввод  6 11" xfId="10630"/>
    <cellStyle name="Ввод  6 12" xfId="10631"/>
    <cellStyle name="Ввод  6 13" xfId="10632"/>
    <cellStyle name="Ввод  6 14" xfId="10633"/>
    <cellStyle name="Ввод  6 2" xfId="2364"/>
    <cellStyle name="Ввод  6 2 10" xfId="10634"/>
    <cellStyle name="Ввод  6 2 11" xfId="10635"/>
    <cellStyle name="Ввод  6 2 12" xfId="10636"/>
    <cellStyle name="Ввод  6 2 2" xfId="2365"/>
    <cellStyle name="Ввод  6 2 2 2" xfId="10637"/>
    <cellStyle name="Ввод  6 2 2 2 2" xfId="10638"/>
    <cellStyle name="Ввод  6 2 2 2 3" xfId="10639"/>
    <cellStyle name="Ввод  6 2 2 2 4" xfId="10640"/>
    <cellStyle name="Ввод  6 2 2 3" xfId="10641"/>
    <cellStyle name="Ввод  6 2 2 4" xfId="10642"/>
    <cellStyle name="Ввод  6 2 2 5" xfId="10643"/>
    <cellStyle name="Ввод  6 2 2 6" xfId="10644"/>
    <cellStyle name="Ввод  6 2 3" xfId="2366"/>
    <cellStyle name="Ввод  6 2 3 2" xfId="10645"/>
    <cellStyle name="Ввод  6 2 3 2 2" xfId="10646"/>
    <cellStyle name="Ввод  6 2 3 2 3" xfId="10647"/>
    <cellStyle name="Ввод  6 2 3 2 4" xfId="10648"/>
    <cellStyle name="Ввод  6 2 3 3" xfId="10649"/>
    <cellStyle name="Ввод  6 2 3 4" xfId="10650"/>
    <cellStyle name="Ввод  6 2 3 5" xfId="10651"/>
    <cellStyle name="Ввод  6 2 3 6" xfId="10652"/>
    <cellStyle name="Ввод  6 2 4" xfId="2367"/>
    <cellStyle name="Ввод  6 2 4 2" xfId="10653"/>
    <cellStyle name="Ввод  6 2 4 2 2" xfId="10654"/>
    <cellStyle name="Ввод  6 2 4 2 3" xfId="10655"/>
    <cellStyle name="Ввод  6 2 4 2 4" xfId="10656"/>
    <cellStyle name="Ввод  6 2 4 3" xfId="10657"/>
    <cellStyle name="Ввод  6 2 4 4" xfId="10658"/>
    <cellStyle name="Ввод  6 2 4 5" xfId="10659"/>
    <cellStyle name="Ввод  6 2 4 6" xfId="10660"/>
    <cellStyle name="Ввод  6 2 5" xfId="10661"/>
    <cellStyle name="Ввод  6 2 5 2" xfId="10662"/>
    <cellStyle name="Ввод  6 2 5 3" xfId="10663"/>
    <cellStyle name="Ввод  6 2 5 4" xfId="10664"/>
    <cellStyle name="Ввод  6 2 6" xfId="10665"/>
    <cellStyle name="Ввод  6 2 7" xfId="10666"/>
    <cellStyle name="Ввод  6 2 8" xfId="10667"/>
    <cellStyle name="Ввод  6 2 9" xfId="10668"/>
    <cellStyle name="Ввод  6 3" xfId="2368"/>
    <cellStyle name="Ввод  6 3 10" xfId="10669"/>
    <cellStyle name="Ввод  6 3 11" xfId="10670"/>
    <cellStyle name="Ввод  6 3 2" xfId="2369"/>
    <cellStyle name="Ввод  6 3 2 2" xfId="10671"/>
    <cellStyle name="Ввод  6 3 2 2 2" xfId="10672"/>
    <cellStyle name="Ввод  6 3 2 2 3" xfId="10673"/>
    <cellStyle name="Ввод  6 3 2 2 4" xfId="10674"/>
    <cellStyle name="Ввод  6 3 2 3" xfId="10675"/>
    <cellStyle name="Ввод  6 3 2 4" xfId="10676"/>
    <cellStyle name="Ввод  6 3 2 5" xfId="10677"/>
    <cellStyle name="Ввод  6 3 2 6" xfId="10678"/>
    <cellStyle name="Ввод  6 3 3" xfId="2370"/>
    <cellStyle name="Ввод  6 3 3 2" xfId="10679"/>
    <cellStyle name="Ввод  6 3 3 2 2" xfId="10680"/>
    <cellStyle name="Ввод  6 3 3 2 3" xfId="10681"/>
    <cellStyle name="Ввод  6 3 3 2 4" xfId="10682"/>
    <cellStyle name="Ввод  6 3 3 3" xfId="10683"/>
    <cellStyle name="Ввод  6 3 3 4" xfId="10684"/>
    <cellStyle name="Ввод  6 3 3 5" xfId="10685"/>
    <cellStyle name="Ввод  6 3 3 6" xfId="10686"/>
    <cellStyle name="Ввод  6 3 4" xfId="10687"/>
    <cellStyle name="Ввод  6 3 4 2" xfId="10688"/>
    <cellStyle name="Ввод  6 3 4 3" xfId="10689"/>
    <cellStyle name="Ввод  6 3 4 4" xfId="10690"/>
    <cellStyle name="Ввод  6 3 5" xfId="10691"/>
    <cellStyle name="Ввод  6 3 6" xfId="10692"/>
    <cellStyle name="Ввод  6 3 7" xfId="10693"/>
    <cellStyle name="Ввод  6 3 8" xfId="10694"/>
    <cellStyle name="Ввод  6 3 9" xfId="10695"/>
    <cellStyle name="Ввод  6 4" xfId="2371"/>
    <cellStyle name="Ввод  6 4 2" xfId="10696"/>
    <cellStyle name="Ввод  6 4 3" xfId="10697"/>
    <cellStyle name="Ввод  6 4 4" xfId="10698"/>
    <cellStyle name="Ввод  6 4 5" xfId="10699"/>
    <cellStyle name="Ввод  6 4 6" xfId="10700"/>
    <cellStyle name="Ввод  6 4 7" xfId="10701"/>
    <cellStyle name="Ввод  6 4 8" xfId="10702"/>
    <cellStyle name="Ввод  6 5" xfId="2372"/>
    <cellStyle name="Ввод  6 5 2" xfId="10703"/>
    <cellStyle name="Ввод  6 5 3" xfId="10704"/>
    <cellStyle name="Ввод  6 5 4" xfId="10705"/>
    <cellStyle name="Ввод  6 5 5" xfId="10706"/>
    <cellStyle name="Ввод  6 5 6" xfId="10707"/>
    <cellStyle name="Ввод  6 5 7" xfId="10708"/>
    <cellStyle name="Ввод  6 5 8" xfId="10709"/>
    <cellStyle name="Ввод  6 6" xfId="2373"/>
    <cellStyle name="Ввод  6 6 2" xfId="10710"/>
    <cellStyle name="Ввод  6 6 3" xfId="10711"/>
    <cellStyle name="Ввод  6 6 4" xfId="10712"/>
    <cellStyle name="Ввод  6 6 5" xfId="10713"/>
    <cellStyle name="Ввод  6 6 6" xfId="10714"/>
    <cellStyle name="Ввод  6 6 7" xfId="10715"/>
    <cellStyle name="Ввод  6 6 8" xfId="10716"/>
    <cellStyle name="Ввод  6 7" xfId="10717"/>
    <cellStyle name="Ввод  6 7 2" xfId="10718"/>
    <cellStyle name="Ввод  6 7 3" xfId="10719"/>
    <cellStyle name="Ввод  6 7 4" xfId="10720"/>
    <cellStyle name="Ввод  6 8" xfId="10721"/>
    <cellStyle name="Ввод  6 9" xfId="10722"/>
    <cellStyle name="Вывод 2" xfId="2374"/>
    <cellStyle name="Вывод 2 10" xfId="10723"/>
    <cellStyle name="Вывод 2 11" xfId="10724"/>
    <cellStyle name="Вывод 2 12" xfId="10725"/>
    <cellStyle name="Вывод 2 13" xfId="10726"/>
    <cellStyle name="Вывод 2 14" xfId="10727"/>
    <cellStyle name="Вывод 2 15" xfId="10728"/>
    <cellStyle name="Вывод 2 2" xfId="2375"/>
    <cellStyle name="Вывод 2 2 10" xfId="10729"/>
    <cellStyle name="Вывод 2 2 11" xfId="10730"/>
    <cellStyle name="Вывод 2 2 12" xfId="10731"/>
    <cellStyle name="Вывод 2 2 13" xfId="10732"/>
    <cellStyle name="Вывод 2 2 14" xfId="10733"/>
    <cellStyle name="Вывод 2 2 2" xfId="2376"/>
    <cellStyle name="Вывод 2 2 2 10" xfId="10734"/>
    <cellStyle name="Вывод 2 2 2 11" xfId="10735"/>
    <cellStyle name="Вывод 2 2 2 12" xfId="10736"/>
    <cellStyle name="Вывод 2 2 2 2" xfId="2377"/>
    <cellStyle name="Вывод 2 2 2 2 2" xfId="10737"/>
    <cellStyle name="Вывод 2 2 2 2 3" xfId="10738"/>
    <cellStyle name="Вывод 2 2 2 2 4" xfId="10739"/>
    <cellStyle name="Вывод 2 2 2 2 5" xfId="10740"/>
    <cellStyle name="Вывод 2 2 2 3" xfId="2378"/>
    <cellStyle name="Вывод 2 2 2 3 2" xfId="10741"/>
    <cellStyle name="Вывод 2 2 2 3 3" xfId="10742"/>
    <cellStyle name="Вывод 2 2 2 3 4" xfId="10743"/>
    <cellStyle name="Вывод 2 2 2 3 5" xfId="10744"/>
    <cellStyle name="Вывод 2 2 2 4" xfId="2379"/>
    <cellStyle name="Вывод 2 2 2 4 2" xfId="10745"/>
    <cellStyle name="Вывод 2 2 2 4 3" xfId="10746"/>
    <cellStyle name="Вывод 2 2 2 4 4" xfId="10747"/>
    <cellStyle name="Вывод 2 2 2 4 5" xfId="10748"/>
    <cellStyle name="Вывод 2 2 2 5" xfId="10749"/>
    <cellStyle name="Вывод 2 2 2 5 2" xfId="10750"/>
    <cellStyle name="Вывод 2 2 2 5 3" xfId="10751"/>
    <cellStyle name="Вывод 2 2 2 5 4" xfId="10752"/>
    <cellStyle name="Вывод 2 2 2 6" xfId="10753"/>
    <cellStyle name="Вывод 2 2 2 7" xfId="10754"/>
    <cellStyle name="Вывод 2 2 2 8" xfId="10755"/>
    <cellStyle name="Вывод 2 2 2 9" xfId="10756"/>
    <cellStyle name="Вывод 2 2 3" xfId="2380"/>
    <cellStyle name="Вывод 2 2 3 10" xfId="10757"/>
    <cellStyle name="Вывод 2 2 3 11" xfId="10758"/>
    <cellStyle name="Вывод 2 2 3 2" xfId="2381"/>
    <cellStyle name="Вывод 2 2 3 2 2" xfId="10759"/>
    <cellStyle name="Вывод 2 2 3 2 3" xfId="10760"/>
    <cellStyle name="Вывод 2 2 3 2 4" xfId="10761"/>
    <cellStyle name="Вывод 2 2 3 2 5" xfId="10762"/>
    <cellStyle name="Вывод 2 2 3 3" xfId="2382"/>
    <cellStyle name="Вывод 2 2 3 3 2" xfId="10763"/>
    <cellStyle name="Вывод 2 2 3 3 3" xfId="10764"/>
    <cellStyle name="Вывод 2 2 3 3 4" xfId="10765"/>
    <cellStyle name="Вывод 2 2 3 3 5" xfId="10766"/>
    <cellStyle name="Вывод 2 2 3 4" xfId="10767"/>
    <cellStyle name="Вывод 2 2 3 4 2" xfId="10768"/>
    <cellStyle name="Вывод 2 2 3 4 3" xfId="10769"/>
    <cellStyle name="Вывод 2 2 3 4 4" xfId="10770"/>
    <cellStyle name="Вывод 2 2 3 5" xfId="10771"/>
    <cellStyle name="Вывод 2 2 3 6" xfId="10772"/>
    <cellStyle name="Вывод 2 2 3 7" xfId="10773"/>
    <cellStyle name="Вывод 2 2 3 8" xfId="10774"/>
    <cellStyle name="Вывод 2 2 3 9" xfId="10775"/>
    <cellStyle name="Вывод 2 2 4" xfId="2383"/>
    <cellStyle name="Вывод 2 2 4 2" xfId="10776"/>
    <cellStyle name="Вывод 2 2 4 3" xfId="10777"/>
    <cellStyle name="Вывод 2 2 4 4" xfId="10778"/>
    <cellStyle name="Вывод 2 2 4 5" xfId="10779"/>
    <cellStyle name="Вывод 2 2 4 6" xfId="10780"/>
    <cellStyle name="Вывод 2 2 4 7" xfId="10781"/>
    <cellStyle name="Вывод 2 2 4 8" xfId="10782"/>
    <cellStyle name="Вывод 2 2 5" xfId="2384"/>
    <cellStyle name="Вывод 2 2 5 2" xfId="10783"/>
    <cellStyle name="Вывод 2 2 5 3" xfId="10784"/>
    <cellStyle name="Вывод 2 2 5 4" xfId="10785"/>
    <cellStyle name="Вывод 2 2 5 5" xfId="10786"/>
    <cellStyle name="Вывод 2 2 5 6" xfId="10787"/>
    <cellStyle name="Вывод 2 2 5 7" xfId="10788"/>
    <cellStyle name="Вывод 2 2 5 8" xfId="10789"/>
    <cellStyle name="Вывод 2 2 6" xfId="2385"/>
    <cellStyle name="Вывод 2 2 6 2" xfId="10790"/>
    <cellStyle name="Вывод 2 2 6 3" xfId="10791"/>
    <cellStyle name="Вывод 2 2 6 4" xfId="10792"/>
    <cellStyle name="Вывод 2 2 6 5" xfId="10793"/>
    <cellStyle name="Вывод 2 2 6 6" xfId="10794"/>
    <cellStyle name="Вывод 2 2 6 7" xfId="10795"/>
    <cellStyle name="Вывод 2 2 6 8" xfId="10796"/>
    <cellStyle name="Вывод 2 2 7" xfId="10797"/>
    <cellStyle name="Вывод 2 2 7 2" xfId="10798"/>
    <cellStyle name="Вывод 2 2 7 3" xfId="10799"/>
    <cellStyle name="Вывод 2 2 7 4" xfId="10800"/>
    <cellStyle name="Вывод 2 2 8" xfId="10801"/>
    <cellStyle name="Вывод 2 2 9" xfId="10802"/>
    <cellStyle name="Вывод 2 3" xfId="2386"/>
    <cellStyle name="Вывод 2 3 10" xfId="10803"/>
    <cellStyle name="Вывод 2 3 11" xfId="10804"/>
    <cellStyle name="Вывод 2 3 12" xfId="10805"/>
    <cellStyle name="Вывод 2 3 2" xfId="2387"/>
    <cellStyle name="Вывод 2 3 2 2" xfId="10806"/>
    <cellStyle name="Вывод 2 3 2 2 2" xfId="10807"/>
    <cellStyle name="Вывод 2 3 2 2 3" xfId="10808"/>
    <cellStyle name="Вывод 2 3 2 2 4" xfId="10809"/>
    <cellStyle name="Вывод 2 3 2 3" xfId="10810"/>
    <cellStyle name="Вывод 2 3 2 4" xfId="10811"/>
    <cellStyle name="Вывод 2 3 2 5" xfId="10812"/>
    <cellStyle name="Вывод 2 3 2 6" xfId="10813"/>
    <cellStyle name="Вывод 2 3 3" xfId="2388"/>
    <cellStyle name="Вывод 2 3 3 2" xfId="10814"/>
    <cellStyle name="Вывод 2 3 3 2 2" xfId="10815"/>
    <cellStyle name="Вывод 2 3 3 2 3" xfId="10816"/>
    <cellStyle name="Вывод 2 3 3 2 4" xfId="10817"/>
    <cellStyle name="Вывод 2 3 3 3" xfId="10818"/>
    <cellStyle name="Вывод 2 3 3 4" xfId="10819"/>
    <cellStyle name="Вывод 2 3 3 5" xfId="10820"/>
    <cellStyle name="Вывод 2 3 3 6" xfId="10821"/>
    <cellStyle name="Вывод 2 3 4" xfId="2389"/>
    <cellStyle name="Вывод 2 3 4 2" xfId="10822"/>
    <cellStyle name="Вывод 2 3 4 2 2" xfId="10823"/>
    <cellStyle name="Вывод 2 3 4 2 3" xfId="10824"/>
    <cellStyle name="Вывод 2 3 4 2 4" xfId="10825"/>
    <cellStyle name="Вывод 2 3 4 3" xfId="10826"/>
    <cellStyle name="Вывод 2 3 4 4" xfId="10827"/>
    <cellStyle name="Вывод 2 3 4 5" xfId="10828"/>
    <cellStyle name="Вывод 2 3 4 6" xfId="10829"/>
    <cellStyle name="Вывод 2 3 5" xfId="10830"/>
    <cellStyle name="Вывод 2 3 5 2" xfId="10831"/>
    <cellStyle name="Вывод 2 3 5 3" xfId="10832"/>
    <cellStyle name="Вывод 2 3 5 4" xfId="10833"/>
    <cellStyle name="Вывод 2 3 6" xfId="10834"/>
    <cellStyle name="Вывод 2 3 7" xfId="10835"/>
    <cellStyle name="Вывод 2 3 8" xfId="10836"/>
    <cellStyle name="Вывод 2 3 9" xfId="10837"/>
    <cellStyle name="Вывод 2 4" xfId="2390"/>
    <cellStyle name="Вывод 2 4 10" xfId="10838"/>
    <cellStyle name="Вывод 2 4 11" xfId="10839"/>
    <cellStyle name="Вывод 2 4 2" xfId="2391"/>
    <cellStyle name="Вывод 2 4 2 2" xfId="10840"/>
    <cellStyle name="Вывод 2 4 2 2 2" xfId="10841"/>
    <cellStyle name="Вывод 2 4 2 2 3" xfId="10842"/>
    <cellStyle name="Вывод 2 4 2 2 4" xfId="10843"/>
    <cellStyle name="Вывод 2 4 2 3" xfId="10844"/>
    <cellStyle name="Вывод 2 4 2 4" xfId="10845"/>
    <cellStyle name="Вывод 2 4 2 5" xfId="10846"/>
    <cellStyle name="Вывод 2 4 2 6" xfId="10847"/>
    <cellStyle name="Вывод 2 4 3" xfId="2392"/>
    <cellStyle name="Вывод 2 4 3 2" xfId="10848"/>
    <cellStyle name="Вывод 2 4 3 2 2" xfId="10849"/>
    <cellStyle name="Вывод 2 4 3 2 3" xfId="10850"/>
    <cellStyle name="Вывод 2 4 3 2 4" xfId="10851"/>
    <cellStyle name="Вывод 2 4 3 3" xfId="10852"/>
    <cellStyle name="Вывод 2 4 3 4" xfId="10853"/>
    <cellStyle name="Вывод 2 4 3 5" xfId="10854"/>
    <cellStyle name="Вывод 2 4 3 6" xfId="10855"/>
    <cellStyle name="Вывод 2 4 4" xfId="10856"/>
    <cellStyle name="Вывод 2 4 4 2" xfId="10857"/>
    <cellStyle name="Вывод 2 4 4 3" xfId="10858"/>
    <cellStyle name="Вывод 2 4 4 4" xfId="10859"/>
    <cellStyle name="Вывод 2 4 5" xfId="10860"/>
    <cellStyle name="Вывод 2 4 6" xfId="10861"/>
    <cellStyle name="Вывод 2 4 7" xfId="10862"/>
    <cellStyle name="Вывод 2 4 8" xfId="10863"/>
    <cellStyle name="Вывод 2 4 9" xfId="10864"/>
    <cellStyle name="Вывод 2 5" xfId="2393"/>
    <cellStyle name="Вывод 2 5 2" xfId="10865"/>
    <cellStyle name="Вывод 2 5 3" xfId="10866"/>
    <cellStyle name="Вывод 2 5 4" xfId="10867"/>
    <cellStyle name="Вывод 2 5 5" xfId="10868"/>
    <cellStyle name="Вывод 2 5 6" xfId="10869"/>
    <cellStyle name="Вывод 2 5 7" xfId="10870"/>
    <cellStyle name="Вывод 2 5 8" xfId="10871"/>
    <cellStyle name="Вывод 2 6" xfId="2394"/>
    <cellStyle name="Вывод 2 6 2" xfId="10872"/>
    <cellStyle name="Вывод 2 6 3" xfId="10873"/>
    <cellStyle name="Вывод 2 6 4" xfId="10874"/>
    <cellStyle name="Вывод 2 6 5" xfId="10875"/>
    <cellStyle name="Вывод 2 6 6" xfId="10876"/>
    <cellStyle name="Вывод 2 6 7" xfId="10877"/>
    <cellStyle name="Вывод 2 6 8" xfId="10878"/>
    <cellStyle name="Вывод 2 7" xfId="2395"/>
    <cellStyle name="Вывод 2 7 2" xfId="10879"/>
    <cellStyle name="Вывод 2 7 3" xfId="10880"/>
    <cellStyle name="Вывод 2 7 4" xfId="10881"/>
    <cellStyle name="Вывод 2 7 5" xfId="10882"/>
    <cellStyle name="Вывод 2 7 6" xfId="10883"/>
    <cellStyle name="Вывод 2 7 7" xfId="10884"/>
    <cellStyle name="Вывод 2 7 8" xfId="10885"/>
    <cellStyle name="Вывод 2 8" xfId="10886"/>
    <cellStyle name="Вывод 2 8 2" xfId="10887"/>
    <cellStyle name="Вывод 2 8 3" xfId="10888"/>
    <cellStyle name="Вывод 2 8 4" xfId="10889"/>
    <cellStyle name="Вывод 2 9" xfId="10890"/>
    <cellStyle name="Вывод 3" xfId="2396"/>
    <cellStyle name="Вывод 3 10" xfId="10891"/>
    <cellStyle name="Вывод 3 11" xfId="10892"/>
    <cellStyle name="Вывод 3 12" xfId="10893"/>
    <cellStyle name="Вывод 3 13" xfId="10894"/>
    <cellStyle name="Вывод 3 14" xfId="10895"/>
    <cellStyle name="Вывод 3 2" xfId="2397"/>
    <cellStyle name="Вывод 3 2 10" xfId="10896"/>
    <cellStyle name="Вывод 3 2 11" xfId="10897"/>
    <cellStyle name="Вывод 3 2 12" xfId="10898"/>
    <cellStyle name="Вывод 3 2 2" xfId="2398"/>
    <cellStyle name="Вывод 3 2 2 2" xfId="10899"/>
    <cellStyle name="Вывод 3 2 2 2 2" xfId="10900"/>
    <cellStyle name="Вывод 3 2 2 2 3" xfId="10901"/>
    <cellStyle name="Вывод 3 2 2 2 4" xfId="10902"/>
    <cellStyle name="Вывод 3 2 2 3" xfId="10903"/>
    <cellStyle name="Вывод 3 2 2 4" xfId="10904"/>
    <cellStyle name="Вывод 3 2 2 5" xfId="10905"/>
    <cellStyle name="Вывод 3 2 2 6" xfId="10906"/>
    <cellStyle name="Вывод 3 2 3" xfId="2399"/>
    <cellStyle name="Вывод 3 2 3 2" xfId="10907"/>
    <cellStyle name="Вывод 3 2 3 2 2" xfId="10908"/>
    <cellStyle name="Вывод 3 2 3 2 3" xfId="10909"/>
    <cellStyle name="Вывод 3 2 3 2 4" xfId="10910"/>
    <cellStyle name="Вывод 3 2 3 3" xfId="10911"/>
    <cellStyle name="Вывод 3 2 3 4" xfId="10912"/>
    <cellStyle name="Вывод 3 2 3 5" xfId="10913"/>
    <cellStyle name="Вывод 3 2 3 6" xfId="10914"/>
    <cellStyle name="Вывод 3 2 4" xfId="2400"/>
    <cellStyle name="Вывод 3 2 4 2" xfId="10915"/>
    <cellStyle name="Вывод 3 2 4 2 2" xfId="10916"/>
    <cellStyle name="Вывод 3 2 4 2 3" xfId="10917"/>
    <cellStyle name="Вывод 3 2 4 2 4" xfId="10918"/>
    <cellStyle name="Вывод 3 2 4 3" xfId="10919"/>
    <cellStyle name="Вывод 3 2 4 4" xfId="10920"/>
    <cellStyle name="Вывод 3 2 4 5" xfId="10921"/>
    <cellStyle name="Вывод 3 2 4 6" xfId="10922"/>
    <cellStyle name="Вывод 3 2 5" xfId="10923"/>
    <cellStyle name="Вывод 3 2 5 2" xfId="10924"/>
    <cellStyle name="Вывод 3 2 5 3" xfId="10925"/>
    <cellStyle name="Вывод 3 2 5 4" xfId="10926"/>
    <cellStyle name="Вывод 3 2 6" xfId="10927"/>
    <cellStyle name="Вывод 3 2 7" xfId="10928"/>
    <cellStyle name="Вывод 3 2 8" xfId="10929"/>
    <cellStyle name="Вывод 3 2 9" xfId="10930"/>
    <cellStyle name="Вывод 3 3" xfId="2401"/>
    <cellStyle name="Вывод 3 3 10" xfId="10931"/>
    <cellStyle name="Вывод 3 3 11" xfId="10932"/>
    <cellStyle name="Вывод 3 3 2" xfId="2402"/>
    <cellStyle name="Вывод 3 3 2 2" xfId="10933"/>
    <cellStyle name="Вывод 3 3 2 2 2" xfId="10934"/>
    <cellStyle name="Вывод 3 3 2 2 3" xfId="10935"/>
    <cellStyle name="Вывод 3 3 2 2 4" xfId="10936"/>
    <cellStyle name="Вывод 3 3 2 3" xfId="10937"/>
    <cellStyle name="Вывод 3 3 2 4" xfId="10938"/>
    <cellStyle name="Вывод 3 3 2 5" xfId="10939"/>
    <cellStyle name="Вывод 3 3 2 6" xfId="10940"/>
    <cellStyle name="Вывод 3 3 3" xfId="2403"/>
    <cellStyle name="Вывод 3 3 3 2" xfId="10941"/>
    <cellStyle name="Вывод 3 3 3 2 2" xfId="10942"/>
    <cellStyle name="Вывод 3 3 3 2 3" xfId="10943"/>
    <cellStyle name="Вывод 3 3 3 2 4" xfId="10944"/>
    <cellStyle name="Вывод 3 3 3 3" xfId="10945"/>
    <cellStyle name="Вывод 3 3 3 4" xfId="10946"/>
    <cellStyle name="Вывод 3 3 3 5" xfId="10947"/>
    <cellStyle name="Вывод 3 3 3 6" xfId="10948"/>
    <cellStyle name="Вывод 3 3 4" xfId="10949"/>
    <cellStyle name="Вывод 3 3 4 2" xfId="10950"/>
    <cellStyle name="Вывод 3 3 4 3" xfId="10951"/>
    <cellStyle name="Вывод 3 3 4 4" xfId="10952"/>
    <cellStyle name="Вывод 3 3 5" xfId="10953"/>
    <cellStyle name="Вывод 3 3 6" xfId="10954"/>
    <cellStyle name="Вывод 3 3 7" xfId="10955"/>
    <cellStyle name="Вывод 3 3 8" xfId="10956"/>
    <cellStyle name="Вывод 3 3 9" xfId="10957"/>
    <cellStyle name="Вывод 3 4" xfId="2404"/>
    <cellStyle name="Вывод 3 4 2" xfId="10958"/>
    <cellStyle name="Вывод 3 4 3" xfId="10959"/>
    <cellStyle name="Вывод 3 4 4" xfId="10960"/>
    <cellStyle name="Вывод 3 4 5" xfId="10961"/>
    <cellStyle name="Вывод 3 4 6" xfId="10962"/>
    <cellStyle name="Вывод 3 4 7" xfId="10963"/>
    <cellStyle name="Вывод 3 4 8" xfId="10964"/>
    <cellStyle name="Вывод 3 5" xfId="2405"/>
    <cellStyle name="Вывод 3 5 2" xfId="10965"/>
    <cellStyle name="Вывод 3 5 3" xfId="10966"/>
    <cellStyle name="Вывод 3 5 4" xfId="10967"/>
    <cellStyle name="Вывод 3 5 5" xfId="10968"/>
    <cellStyle name="Вывод 3 5 6" xfId="10969"/>
    <cellStyle name="Вывод 3 5 7" xfId="10970"/>
    <cellStyle name="Вывод 3 5 8" xfId="10971"/>
    <cellStyle name="Вывод 3 6" xfId="2406"/>
    <cellStyle name="Вывод 3 6 2" xfId="10972"/>
    <cellStyle name="Вывод 3 6 3" xfId="10973"/>
    <cellStyle name="Вывод 3 6 4" xfId="10974"/>
    <cellStyle name="Вывод 3 6 5" xfId="10975"/>
    <cellStyle name="Вывод 3 6 6" xfId="10976"/>
    <cellStyle name="Вывод 3 6 7" xfId="10977"/>
    <cellStyle name="Вывод 3 6 8" xfId="10978"/>
    <cellStyle name="Вывод 3 7" xfId="10979"/>
    <cellStyle name="Вывод 3 7 2" xfId="10980"/>
    <cellStyle name="Вывод 3 7 3" xfId="10981"/>
    <cellStyle name="Вывод 3 7 4" xfId="10982"/>
    <cellStyle name="Вывод 3 8" xfId="10983"/>
    <cellStyle name="Вывод 3 9" xfId="10984"/>
    <cellStyle name="Вывод 4" xfId="2407"/>
    <cellStyle name="Вывод 4 10" xfId="10985"/>
    <cellStyle name="Вывод 4 11" xfId="10986"/>
    <cellStyle name="Вывод 4 12" xfId="10987"/>
    <cellStyle name="Вывод 4 13" xfId="10988"/>
    <cellStyle name="Вывод 4 14" xfId="10989"/>
    <cellStyle name="Вывод 4 2" xfId="2408"/>
    <cellStyle name="Вывод 4 2 10" xfId="10990"/>
    <cellStyle name="Вывод 4 2 11" xfId="10991"/>
    <cellStyle name="Вывод 4 2 12" xfId="10992"/>
    <cellStyle name="Вывод 4 2 2" xfId="2409"/>
    <cellStyle name="Вывод 4 2 2 2" xfId="10993"/>
    <cellStyle name="Вывод 4 2 2 2 2" xfId="10994"/>
    <cellStyle name="Вывод 4 2 2 2 3" xfId="10995"/>
    <cellStyle name="Вывод 4 2 2 2 4" xfId="10996"/>
    <cellStyle name="Вывод 4 2 2 3" xfId="10997"/>
    <cellStyle name="Вывод 4 2 2 4" xfId="10998"/>
    <cellStyle name="Вывод 4 2 2 5" xfId="10999"/>
    <cellStyle name="Вывод 4 2 2 6" xfId="11000"/>
    <cellStyle name="Вывод 4 2 3" xfId="2410"/>
    <cellStyle name="Вывод 4 2 3 2" xfId="11001"/>
    <cellStyle name="Вывод 4 2 3 2 2" xfId="11002"/>
    <cellStyle name="Вывод 4 2 3 2 3" xfId="11003"/>
    <cellStyle name="Вывод 4 2 3 2 4" xfId="11004"/>
    <cellStyle name="Вывод 4 2 3 3" xfId="11005"/>
    <cellStyle name="Вывод 4 2 3 4" xfId="11006"/>
    <cellStyle name="Вывод 4 2 3 5" xfId="11007"/>
    <cellStyle name="Вывод 4 2 3 6" xfId="11008"/>
    <cellStyle name="Вывод 4 2 4" xfId="2411"/>
    <cellStyle name="Вывод 4 2 4 2" xfId="11009"/>
    <cellStyle name="Вывод 4 2 4 2 2" xfId="11010"/>
    <cellStyle name="Вывод 4 2 4 2 3" xfId="11011"/>
    <cellStyle name="Вывод 4 2 4 2 4" xfId="11012"/>
    <cellStyle name="Вывод 4 2 4 3" xfId="11013"/>
    <cellStyle name="Вывод 4 2 4 4" xfId="11014"/>
    <cellStyle name="Вывод 4 2 4 5" xfId="11015"/>
    <cellStyle name="Вывод 4 2 4 6" xfId="11016"/>
    <cellStyle name="Вывод 4 2 5" xfId="11017"/>
    <cellStyle name="Вывод 4 2 5 2" xfId="11018"/>
    <cellStyle name="Вывод 4 2 5 3" xfId="11019"/>
    <cellStyle name="Вывод 4 2 5 4" xfId="11020"/>
    <cellStyle name="Вывод 4 2 6" xfId="11021"/>
    <cellStyle name="Вывод 4 2 7" xfId="11022"/>
    <cellStyle name="Вывод 4 2 8" xfId="11023"/>
    <cellStyle name="Вывод 4 2 9" xfId="11024"/>
    <cellStyle name="Вывод 4 3" xfId="2412"/>
    <cellStyle name="Вывод 4 3 10" xfId="11025"/>
    <cellStyle name="Вывод 4 3 11" xfId="11026"/>
    <cellStyle name="Вывод 4 3 2" xfId="2413"/>
    <cellStyle name="Вывод 4 3 2 2" xfId="11027"/>
    <cellStyle name="Вывод 4 3 2 2 2" xfId="11028"/>
    <cellStyle name="Вывод 4 3 2 2 3" xfId="11029"/>
    <cellStyle name="Вывод 4 3 2 2 4" xfId="11030"/>
    <cellStyle name="Вывод 4 3 2 3" xfId="11031"/>
    <cellStyle name="Вывод 4 3 2 4" xfId="11032"/>
    <cellStyle name="Вывод 4 3 2 5" xfId="11033"/>
    <cellStyle name="Вывод 4 3 2 6" xfId="11034"/>
    <cellStyle name="Вывод 4 3 3" xfId="2414"/>
    <cellStyle name="Вывод 4 3 3 2" xfId="11035"/>
    <cellStyle name="Вывод 4 3 3 2 2" xfId="11036"/>
    <cellStyle name="Вывод 4 3 3 2 3" xfId="11037"/>
    <cellStyle name="Вывод 4 3 3 2 4" xfId="11038"/>
    <cellStyle name="Вывод 4 3 3 3" xfId="11039"/>
    <cellStyle name="Вывод 4 3 3 4" xfId="11040"/>
    <cellStyle name="Вывод 4 3 3 5" xfId="11041"/>
    <cellStyle name="Вывод 4 3 3 6" xfId="11042"/>
    <cellStyle name="Вывод 4 3 4" xfId="11043"/>
    <cellStyle name="Вывод 4 3 4 2" xfId="11044"/>
    <cellStyle name="Вывод 4 3 4 3" xfId="11045"/>
    <cellStyle name="Вывод 4 3 4 4" xfId="11046"/>
    <cellStyle name="Вывод 4 3 5" xfId="11047"/>
    <cellStyle name="Вывод 4 3 6" xfId="11048"/>
    <cellStyle name="Вывод 4 3 7" xfId="11049"/>
    <cellStyle name="Вывод 4 3 8" xfId="11050"/>
    <cellStyle name="Вывод 4 3 9" xfId="11051"/>
    <cellStyle name="Вывод 4 4" xfId="2415"/>
    <cellStyle name="Вывод 4 4 2" xfId="11052"/>
    <cellStyle name="Вывод 4 4 3" xfId="11053"/>
    <cellStyle name="Вывод 4 4 4" xfId="11054"/>
    <cellStyle name="Вывод 4 4 5" xfId="11055"/>
    <cellStyle name="Вывод 4 4 6" xfId="11056"/>
    <cellStyle name="Вывод 4 4 7" xfId="11057"/>
    <cellStyle name="Вывод 4 4 8" xfId="11058"/>
    <cellStyle name="Вывод 4 5" xfId="2416"/>
    <cellStyle name="Вывод 4 5 2" xfId="11059"/>
    <cellStyle name="Вывод 4 5 3" xfId="11060"/>
    <cellStyle name="Вывод 4 5 4" xfId="11061"/>
    <cellStyle name="Вывод 4 5 5" xfId="11062"/>
    <cellStyle name="Вывод 4 5 6" xfId="11063"/>
    <cellStyle name="Вывод 4 5 7" xfId="11064"/>
    <cellStyle name="Вывод 4 5 8" xfId="11065"/>
    <cellStyle name="Вывод 4 6" xfId="2417"/>
    <cellStyle name="Вывод 4 6 2" xfId="11066"/>
    <cellStyle name="Вывод 4 6 3" xfId="11067"/>
    <cellStyle name="Вывод 4 6 4" xfId="11068"/>
    <cellStyle name="Вывод 4 6 5" xfId="11069"/>
    <cellStyle name="Вывод 4 6 6" xfId="11070"/>
    <cellStyle name="Вывод 4 6 7" xfId="11071"/>
    <cellStyle name="Вывод 4 6 8" xfId="11072"/>
    <cellStyle name="Вывод 4 7" xfId="11073"/>
    <cellStyle name="Вывод 4 7 2" xfId="11074"/>
    <cellStyle name="Вывод 4 7 3" xfId="11075"/>
    <cellStyle name="Вывод 4 7 4" xfId="11076"/>
    <cellStyle name="Вывод 4 8" xfId="11077"/>
    <cellStyle name="Вывод 4 9" xfId="11078"/>
    <cellStyle name="Вывод 5" xfId="2418"/>
    <cellStyle name="Вывод 5 10" xfId="11079"/>
    <cellStyle name="Вывод 5 11" xfId="11080"/>
    <cellStyle name="Вывод 5 12" xfId="11081"/>
    <cellStyle name="Вывод 5 13" xfId="11082"/>
    <cellStyle name="Вывод 5 14" xfId="11083"/>
    <cellStyle name="Вывод 5 2" xfId="2419"/>
    <cellStyle name="Вывод 5 2 10" xfId="11084"/>
    <cellStyle name="Вывод 5 2 11" xfId="11085"/>
    <cellStyle name="Вывод 5 2 12" xfId="11086"/>
    <cellStyle name="Вывод 5 2 2" xfId="2420"/>
    <cellStyle name="Вывод 5 2 2 2" xfId="11087"/>
    <cellStyle name="Вывод 5 2 2 2 2" xfId="11088"/>
    <cellStyle name="Вывод 5 2 2 2 3" xfId="11089"/>
    <cellStyle name="Вывод 5 2 2 2 4" xfId="11090"/>
    <cellStyle name="Вывод 5 2 2 3" xfId="11091"/>
    <cellStyle name="Вывод 5 2 2 4" xfId="11092"/>
    <cellStyle name="Вывод 5 2 2 5" xfId="11093"/>
    <cellStyle name="Вывод 5 2 2 6" xfId="11094"/>
    <cellStyle name="Вывод 5 2 3" xfId="2421"/>
    <cellStyle name="Вывод 5 2 3 2" xfId="11095"/>
    <cellStyle name="Вывод 5 2 3 2 2" xfId="11096"/>
    <cellStyle name="Вывод 5 2 3 2 3" xfId="11097"/>
    <cellStyle name="Вывод 5 2 3 2 4" xfId="11098"/>
    <cellStyle name="Вывод 5 2 3 3" xfId="11099"/>
    <cellStyle name="Вывод 5 2 3 4" xfId="11100"/>
    <cellStyle name="Вывод 5 2 3 5" xfId="11101"/>
    <cellStyle name="Вывод 5 2 3 6" xfId="11102"/>
    <cellStyle name="Вывод 5 2 4" xfId="2422"/>
    <cellStyle name="Вывод 5 2 4 2" xfId="11103"/>
    <cellStyle name="Вывод 5 2 4 2 2" xfId="11104"/>
    <cellStyle name="Вывод 5 2 4 2 3" xfId="11105"/>
    <cellStyle name="Вывод 5 2 4 2 4" xfId="11106"/>
    <cellStyle name="Вывод 5 2 4 3" xfId="11107"/>
    <cellStyle name="Вывод 5 2 4 4" xfId="11108"/>
    <cellStyle name="Вывод 5 2 4 5" xfId="11109"/>
    <cellStyle name="Вывод 5 2 4 6" xfId="11110"/>
    <cellStyle name="Вывод 5 2 5" xfId="11111"/>
    <cellStyle name="Вывод 5 2 5 2" xfId="11112"/>
    <cellStyle name="Вывод 5 2 5 3" xfId="11113"/>
    <cellStyle name="Вывод 5 2 5 4" xfId="11114"/>
    <cellStyle name="Вывод 5 2 6" xfId="11115"/>
    <cellStyle name="Вывод 5 2 7" xfId="11116"/>
    <cellStyle name="Вывод 5 2 8" xfId="11117"/>
    <cellStyle name="Вывод 5 2 9" xfId="11118"/>
    <cellStyle name="Вывод 5 3" xfId="2423"/>
    <cellStyle name="Вывод 5 3 10" xfId="11119"/>
    <cellStyle name="Вывод 5 3 11" xfId="11120"/>
    <cellStyle name="Вывод 5 3 2" xfId="2424"/>
    <cellStyle name="Вывод 5 3 2 2" xfId="11121"/>
    <cellStyle name="Вывод 5 3 2 2 2" xfId="11122"/>
    <cellStyle name="Вывод 5 3 2 2 3" xfId="11123"/>
    <cellStyle name="Вывод 5 3 2 2 4" xfId="11124"/>
    <cellStyle name="Вывод 5 3 2 3" xfId="11125"/>
    <cellStyle name="Вывод 5 3 2 4" xfId="11126"/>
    <cellStyle name="Вывод 5 3 2 5" xfId="11127"/>
    <cellStyle name="Вывод 5 3 2 6" xfId="11128"/>
    <cellStyle name="Вывод 5 3 3" xfId="2425"/>
    <cellStyle name="Вывод 5 3 3 2" xfId="11129"/>
    <cellStyle name="Вывод 5 3 3 2 2" xfId="11130"/>
    <cellStyle name="Вывод 5 3 3 2 3" xfId="11131"/>
    <cellStyle name="Вывод 5 3 3 2 4" xfId="11132"/>
    <cellStyle name="Вывод 5 3 3 3" xfId="11133"/>
    <cellStyle name="Вывод 5 3 3 4" xfId="11134"/>
    <cellStyle name="Вывод 5 3 3 5" xfId="11135"/>
    <cellStyle name="Вывод 5 3 3 6" xfId="11136"/>
    <cellStyle name="Вывод 5 3 4" xfId="11137"/>
    <cellStyle name="Вывод 5 3 4 2" xfId="11138"/>
    <cellStyle name="Вывод 5 3 4 3" xfId="11139"/>
    <cellStyle name="Вывод 5 3 4 4" xfId="11140"/>
    <cellStyle name="Вывод 5 3 5" xfId="11141"/>
    <cellStyle name="Вывод 5 3 6" xfId="11142"/>
    <cellStyle name="Вывод 5 3 7" xfId="11143"/>
    <cellStyle name="Вывод 5 3 8" xfId="11144"/>
    <cellStyle name="Вывод 5 3 9" xfId="11145"/>
    <cellStyle name="Вывод 5 4" xfId="2426"/>
    <cellStyle name="Вывод 5 4 2" xfId="11146"/>
    <cellStyle name="Вывод 5 4 3" xfId="11147"/>
    <cellStyle name="Вывод 5 4 4" xfId="11148"/>
    <cellStyle name="Вывод 5 4 5" xfId="11149"/>
    <cellStyle name="Вывод 5 4 6" xfId="11150"/>
    <cellStyle name="Вывод 5 4 7" xfId="11151"/>
    <cellStyle name="Вывод 5 4 8" xfId="11152"/>
    <cellStyle name="Вывод 5 5" xfId="2427"/>
    <cellStyle name="Вывод 5 5 2" xfId="11153"/>
    <cellStyle name="Вывод 5 5 3" xfId="11154"/>
    <cellStyle name="Вывод 5 5 4" xfId="11155"/>
    <cellStyle name="Вывод 5 5 5" xfId="11156"/>
    <cellStyle name="Вывод 5 5 6" xfId="11157"/>
    <cellStyle name="Вывод 5 5 7" xfId="11158"/>
    <cellStyle name="Вывод 5 5 8" xfId="11159"/>
    <cellStyle name="Вывод 5 6" xfId="2428"/>
    <cellStyle name="Вывод 5 6 2" xfId="11160"/>
    <cellStyle name="Вывод 5 6 3" xfId="11161"/>
    <cellStyle name="Вывод 5 6 4" xfId="11162"/>
    <cellStyle name="Вывод 5 6 5" xfId="11163"/>
    <cellStyle name="Вывод 5 6 6" xfId="11164"/>
    <cellStyle name="Вывод 5 6 7" xfId="11165"/>
    <cellStyle name="Вывод 5 6 8" xfId="11166"/>
    <cellStyle name="Вывод 5 7" xfId="11167"/>
    <cellStyle name="Вывод 5 7 2" xfId="11168"/>
    <cellStyle name="Вывод 5 7 3" xfId="11169"/>
    <cellStyle name="Вывод 5 7 4" xfId="11170"/>
    <cellStyle name="Вывод 5 8" xfId="11171"/>
    <cellStyle name="Вывод 5 9" xfId="11172"/>
    <cellStyle name="Вывод 6" xfId="2429"/>
    <cellStyle name="Вывод 6 10" xfId="11173"/>
    <cellStyle name="Вывод 6 11" xfId="11174"/>
    <cellStyle name="Вывод 6 12" xfId="11175"/>
    <cellStyle name="Вывод 6 13" xfId="11176"/>
    <cellStyle name="Вывод 6 14" xfId="11177"/>
    <cellStyle name="Вывод 6 2" xfId="2430"/>
    <cellStyle name="Вывод 6 2 10" xfId="11178"/>
    <cellStyle name="Вывод 6 2 11" xfId="11179"/>
    <cellStyle name="Вывод 6 2 12" xfId="11180"/>
    <cellStyle name="Вывод 6 2 2" xfId="2431"/>
    <cellStyle name="Вывод 6 2 2 2" xfId="11181"/>
    <cellStyle name="Вывод 6 2 2 2 2" xfId="11182"/>
    <cellStyle name="Вывод 6 2 2 2 3" xfId="11183"/>
    <cellStyle name="Вывод 6 2 2 2 4" xfId="11184"/>
    <cellStyle name="Вывод 6 2 2 3" xfId="11185"/>
    <cellStyle name="Вывод 6 2 2 4" xfId="11186"/>
    <cellStyle name="Вывод 6 2 2 5" xfId="11187"/>
    <cellStyle name="Вывод 6 2 2 6" xfId="11188"/>
    <cellStyle name="Вывод 6 2 3" xfId="2432"/>
    <cellStyle name="Вывод 6 2 3 2" xfId="11189"/>
    <cellStyle name="Вывод 6 2 3 2 2" xfId="11190"/>
    <cellStyle name="Вывод 6 2 3 2 3" xfId="11191"/>
    <cellStyle name="Вывод 6 2 3 2 4" xfId="11192"/>
    <cellStyle name="Вывод 6 2 3 3" xfId="11193"/>
    <cellStyle name="Вывод 6 2 3 4" xfId="11194"/>
    <cellStyle name="Вывод 6 2 3 5" xfId="11195"/>
    <cellStyle name="Вывод 6 2 3 6" xfId="11196"/>
    <cellStyle name="Вывод 6 2 4" xfId="2433"/>
    <cellStyle name="Вывод 6 2 4 2" xfId="11197"/>
    <cellStyle name="Вывод 6 2 4 2 2" xfId="11198"/>
    <cellStyle name="Вывод 6 2 4 2 3" xfId="11199"/>
    <cellStyle name="Вывод 6 2 4 2 4" xfId="11200"/>
    <cellStyle name="Вывод 6 2 4 3" xfId="11201"/>
    <cellStyle name="Вывод 6 2 4 4" xfId="11202"/>
    <cellStyle name="Вывод 6 2 4 5" xfId="11203"/>
    <cellStyle name="Вывод 6 2 4 6" xfId="11204"/>
    <cellStyle name="Вывод 6 2 5" xfId="11205"/>
    <cellStyle name="Вывод 6 2 5 2" xfId="11206"/>
    <cellStyle name="Вывод 6 2 5 3" xfId="11207"/>
    <cellStyle name="Вывод 6 2 5 4" xfId="11208"/>
    <cellStyle name="Вывод 6 2 6" xfId="11209"/>
    <cellStyle name="Вывод 6 2 7" xfId="11210"/>
    <cellStyle name="Вывод 6 2 8" xfId="11211"/>
    <cellStyle name="Вывод 6 2 9" xfId="11212"/>
    <cellStyle name="Вывод 6 3" xfId="2434"/>
    <cellStyle name="Вывод 6 3 10" xfId="11213"/>
    <cellStyle name="Вывод 6 3 11" xfId="11214"/>
    <cellStyle name="Вывод 6 3 2" xfId="2435"/>
    <cellStyle name="Вывод 6 3 2 2" xfId="11215"/>
    <cellStyle name="Вывод 6 3 2 2 2" xfId="11216"/>
    <cellStyle name="Вывод 6 3 2 2 3" xfId="11217"/>
    <cellStyle name="Вывод 6 3 2 2 4" xfId="11218"/>
    <cellStyle name="Вывод 6 3 2 3" xfId="11219"/>
    <cellStyle name="Вывод 6 3 2 4" xfId="11220"/>
    <cellStyle name="Вывод 6 3 2 5" xfId="11221"/>
    <cellStyle name="Вывод 6 3 2 6" xfId="11222"/>
    <cellStyle name="Вывод 6 3 3" xfId="2436"/>
    <cellStyle name="Вывод 6 3 3 2" xfId="11223"/>
    <cellStyle name="Вывод 6 3 3 2 2" xfId="11224"/>
    <cellStyle name="Вывод 6 3 3 2 3" xfId="11225"/>
    <cellStyle name="Вывод 6 3 3 2 4" xfId="11226"/>
    <cellStyle name="Вывод 6 3 3 3" xfId="11227"/>
    <cellStyle name="Вывод 6 3 3 4" xfId="11228"/>
    <cellStyle name="Вывод 6 3 3 5" xfId="11229"/>
    <cellStyle name="Вывод 6 3 3 6" xfId="11230"/>
    <cellStyle name="Вывод 6 3 4" xfId="11231"/>
    <cellStyle name="Вывод 6 3 4 2" xfId="11232"/>
    <cellStyle name="Вывод 6 3 4 3" xfId="11233"/>
    <cellStyle name="Вывод 6 3 4 4" xfId="11234"/>
    <cellStyle name="Вывод 6 3 5" xfId="11235"/>
    <cellStyle name="Вывод 6 3 6" xfId="11236"/>
    <cellStyle name="Вывод 6 3 7" xfId="11237"/>
    <cellStyle name="Вывод 6 3 8" xfId="11238"/>
    <cellStyle name="Вывод 6 3 9" xfId="11239"/>
    <cellStyle name="Вывод 6 4" xfId="2437"/>
    <cellStyle name="Вывод 6 4 2" xfId="11240"/>
    <cellStyle name="Вывод 6 4 3" xfId="11241"/>
    <cellStyle name="Вывод 6 4 4" xfId="11242"/>
    <cellStyle name="Вывод 6 4 5" xfId="11243"/>
    <cellStyle name="Вывод 6 4 6" xfId="11244"/>
    <cellStyle name="Вывод 6 4 7" xfId="11245"/>
    <cellStyle name="Вывод 6 4 8" xfId="11246"/>
    <cellStyle name="Вывод 6 5" xfId="2438"/>
    <cellStyle name="Вывод 6 5 2" xfId="11247"/>
    <cellStyle name="Вывод 6 5 3" xfId="11248"/>
    <cellStyle name="Вывод 6 5 4" xfId="11249"/>
    <cellStyle name="Вывод 6 5 5" xfId="11250"/>
    <cellStyle name="Вывод 6 5 6" xfId="11251"/>
    <cellStyle name="Вывод 6 5 7" xfId="11252"/>
    <cellStyle name="Вывод 6 5 8" xfId="11253"/>
    <cellStyle name="Вывод 6 6" xfId="2439"/>
    <cellStyle name="Вывод 6 6 2" xfId="11254"/>
    <cellStyle name="Вывод 6 6 3" xfId="11255"/>
    <cellStyle name="Вывод 6 6 4" xfId="11256"/>
    <cellStyle name="Вывод 6 6 5" xfId="11257"/>
    <cellStyle name="Вывод 6 6 6" xfId="11258"/>
    <cellStyle name="Вывод 6 6 7" xfId="11259"/>
    <cellStyle name="Вывод 6 6 8" xfId="11260"/>
    <cellStyle name="Вывод 6 7" xfId="11261"/>
    <cellStyle name="Вывод 6 7 2" xfId="11262"/>
    <cellStyle name="Вывод 6 7 3" xfId="11263"/>
    <cellStyle name="Вывод 6 7 4" xfId="11264"/>
    <cellStyle name="Вывод 6 8" xfId="11265"/>
    <cellStyle name="Вывод 6 9" xfId="11266"/>
    <cellStyle name="Вычисление 2" xfId="2440"/>
    <cellStyle name="Вычисление 2 10" xfId="11267"/>
    <cellStyle name="Вычисление 2 11" xfId="11268"/>
    <cellStyle name="Вычисление 2 12" xfId="11269"/>
    <cellStyle name="Вычисление 2 13" xfId="11270"/>
    <cellStyle name="Вычисление 2 14" xfId="11271"/>
    <cellStyle name="Вычисление 2 15" xfId="11272"/>
    <cellStyle name="Вычисление 2 2" xfId="2441"/>
    <cellStyle name="Вычисление 2 2 10" xfId="11273"/>
    <cellStyle name="Вычисление 2 2 11" xfId="11274"/>
    <cellStyle name="Вычисление 2 2 12" xfId="11275"/>
    <cellStyle name="Вычисление 2 2 13" xfId="11276"/>
    <cellStyle name="Вычисление 2 2 14" xfId="11277"/>
    <cellStyle name="Вычисление 2 2 2" xfId="2442"/>
    <cellStyle name="Вычисление 2 2 2 10" xfId="11278"/>
    <cellStyle name="Вычисление 2 2 2 11" xfId="11279"/>
    <cellStyle name="Вычисление 2 2 2 12" xfId="11280"/>
    <cellStyle name="Вычисление 2 2 2 2" xfId="2443"/>
    <cellStyle name="Вычисление 2 2 2 2 2" xfId="11281"/>
    <cellStyle name="Вычисление 2 2 2 2 3" xfId="11282"/>
    <cellStyle name="Вычисление 2 2 2 2 4" xfId="11283"/>
    <cellStyle name="Вычисление 2 2 2 2 5" xfId="11284"/>
    <cellStyle name="Вычисление 2 2 2 3" xfId="2444"/>
    <cellStyle name="Вычисление 2 2 2 3 2" xfId="11285"/>
    <cellStyle name="Вычисление 2 2 2 3 3" xfId="11286"/>
    <cellStyle name="Вычисление 2 2 2 3 4" xfId="11287"/>
    <cellStyle name="Вычисление 2 2 2 3 5" xfId="11288"/>
    <cellStyle name="Вычисление 2 2 2 4" xfId="2445"/>
    <cellStyle name="Вычисление 2 2 2 4 2" xfId="11289"/>
    <cellStyle name="Вычисление 2 2 2 4 3" xfId="11290"/>
    <cellStyle name="Вычисление 2 2 2 4 4" xfId="11291"/>
    <cellStyle name="Вычисление 2 2 2 4 5" xfId="11292"/>
    <cellStyle name="Вычисление 2 2 2 5" xfId="11293"/>
    <cellStyle name="Вычисление 2 2 2 5 2" xfId="11294"/>
    <cellStyle name="Вычисление 2 2 2 5 3" xfId="11295"/>
    <cellStyle name="Вычисление 2 2 2 5 4" xfId="11296"/>
    <cellStyle name="Вычисление 2 2 2 6" xfId="11297"/>
    <cellStyle name="Вычисление 2 2 2 7" xfId="11298"/>
    <cellStyle name="Вычисление 2 2 2 8" xfId="11299"/>
    <cellStyle name="Вычисление 2 2 2 9" xfId="11300"/>
    <cellStyle name="Вычисление 2 2 3" xfId="2446"/>
    <cellStyle name="Вычисление 2 2 3 10" xfId="11301"/>
    <cellStyle name="Вычисление 2 2 3 11" xfId="11302"/>
    <cellStyle name="Вычисление 2 2 3 2" xfId="2447"/>
    <cellStyle name="Вычисление 2 2 3 2 2" xfId="11303"/>
    <cellStyle name="Вычисление 2 2 3 2 3" xfId="11304"/>
    <cellStyle name="Вычисление 2 2 3 2 4" xfId="11305"/>
    <cellStyle name="Вычисление 2 2 3 2 5" xfId="11306"/>
    <cellStyle name="Вычисление 2 2 3 3" xfId="2448"/>
    <cellStyle name="Вычисление 2 2 3 3 2" xfId="11307"/>
    <cellStyle name="Вычисление 2 2 3 3 3" xfId="11308"/>
    <cellStyle name="Вычисление 2 2 3 3 4" xfId="11309"/>
    <cellStyle name="Вычисление 2 2 3 3 5" xfId="11310"/>
    <cellStyle name="Вычисление 2 2 3 4" xfId="11311"/>
    <cellStyle name="Вычисление 2 2 3 4 2" xfId="11312"/>
    <cellStyle name="Вычисление 2 2 3 4 3" xfId="11313"/>
    <cellStyle name="Вычисление 2 2 3 4 4" xfId="11314"/>
    <cellStyle name="Вычисление 2 2 3 5" xfId="11315"/>
    <cellStyle name="Вычисление 2 2 3 6" xfId="11316"/>
    <cellStyle name="Вычисление 2 2 3 7" xfId="11317"/>
    <cellStyle name="Вычисление 2 2 3 8" xfId="11318"/>
    <cellStyle name="Вычисление 2 2 3 9" xfId="11319"/>
    <cellStyle name="Вычисление 2 2 4" xfId="2449"/>
    <cellStyle name="Вычисление 2 2 4 2" xfId="11320"/>
    <cellStyle name="Вычисление 2 2 4 3" xfId="11321"/>
    <cellStyle name="Вычисление 2 2 4 4" xfId="11322"/>
    <cellStyle name="Вычисление 2 2 4 5" xfId="11323"/>
    <cellStyle name="Вычисление 2 2 4 6" xfId="11324"/>
    <cellStyle name="Вычисление 2 2 4 7" xfId="11325"/>
    <cellStyle name="Вычисление 2 2 4 8" xfId="11326"/>
    <cellStyle name="Вычисление 2 2 5" xfId="2450"/>
    <cellStyle name="Вычисление 2 2 5 2" xfId="11327"/>
    <cellStyle name="Вычисление 2 2 5 3" xfId="11328"/>
    <cellStyle name="Вычисление 2 2 5 4" xfId="11329"/>
    <cellStyle name="Вычисление 2 2 5 5" xfId="11330"/>
    <cellStyle name="Вычисление 2 2 5 6" xfId="11331"/>
    <cellStyle name="Вычисление 2 2 5 7" xfId="11332"/>
    <cellStyle name="Вычисление 2 2 5 8" xfId="11333"/>
    <cellStyle name="Вычисление 2 2 6" xfId="2451"/>
    <cellStyle name="Вычисление 2 2 6 2" xfId="11334"/>
    <cellStyle name="Вычисление 2 2 6 3" xfId="11335"/>
    <cellStyle name="Вычисление 2 2 6 4" xfId="11336"/>
    <cellStyle name="Вычисление 2 2 6 5" xfId="11337"/>
    <cellStyle name="Вычисление 2 2 6 6" xfId="11338"/>
    <cellStyle name="Вычисление 2 2 6 7" xfId="11339"/>
    <cellStyle name="Вычисление 2 2 6 8" xfId="11340"/>
    <cellStyle name="Вычисление 2 2 7" xfId="11341"/>
    <cellStyle name="Вычисление 2 2 7 2" xfId="11342"/>
    <cellStyle name="Вычисление 2 2 7 3" xfId="11343"/>
    <cellStyle name="Вычисление 2 2 7 4" xfId="11344"/>
    <cellStyle name="Вычисление 2 2 8" xfId="11345"/>
    <cellStyle name="Вычисление 2 2 9" xfId="11346"/>
    <cellStyle name="Вычисление 2 3" xfId="2452"/>
    <cellStyle name="Вычисление 2 3 10" xfId="11347"/>
    <cellStyle name="Вычисление 2 3 11" xfId="11348"/>
    <cellStyle name="Вычисление 2 3 12" xfId="11349"/>
    <cellStyle name="Вычисление 2 3 2" xfId="2453"/>
    <cellStyle name="Вычисление 2 3 2 2" xfId="11350"/>
    <cellStyle name="Вычисление 2 3 2 2 2" xfId="11351"/>
    <cellStyle name="Вычисление 2 3 2 2 3" xfId="11352"/>
    <cellStyle name="Вычисление 2 3 2 2 4" xfId="11353"/>
    <cellStyle name="Вычисление 2 3 2 3" xfId="11354"/>
    <cellStyle name="Вычисление 2 3 2 4" xfId="11355"/>
    <cellStyle name="Вычисление 2 3 2 5" xfId="11356"/>
    <cellStyle name="Вычисление 2 3 2 6" xfId="11357"/>
    <cellStyle name="Вычисление 2 3 3" xfId="2454"/>
    <cellStyle name="Вычисление 2 3 3 2" xfId="11358"/>
    <cellStyle name="Вычисление 2 3 3 2 2" xfId="11359"/>
    <cellStyle name="Вычисление 2 3 3 2 3" xfId="11360"/>
    <cellStyle name="Вычисление 2 3 3 2 4" xfId="11361"/>
    <cellStyle name="Вычисление 2 3 3 3" xfId="11362"/>
    <cellStyle name="Вычисление 2 3 3 4" xfId="11363"/>
    <cellStyle name="Вычисление 2 3 3 5" xfId="11364"/>
    <cellStyle name="Вычисление 2 3 3 6" xfId="11365"/>
    <cellStyle name="Вычисление 2 3 4" xfId="2455"/>
    <cellStyle name="Вычисление 2 3 4 2" xfId="11366"/>
    <cellStyle name="Вычисление 2 3 4 2 2" xfId="11367"/>
    <cellStyle name="Вычисление 2 3 4 2 3" xfId="11368"/>
    <cellStyle name="Вычисление 2 3 4 2 4" xfId="11369"/>
    <cellStyle name="Вычисление 2 3 4 3" xfId="11370"/>
    <cellStyle name="Вычисление 2 3 4 4" xfId="11371"/>
    <cellStyle name="Вычисление 2 3 4 5" xfId="11372"/>
    <cellStyle name="Вычисление 2 3 4 6" xfId="11373"/>
    <cellStyle name="Вычисление 2 3 5" xfId="11374"/>
    <cellStyle name="Вычисление 2 3 5 2" xfId="11375"/>
    <cellStyle name="Вычисление 2 3 5 3" xfId="11376"/>
    <cellStyle name="Вычисление 2 3 5 4" xfId="11377"/>
    <cellStyle name="Вычисление 2 3 6" xfId="11378"/>
    <cellStyle name="Вычисление 2 3 7" xfId="11379"/>
    <cellStyle name="Вычисление 2 3 8" xfId="11380"/>
    <cellStyle name="Вычисление 2 3 9" xfId="11381"/>
    <cellStyle name="Вычисление 2 4" xfId="2456"/>
    <cellStyle name="Вычисление 2 4 10" xfId="11382"/>
    <cellStyle name="Вычисление 2 4 11" xfId="11383"/>
    <cellStyle name="Вычисление 2 4 2" xfId="2457"/>
    <cellStyle name="Вычисление 2 4 2 2" xfId="11384"/>
    <cellStyle name="Вычисление 2 4 2 2 2" xfId="11385"/>
    <cellStyle name="Вычисление 2 4 2 2 3" xfId="11386"/>
    <cellStyle name="Вычисление 2 4 2 2 4" xfId="11387"/>
    <cellStyle name="Вычисление 2 4 2 3" xfId="11388"/>
    <cellStyle name="Вычисление 2 4 2 4" xfId="11389"/>
    <cellStyle name="Вычисление 2 4 2 5" xfId="11390"/>
    <cellStyle name="Вычисление 2 4 2 6" xfId="11391"/>
    <cellStyle name="Вычисление 2 4 3" xfId="2458"/>
    <cellStyle name="Вычисление 2 4 3 2" xfId="11392"/>
    <cellStyle name="Вычисление 2 4 3 2 2" xfId="11393"/>
    <cellStyle name="Вычисление 2 4 3 2 3" xfId="11394"/>
    <cellStyle name="Вычисление 2 4 3 2 4" xfId="11395"/>
    <cellStyle name="Вычисление 2 4 3 3" xfId="11396"/>
    <cellStyle name="Вычисление 2 4 3 4" xfId="11397"/>
    <cellStyle name="Вычисление 2 4 3 5" xfId="11398"/>
    <cellStyle name="Вычисление 2 4 3 6" xfId="11399"/>
    <cellStyle name="Вычисление 2 4 4" xfId="11400"/>
    <cellStyle name="Вычисление 2 4 4 2" xfId="11401"/>
    <cellStyle name="Вычисление 2 4 4 3" xfId="11402"/>
    <cellStyle name="Вычисление 2 4 4 4" xfId="11403"/>
    <cellStyle name="Вычисление 2 4 5" xfId="11404"/>
    <cellStyle name="Вычисление 2 4 6" xfId="11405"/>
    <cellStyle name="Вычисление 2 4 7" xfId="11406"/>
    <cellStyle name="Вычисление 2 4 8" xfId="11407"/>
    <cellStyle name="Вычисление 2 4 9" xfId="11408"/>
    <cellStyle name="Вычисление 2 5" xfId="2459"/>
    <cellStyle name="Вычисление 2 5 2" xfId="11409"/>
    <cellStyle name="Вычисление 2 5 3" xfId="11410"/>
    <cellStyle name="Вычисление 2 5 4" xfId="11411"/>
    <cellStyle name="Вычисление 2 5 5" xfId="11412"/>
    <cellStyle name="Вычисление 2 5 6" xfId="11413"/>
    <cellStyle name="Вычисление 2 5 7" xfId="11414"/>
    <cellStyle name="Вычисление 2 5 8" xfId="11415"/>
    <cellStyle name="Вычисление 2 6" xfId="2460"/>
    <cellStyle name="Вычисление 2 6 2" xfId="11416"/>
    <cellStyle name="Вычисление 2 6 3" xfId="11417"/>
    <cellStyle name="Вычисление 2 6 4" xfId="11418"/>
    <cellStyle name="Вычисление 2 6 5" xfId="11419"/>
    <cellStyle name="Вычисление 2 6 6" xfId="11420"/>
    <cellStyle name="Вычисление 2 6 7" xfId="11421"/>
    <cellStyle name="Вычисление 2 6 8" xfId="11422"/>
    <cellStyle name="Вычисление 2 7" xfId="2461"/>
    <cellStyle name="Вычисление 2 7 2" xfId="11423"/>
    <cellStyle name="Вычисление 2 7 3" xfId="11424"/>
    <cellStyle name="Вычисление 2 7 4" xfId="11425"/>
    <cellStyle name="Вычисление 2 7 5" xfId="11426"/>
    <cellStyle name="Вычисление 2 7 6" xfId="11427"/>
    <cellStyle name="Вычисление 2 7 7" xfId="11428"/>
    <cellStyle name="Вычисление 2 7 8" xfId="11429"/>
    <cellStyle name="Вычисление 2 8" xfId="11430"/>
    <cellStyle name="Вычисление 2 8 2" xfId="11431"/>
    <cellStyle name="Вычисление 2 8 3" xfId="11432"/>
    <cellStyle name="Вычисление 2 8 4" xfId="11433"/>
    <cellStyle name="Вычисление 2 9" xfId="11434"/>
    <cellStyle name="Вычисление 3" xfId="2462"/>
    <cellStyle name="Вычисление 3 10" xfId="11435"/>
    <cellStyle name="Вычисление 3 11" xfId="11436"/>
    <cellStyle name="Вычисление 3 12" xfId="11437"/>
    <cellStyle name="Вычисление 3 13" xfId="11438"/>
    <cellStyle name="Вычисление 3 14" xfId="11439"/>
    <cellStyle name="Вычисление 3 2" xfId="2463"/>
    <cellStyle name="Вычисление 3 2 10" xfId="11440"/>
    <cellStyle name="Вычисление 3 2 11" xfId="11441"/>
    <cellStyle name="Вычисление 3 2 12" xfId="11442"/>
    <cellStyle name="Вычисление 3 2 2" xfId="2464"/>
    <cellStyle name="Вычисление 3 2 2 2" xfId="11443"/>
    <cellStyle name="Вычисление 3 2 2 2 2" xfId="11444"/>
    <cellStyle name="Вычисление 3 2 2 2 3" xfId="11445"/>
    <cellStyle name="Вычисление 3 2 2 2 4" xfId="11446"/>
    <cellStyle name="Вычисление 3 2 2 3" xfId="11447"/>
    <cellStyle name="Вычисление 3 2 2 4" xfId="11448"/>
    <cellStyle name="Вычисление 3 2 2 5" xfId="11449"/>
    <cellStyle name="Вычисление 3 2 2 6" xfId="11450"/>
    <cellStyle name="Вычисление 3 2 3" xfId="2465"/>
    <cellStyle name="Вычисление 3 2 3 2" xfId="11451"/>
    <cellStyle name="Вычисление 3 2 3 2 2" xfId="11452"/>
    <cellStyle name="Вычисление 3 2 3 2 3" xfId="11453"/>
    <cellStyle name="Вычисление 3 2 3 2 4" xfId="11454"/>
    <cellStyle name="Вычисление 3 2 3 3" xfId="11455"/>
    <cellStyle name="Вычисление 3 2 3 4" xfId="11456"/>
    <cellStyle name="Вычисление 3 2 3 5" xfId="11457"/>
    <cellStyle name="Вычисление 3 2 3 6" xfId="11458"/>
    <cellStyle name="Вычисление 3 2 4" xfId="2466"/>
    <cellStyle name="Вычисление 3 2 4 2" xfId="11459"/>
    <cellStyle name="Вычисление 3 2 4 2 2" xfId="11460"/>
    <cellStyle name="Вычисление 3 2 4 2 3" xfId="11461"/>
    <cellStyle name="Вычисление 3 2 4 2 4" xfId="11462"/>
    <cellStyle name="Вычисление 3 2 4 3" xfId="11463"/>
    <cellStyle name="Вычисление 3 2 4 4" xfId="11464"/>
    <cellStyle name="Вычисление 3 2 4 5" xfId="11465"/>
    <cellStyle name="Вычисление 3 2 4 6" xfId="11466"/>
    <cellStyle name="Вычисление 3 2 5" xfId="11467"/>
    <cellStyle name="Вычисление 3 2 5 2" xfId="11468"/>
    <cellStyle name="Вычисление 3 2 5 3" xfId="11469"/>
    <cellStyle name="Вычисление 3 2 5 4" xfId="11470"/>
    <cellStyle name="Вычисление 3 2 6" xfId="11471"/>
    <cellStyle name="Вычисление 3 2 7" xfId="11472"/>
    <cellStyle name="Вычисление 3 2 8" xfId="11473"/>
    <cellStyle name="Вычисление 3 2 9" xfId="11474"/>
    <cellStyle name="Вычисление 3 3" xfId="2467"/>
    <cellStyle name="Вычисление 3 3 10" xfId="11475"/>
    <cellStyle name="Вычисление 3 3 11" xfId="11476"/>
    <cellStyle name="Вычисление 3 3 2" xfId="2468"/>
    <cellStyle name="Вычисление 3 3 2 2" xfId="11477"/>
    <cellStyle name="Вычисление 3 3 2 2 2" xfId="11478"/>
    <cellStyle name="Вычисление 3 3 2 2 3" xfId="11479"/>
    <cellStyle name="Вычисление 3 3 2 2 4" xfId="11480"/>
    <cellStyle name="Вычисление 3 3 2 3" xfId="11481"/>
    <cellStyle name="Вычисление 3 3 2 4" xfId="11482"/>
    <cellStyle name="Вычисление 3 3 2 5" xfId="11483"/>
    <cellStyle name="Вычисление 3 3 2 6" xfId="11484"/>
    <cellStyle name="Вычисление 3 3 3" xfId="2469"/>
    <cellStyle name="Вычисление 3 3 3 2" xfId="11485"/>
    <cellStyle name="Вычисление 3 3 3 2 2" xfId="11486"/>
    <cellStyle name="Вычисление 3 3 3 2 3" xfId="11487"/>
    <cellStyle name="Вычисление 3 3 3 2 4" xfId="11488"/>
    <cellStyle name="Вычисление 3 3 3 3" xfId="11489"/>
    <cellStyle name="Вычисление 3 3 3 4" xfId="11490"/>
    <cellStyle name="Вычисление 3 3 3 5" xfId="11491"/>
    <cellStyle name="Вычисление 3 3 3 6" xfId="11492"/>
    <cellStyle name="Вычисление 3 3 4" xfId="11493"/>
    <cellStyle name="Вычисление 3 3 4 2" xfId="11494"/>
    <cellStyle name="Вычисление 3 3 4 3" xfId="11495"/>
    <cellStyle name="Вычисление 3 3 4 4" xfId="11496"/>
    <cellStyle name="Вычисление 3 3 5" xfId="11497"/>
    <cellStyle name="Вычисление 3 3 6" xfId="11498"/>
    <cellStyle name="Вычисление 3 3 7" xfId="11499"/>
    <cellStyle name="Вычисление 3 3 8" xfId="11500"/>
    <cellStyle name="Вычисление 3 3 9" xfId="11501"/>
    <cellStyle name="Вычисление 3 4" xfId="2470"/>
    <cellStyle name="Вычисление 3 4 2" xfId="11502"/>
    <cellStyle name="Вычисление 3 4 3" xfId="11503"/>
    <cellStyle name="Вычисление 3 4 4" xfId="11504"/>
    <cellStyle name="Вычисление 3 4 5" xfId="11505"/>
    <cellStyle name="Вычисление 3 4 6" xfId="11506"/>
    <cellStyle name="Вычисление 3 4 7" xfId="11507"/>
    <cellStyle name="Вычисление 3 4 8" xfId="11508"/>
    <cellStyle name="Вычисление 3 5" xfId="2471"/>
    <cellStyle name="Вычисление 3 5 2" xfId="11509"/>
    <cellStyle name="Вычисление 3 5 3" xfId="11510"/>
    <cellStyle name="Вычисление 3 5 4" xfId="11511"/>
    <cellStyle name="Вычисление 3 5 5" xfId="11512"/>
    <cellStyle name="Вычисление 3 5 6" xfId="11513"/>
    <cellStyle name="Вычисление 3 5 7" xfId="11514"/>
    <cellStyle name="Вычисление 3 5 8" xfId="11515"/>
    <cellStyle name="Вычисление 3 6" xfId="2472"/>
    <cellStyle name="Вычисление 3 6 2" xfId="11516"/>
    <cellStyle name="Вычисление 3 6 3" xfId="11517"/>
    <cellStyle name="Вычисление 3 6 4" xfId="11518"/>
    <cellStyle name="Вычисление 3 6 5" xfId="11519"/>
    <cellStyle name="Вычисление 3 6 6" xfId="11520"/>
    <cellStyle name="Вычисление 3 6 7" xfId="11521"/>
    <cellStyle name="Вычисление 3 6 8" xfId="11522"/>
    <cellStyle name="Вычисление 3 7" xfId="11523"/>
    <cellStyle name="Вычисление 3 7 2" xfId="11524"/>
    <cellStyle name="Вычисление 3 7 3" xfId="11525"/>
    <cellStyle name="Вычисление 3 7 4" xfId="11526"/>
    <cellStyle name="Вычисление 3 8" xfId="11527"/>
    <cellStyle name="Вычисление 3 9" xfId="11528"/>
    <cellStyle name="Вычисление 4" xfId="2473"/>
    <cellStyle name="Вычисление 4 10" xfId="11529"/>
    <cellStyle name="Вычисление 4 11" xfId="11530"/>
    <cellStyle name="Вычисление 4 12" xfId="11531"/>
    <cellStyle name="Вычисление 4 13" xfId="11532"/>
    <cellStyle name="Вычисление 4 14" xfId="11533"/>
    <cellStyle name="Вычисление 4 2" xfId="2474"/>
    <cellStyle name="Вычисление 4 2 10" xfId="11534"/>
    <cellStyle name="Вычисление 4 2 11" xfId="11535"/>
    <cellStyle name="Вычисление 4 2 12" xfId="11536"/>
    <cellStyle name="Вычисление 4 2 2" xfId="2475"/>
    <cellStyle name="Вычисление 4 2 2 2" xfId="11537"/>
    <cellStyle name="Вычисление 4 2 2 2 2" xfId="11538"/>
    <cellStyle name="Вычисление 4 2 2 2 3" xfId="11539"/>
    <cellStyle name="Вычисление 4 2 2 2 4" xfId="11540"/>
    <cellStyle name="Вычисление 4 2 2 3" xfId="11541"/>
    <cellStyle name="Вычисление 4 2 2 4" xfId="11542"/>
    <cellStyle name="Вычисление 4 2 2 5" xfId="11543"/>
    <cellStyle name="Вычисление 4 2 2 6" xfId="11544"/>
    <cellStyle name="Вычисление 4 2 3" xfId="2476"/>
    <cellStyle name="Вычисление 4 2 3 2" xfId="11545"/>
    <cellStyle name="Вычисление 4 2 3 2 2" xfId="11546"/>
    <cellStyle name="Вычисление 4 2 3 2 3" xfId="11547"/>
    <cellStyle name="Вычисление 4 2 3 2 4" xfId="11548"/>
    <cellStyle name="Вычисление 4 2 3 3" xfId="11549"/>
    <cellStyle name="Вычисление 4 2 3 4" xfId="11550"/>
    <cellStyle name="Вычисление 4 2 3 5" xfId="11551"/>
    <cellStyle name="Вычисление 4 2 3 6" xfId="11552"/>
    <cellStyle name="Вычисление 4 2 4" xfId="2477"/>
    <cellStyle name="Вычисление 4 2 4 2" xfId="11553"/>
    <cellStyle name="Вычисление 4 2 4 2 2" xfId="11554"/>
    <cellStyle name="Вычисление 4 2 4 2 3" xfId="11555"/>
    <cellStyle name="Вычисление 4 2 4 2 4" xfId="11556"/>
    <cellStyle name="Вычисление 4 2 4 3" xfId="11557"/>
    <cellStyle name="Вычисление 4 2 4 4" xfId="11558"/>
    <cellStyle name="Вычисление 4 2 4 5" xfId="11559"/>
    <cellStyle name="Вычисление 4 2 4 6" xfId="11560"/>
    <cellStyle name="Вычисление 4 2 5" xfId="11561"/>
    <cellStyle name="Вычисление 4 2 5 2" xfId="11562"/>
    <cellStyle name="Вычисление 4 2 5 3" xfId="11563"/>
    <cellStyle name="Вычисление 4 2 5 4" xfId="11564"/>
    <cellStyle name="Вычисление 4 2 6" xfId="11565"/>
    <cellStyle name="Вычисление 4 2 7" xfId="11566"/>
    <cellStyle name="Вычисление 4 2 8" xfId="11567"/>
    <cellStyle name="Вычисление 4 2 9" xfId="11568"/>
    <cellStyle name="Вычисление 4 3" xfId="2478"/>
    <cellStyle name="Вычисление 4 3 10" xfId="11569"/>
    <cellStyle name="Вычисление 4 3 11" xfId="11570"/>
    <cellStyle name="Вычисление 4 3 2" xfId="2479"/>
    <cellStyle name="Вычисление 4 3 2 2" xfId="11571"/>
    <cellStyle name="Вычисление 4 3 2 2 2" xfId="11572"/>
    <cellStyle name="Вычисление 4 3 2 2 3" xfId="11573"/>
    <cellStyle name="Вычисление 4 3 2 2 4" xfId="11574"/>
    <cellStyle name="Вычисление 4 3 2 3" xfId="11575"/>
    <cellStyle name="Вычисление 4 3 2 4" xfId="11576"/>
    <cellStyle name="Вычисление 4 3 2 5" xfId="11577"/>
    <cellStyle name="Вычисление 4 3 2 6" xfId="11578"/>
    <cellStyle name="Вычисление 4 3 3" xfId="2480"/>
    <cellStyle name="Вычисление 4 3 3 2" xfId="11579"/>
    <cellStyle name="Вычисление 4 3 3 2 2" xfId="11580"/>
    <cellStyle name="Вычисление 4 3 3 2 3" xfId="11581"/>
    <cellStyle name="Вычисление 4 3 3 2 4" xfId="11582"/>
    <cellStyle name="Вычисление 4 3 3 3" xfId="11583"/>
    <cellStyle name="Вычисление 4 3 3 4" xfId="11584"/>
    <cellStyle name="Вычисление 4 3 3 5" xfId="11585"/>
    <cellStyle name="Вычисление 4 3 3 6" xfId="11586"/>
    <cellStyle name="Вычисление 4 3 4" xfId="11587"/>
    <cellStyle name="Вычисление 4 3 4 2" xfId="11588"/>
    <cellStyle name="Вычисление 4 3 4 3" xfId="11589"/>
    <cellStyle name="Вычисление 4 3 4 4" xfId="11590"/>
    <cellStyle name="Вычисление 4 3 5" xfId="11591"/>
    <cellStyle name="Вычисление 4 3 6" xfId="11592"/>
    <cellStyle name="Вычисление 4 3 7" xfId="11593"/>
    <cellStyle name="Вычисление 4 3 8" xfId="11594"/>
    <cellStyle name="Вычисление 4 3 9" xfId="11595"/>
    <cellStyle name="Вычисление 4 4" xfId="2481"/>
    <cellStyle name="Вычисление 4 4 2" xfId="11596"/>
    <cellStyle name="Вычисление 4 4 3" xfId="11597"/>
    <cellStyle name="Вычисление 4 4 4" xfId="11598"/>
    <cellStyle name="Вычисление 4 4 5" xfId="11599"/>
    <cellStyle name="Вычисление 4 4 6" xfId="11600"/>
    <cellStyle name="Вычисление 4 4 7" xfId="11601"/>
    <cellStyle name="Вычисление 4 4 8" xfId="11602"/>
    <cellStyle name="Вычисление 4 5" xfId="2482"/>
    <cellStyle name="Вычисление 4 5 2" xfId="11603"/>
    <cellStyle name="Вычисление 4 5 3" xfId="11604"/>
    <cellStyle name="Вычисление 4 5 4" xfId="11605"/>
    <cellStyle name="Вычисление 4 5 5" xfId="11606"/>
    <cellStyle name="Вычисление 4 5 6" xfId="11607"/>
    <cellStyle name="Вычисление 4 5 7" xfId="11608"/>
    <cellStyle name="Вычисление 4 5 8" xfId="11609"/>
    <cellStyle name="Вычисление 4 6" xfId="2483"/>
    <cellStyle name="Вычисление 4 6 2" xfId="11610"/>
    <cellStyle name="Вычисление 4 6 3" xfId="11611"/>
    <cellStyle name="Вычисление 4 6 4" xfId="11612"/>
    <cellStyle name="Вычисление 4 6 5" xfId="11613"/>
    <cellStyle name="Вычисление 4 6 6" xfId="11614"/>
    <cellStyle name="Вычисление 4 6 7" xfId="11615"/>
    <cellStyle name="Вычисление 4 6 8" xfId="11616"/>
    <cellStyle name="Вычисление 4 7" xfId="11617"/>
    <cellStyle name="Вычисление 4 7 2" xfId="11618"/>
    <cellStyle name="Вычисление 4 7 3" xfId="11619"/>
    <cellStyle name="Вычисление 4 7 4" xfId="11620"/>
    <cellStyle name="Вычисление 4 8" xfId="11621"/>
    <cellStyle name="Вычисление 4 9" xfId="11622"/>
    <cellStyle name="Вычисление 5" xfId="2484"/>
    <cellStyle name="Вычисление 5 10" xfId="11623"/>
    <cellStyle name="Вычисление 5 11" xfId="11624"/>
    <cellStyle name="Вычисление 5 12" xfId="11625"/>
    <cellStyle name="Вычисление 5 13" xfId="11626"/>
    <cellStyle name="Вычисление 5 14" xfId="11627"/>
    <cellStyle name="Вычисление 5 2" xfId="2485"/>
    <cellStyle name="Вычисление 5 2 10" xfId="11628"/>
    <cellStyle name="Вычисление 5 2 11" xfId="11629"/>
    <cellStyle name="Вычисление 5 2 12" xfId="11630"/>
    <cellStyle name="Вычисление 5 2 2" xfId="2486"/>
    <cellStyle name="Вычисление 5 2 2 2" xfId="11631"/>
    <cellStyle name="Вычисление 5 2 2 2 2" xfId="11632"/>
    <cellStyle name="Вычисление 5 2 2 2 3" xfId="11633"/>
    <cellStyle name="Вычисление 5 2 2 2 4" xfId="11634"/>
    <cellStyle name="Вычисление 5 2 2 3" xfId="11635"/>
    <cellStyle name="Вычисление 5 2 2 4" xfId="11636"/>
    <cellStyle name="Вычисление 5 2 2 5" xfId="11637"/>
    <cellStyle name="Вычисление 5 2 2 6" xfId="11638"/>
    <cellStyle name="Вычисление 5 2 3" xfId="2487"/>
    <cellStyle name="Вычисление 5 2 3 2" xfId="11639"/>
    <cellStyle name="Вычисление 5 2 3 2 2" xfId="11640"/>
    <cellStyle name="Вычисление 5 2 3 2 3" xfId="11641"/>
    <cellStyle name="Вычисление 5 2 3 2 4" xfId="11642"/>
    <cellStyle name="Вычисление 5 2 3 3" xfId="11643"/>
    <cellStyle name="Вычисление 5 2 3 4" xfId="11644"/>
    <cellStyle name="Вычисление 5 2 3 5" xfId="11645"/>
    <cellStyle name="Вычисление 5 2 3 6" xfId="11646"/>
    <cellStyle name="Вычисление 5 2 4" xfId="2488"/>
    <cellStyle name="Вычисление 5 2 4 2" xfId="11647"/>
    <cellStyle name="Вычисление 5 2 4 2 2" xfId="11648"/>
    <cellStyle name="Вычисление 5 2 4 2 3" xfId="11649"/>
    <cellStyle name="Вычисление 5 2 4 2 4" xfId="11650"/>
    <cellStyle name="Вычисление 5 2 4 3" xfId="11651"/>
    <cellStyle name="Вычисление 5 2 4 4" xfId="11652"/>
    <cellStyle name="Вычисление 5 2 4 5" xfId="11653"/>
    <cellStyle name="Вычисление 5 2 4 6" xfId="11654"/>
    <cellStyle name="Вычисление 5 2 5" xfId="11655"/>
    <cellStyle name="Вычисление 5 2 5 2" xfId="11656"/>
    <cellStyle name="Вычисление 5 2 5 3" xfId="11657"/>
    <cellStyle name="Вычисление 5 2 5 4" xfId="11658"/>
    <cellStyle name="Вычисление 5 2 6" xfId="11659"/>
    <cellStyle name="Вычисление 5 2 7" xfId="11660"/>
    <cellStyle name="Вычисление 5 2 8" xfId="11661"/>
    <cellStyle name="Вычисление 5 2 9" xfId="11662"/>
    <cellStyle name="Вычисление 5 3" xfId="2489"/>
    <cellStyle name="Вычисление 5 3 10" xfId="11663"/>
    <cellStyle name="Вычисление 5 3 11" xfId="11664"/>
    <cellStyle name="Вычисление 5 3 2" xfId="2490"/>
    <cellStyle name="Вычисление 5 3 2 2" xfId="11665"/>
    <cellStyle name="Вычисление 5 3 2 2 2" xfId="11666"/>
    <cellStyle name="Вычисление 5 3 2 2 3" xfId="11667"/>
    <cellStyle name="Вычисление 5 3 2 2 4" xfId="11668"/>
    <cellStyle name="Вычисление 5 3 2 3" xfId="11669"/>
    <cellStyle name="Вычисление 5 3 2 4" xfId="11670"/>
    <cellStyle name="Вычисление 5 3 2 5" xfId="11671"/>
    <cellStyle name="Вычисление 5 3 2 6" xfId="11672"/>
    <cellStyle name="Вычисление 5 3 3" xfId="2491"/>
    <cellStyle name="Вычисление 5 3 3 2" xfId="11673"/>
    <cellStyle name="Вычисление 5 3 3 2 2" xfId="11674"/>
    <cellStyle name="Вычисление 5 3 3 2 3" xfId="11675"/>
    <cellStyle name="Вычисление 5 3 3 2 4" xfId="11676"/>
    <cellStyle name="Вычисление 5 3 3 3" xfId="11677"/>
    <cellStyle name="Вычисление 5 3 3 4" xfId="11678"/>
    <cellStyle name="Вычисление 5 3 3 5" xfId="11679"/>
    <cellStyle name="Вычисление 5 3 3 6" xfId="11680"/>
    <cellStyle name="Вычисление 5 3 4" xfId="11681"/>
    <cellStyle name="Вычисление 5 3 4 2" xfId="11682"/>
    <cellStyle name="Вычисление 5 3 4 3" xfId="11683"/>
    <cellStyle name="Вычисление 5 3 4 4" xfId="11684"/>
    <cellStyle name="Вычисление 5 3 5" xfId="11685"/>
    <cellStyle name="Вычисление 5 3 6" xfId="11686"/>
    <cellStyle name="Вычисление 5 3 7" xfId="11687"/>
    <cellStyle name="Вычисление 5 3 8" xfId="11688"/>
    <cellStyle name="Вычисление 5 3 9" xfId="11689"/>
    <cellStyle name="Вычисление 5 4" xfId="2492"/>
    <cellStyle name="Вычисление 5 4 2" xfId="11690"/>
    <cellStyle name="Вычисление 5 4 3" xfId="11691"/>
    <cellStyle name="Вычисление 5 4 4" xfId="11692"/>
    <cellStyle name="Вычисление 5 4 5" xfId="11693"/>
    <cellStyle name="Вычисление 5 4 6" xfId="11694"/>
    <cellStyle name="Вычисление 5 4 7" xfId="11695"/>
    <cellStyle name="Вычисление 5 4 8" xfId="11696"/>
    <cellStyle name="Вычисление 5 5" xfId="2493"/>
    <cellStyle name="Вычисление 5 5 2" xfId="11697"/>
    <cellStyle name="Вычисление 5 5 3" xfId="11698"/>
    <cellStyle name="Вычисление 5 5 4" xfId="11699"/>
    <cellStyle name="Вычисление 5 5 5" xfId="11700"/>
    <cellStyle name="Вычисление 5 5 6" xfId="11701"/>
    <cellStyle name="Вычисление 5 5 7" xfId="11702"/>
    <cellStyle name="Вычисление 5 5 8" xfId="11703"/>
    <cellStyle name="Вычисление 5 6" xfId="2494"/>
    <cellStyle name="Вычисление 5 6 2" xfId="11704"/>
    <cellStyle name="Вычисление 5 6 3" xfId="11705"/>
    <cellStyle name="Вычисление 5 6 4" xfId="11706"/>
    <cellStyle name="Вычисление 5 6 5" xfId="11707"/>
    <cellStyle name="Вычисление 5 6 6" xfId="11708"/>
    <cellStyle name="Вычисление 5 6 7" xfId="11709"/>
    <cellStyle name="Вычисление 5 6 8" xfId="11710"/>
    <cellStyle name="Вычисление 5 7" xfId="11711"/>
    <cellStyle name="Вычисление 5 7 2" xfId="11712"/>
    <cellStyle name="Вычисление 5 7 3" xfId="11713"/>
    <cellStyle name="Вычисление 5 7 4" xfId="11714"/>
    <cellStyle name="Вычисление 5 8" xfId="11715"/>
    <cellStyle name="Вычисление 5 9" xfId="11716"/>
    <cellStyle name="Вычисление 6" xfId="2495"/>
    <cellStyle name="Вычисление 6 10" xfId="11717"/>
    <cellStyle name="Вычисление 6 11" xfId="11718"/>
    <cellStyle name="Вычисление 6 12" xfId="11719"/>
    <cellStyle name="Вычисление 6 13" xfId="11720"/>
    <cellStyle name="Вычисление 6 14" xfId="11721"/>
    <cellStyle name="Вычисление 6 2" xfId="2496"/>
    <cellStyle name="Вычисление 6 2 10" xfId="11722"/>
    <cellStyle name="Вычисление 6 2 11" xfId="11723"/>
    <cellStyle name="Вычисление 6 2 12" xfId="11724"/>
    <cellStyle name="Вычисление 6 2 2" xfId="2497"/>
    <cellStyle name="Вычисление 6 2 2 2" xfId="11725"/>
    <cellStyle name="Вычисление 6 2 2 2 2" xfId="11726"/>
    <cellStyle name="Вычисление 6 2 2 2 3" xfId="11727"/>
    <cellStyle name="Вычисление 6 2 2 2 4" xfId="11728"/>
    <cellStyle name="Вычисление 6 2 2 3" xfId="11729"/>
    <cellStyle name="Вычисление 6 2 2 4" xfId="11730"/>
    <cellStyle name="Вычисление 6 2 2 5" xfId="11731"/>
    <cellStyle name="Вычисление 6 2 2 6" xfId="11732"/>
    <cellStyle name="Вычисление 6 2 3" xfId="2498"/>
    <cellStyle name="Вычисление 6 2 3 2" xfId="11733"/>
    <cellStyle name="Вычисление 6 2 3 2 2" xfId="11734"/>
    <cellStyle name="Вычисление 6 2 3 2 3" xfId="11735"/>
    <cellStyle name="Вычисление 6 2 3 2 4" xfId="11736"/>
    <cellStyle name="Вычисление 6 2 3 3" xfId="11737"/>
    <cellStyle name="Вычисление 6 2 3 4" xfId="11738"/>
    <cellStyle name="Вычисление 6 2 3 5" xfId="11739"/>
    <cellStyle name="Вычисление 6 2 3 6" xfId="11740"/>
    <cellStyle name="Вычисление 6 2 4" xfId="2499"/>
    <cellStyle name="Вычисление 6 2 4 2" xfId="11741"/>
    <cellStyle name="Вычисление 6 2 4 2 2" xfId="11742"/>
    <cellStyle name="Вычисление 6 2 4 2 3" xfId="11743"/>
    <cellStyle name="Вычисление 6 2 4 2 4" xfId="11744"/>
    <cellStyle name="Вычисление 6 2 4 3" xfId="11745"/>
    <cellStyle name="Вычисление 6 2 4 4" xfId="11746"/>
    <cellStyle name="Вычисление 6 2 4 5" xfId="11747"/>
    <cellStyle name="Вычисление 6 2 4 6" xfId="11748"/>
    <cellStyle name="Вычисление 6 2 5" xfId="11749"/>
    <cellStyle name="Вычисление 6 2 5 2" xfId="11750"/>
    <cellStyle name="Вычисление 6 2 5 3" xfId="11751"/>
    <cellStyle name="Вычисление 6 2 5 4" xfId="11752"/>
    <cellStyle name="Вычисление 6 2 6" xfId="11753"/>
    <cellStyle name="Вычисление 6 2 7" xfId="11754"/>
    <cellStyle name="Вычисление 6 2 8" xfId="11755"/>
    <cellStyle name="Вычисление 6 2 9" xfId="11756"/>
    <cellStyle name="Вычисление 6 3" xfId="2500"/>
    <cellStyle name="Вычисление 6 3 10" xfId="11757"/>
    <cellStyle name="Вычисление 6 3 11" xfId="11758"/>
    <cellStyle name="Вычисление 6 3 2" xfId="2501"/>
    <cellStyle name="Вычисление 6 3 2 2" xfId="11759"/>
    <cellStyle name="Вычисление 6 3 2 2 2" xfId="11760"/>
    <cellStyle name="Вычисление 6 3 2 2 3" xfId="11761"/>
    <cellStyle name="Вычисление 6 3 2 2 4" xfId="11762"/>
    <cellStyle name="Вычисление 6 3 2 3" xfId="11763"/>
    <cellStyle name="Вычисление 6 3 2 4" xfId="11764"/>
    <cellStyle name="Вычисление 6 3 2 5" xfId="11765"/>
    <cellStyle name="Вычисление 6 3 2 6" xfId="11766"/>
    <cellStyle name="Вычисление 6 3 3" xfId="2502"/>
    <cellStyle name="Вычисление 6 3 3 2" xfId="11767"/>
    <cellStyle name="Вычисление 6 3 3 2 2" xfId="11768"/>
    <cellStyle name="Вычисление 6 3 3 2 3" xfId="11769"/>
    <cellStyle name="Вычисление 6 3 3 2 4" xfId="11770"/>
    <cellStyle name="Вычисление 6 3 3 3" xfId="11771"/>
    <cellStyle name="Вычисление 6 3 3 4" xfId="11772"/>
    <cellStyle name="Вычисление 6 3 3 5" xfId="11773"/>
    <cellStyle name="Вычисление 6 3 3 6" xfId="11774"/>
    <cellStyle name="Вычисление 6 3 4" xfId="11775"/>
    <cellStyle name="Вычисление 6 3 4 2" xfId="11776"/>
    <cellStyle name="Вычисление 6 3 4 3" xfId="11777"/>
    <cellStyle name="Вычисление 6 3 4 4" xfId="11778"/>
    <cellStyle name="Вычисление 6 3 5" xfId="11779"/>
    <cellStyle name="Вычисление 6 3 6" xfId="11780"/>
    <cellStyle name="Вычисление 6 3 7" xfId="11781"/>
    <cellStyle name="Вычисление 6 3 8" xfId="11782"/>
    <cellStyle name="Вычисление 6 3 9" xfId="11783"/>
    <cellStyle name="Вычисление 6 4" xfId="2503"/>
    <cellStyle name="Вычисление 6 4 2" xfId="11784"/>
    <cellStyle name="Вычисление 6 4 3" xfId="11785"/>
    <cellStyle name="Вычисление 6 4 4" xfId="11786"/>
    <cellStyle name="Вычисление 6 4 5" xfId="11787"/>
    <cellStyle name="Вычисление 6 4 6" xfId="11788"/>
    <cellStyle name="Вычисление 6 4 7" xfId="11789"/>
    <cellStyle name="Вычисление 6 4 8" xfId="11790"/>
    <cellStyle name="Вычисление 6 5" xfId="2504"/>
    <cellStyle name="Вычисление 6 5 2" xfId="11791"/>
    <cellStyle name="Вычисление 6 5 3" xfId="11792"/>
    <cellStyle name="Вычисление 6 5 4" xfId="11793"/>
    <cellStyle name="Вычисление 6 5 5" xfId="11794"/>
    <cellStyle name="Вычисление 6 5 6" xfId="11795"/>
    <cellStyle name="Вычисление 6 5 7" xfId="11796"/>
    <cellStyle name="Вычисление 6 5 8" xfId="11797"/>
    <cellStyle name="Вычисление 6 6" xfId="2505"/>
    <cellStyle name="Вычисление 6 6 2" xfId="11798"/>
    <cellStyle name="Вычисление 6 6 3" xfId="11799"/>
    <cellStyle name="Вычисление 6 6 4" xfId="11800"/>
    <cellStyle name="Вычисление 6 6 5" xfId="11801"/>
    <cellStyle name="Вычисление 6 6 6" xfId="11802"/>
    <cellStyle name="Вычисление 6 6 7" xfId="11803"/>
    <cellStyle name="Вычисление 6 6 8" xfId="11804"/>
    <cellStyle name="Вычисление 6 7" xfId="11805"/>
    <cellStyle name="Вычисление 6 7 2" xfId="11806"/>
    <cellStyle name="Вычисление 6 7 3" xfId="11807"/>
    <cellStyle name="Вычисление 6 7 4" xfId="11808"/>
    <cellStyle name="Вычисление 6 8" xfId="11809"/>
    <cellStyle name="Вычисление 6 9" xfId="11810"/>
    <cellStyle name="Гиперссылка 2" xfId="2506"/>
    <cellStyle name="Гиперссылка 2 10" xfId="2507"/>
    <cellStyle name="Гиперссылка 2 10 2" xfId="2508"/>
    <cellStyle name="Гиперссылка 2 10 2 2" xfId="2509"/>
    <cellStyle name="Гиперссылка 2 10 2 2 2" xfId="11811"/>
    <cellStyle name="Гиперссылка 2 10 2 2 3" xfId="11812"/>
    <cellStyle name="Гиперссылка 2 10 2 2 4" xfId="11813"/>
    <cellStyle name="Гиперссылка 2 10 2 2 5" xfId="11814"/>
    <cellStyle name="Гиперссылка 2 10 2 2 6" xfId="11815"/>
    <cellStyle name="Гиперссылка 2 10 2 3" xfId="2510"/>
    <cellStyle name="Гиперссылка 2 10 2 3 2" xfId="11816"/>
    <cellStyle name="Гиперссылка 2 10 2 3 3" xfId="11817"/>
    <cellStyle name="Гиперссылка 2 10 2 3 4" xfId="11818"/>
    <cellStyle name="Гиперссылка 2 10 2 3 5" xfId="11819"/>
    <cellStyle name="Гиперссылка 2 10 2 3 6" xfId="11820"/>
    <cellStyle name="Гиперссылка 2 10 2 4" xfId="11821"/>
    <cellStyle name="Гиперссылка 2 10 2 5" xfId="11822"/>
    <cellStyle name="Гиперссылка 2 10 2 6" xfId="11823"/>
    <cellStyle name="Гиперссылка 2 10 2 7" xfId="11824"/>
    <cellStyle name="Гиперссылка 2 10 2 8" xfId="11825"/>
    <cellStyle name="Гиперссылка 2 10 3" xfId="2511"/>
    <cellStyle name="Гиперссылка 2 10 3 2" xfId="11826"/>
    <cellStyle name="Гиперссылка 2 10 3 3" xfId="11827"/>
    <cellStyle name="Гиперссылка 2 10 3 4" xfId="11828"/>
    <cellStyle name="Гиперссылка 2 10 3 5" xfId="11829"/>
    <cellStyle name="Гиперссылка 2 10 3 6" xfId="11830"/>
    <cellStyle name="Гиперссылка 2 10 4" xfId="2512"/>
    <cellStyle name="Гиперссылка 2 10 4 2" xfId="11831"/>
    <cellStyle name="Гиперссылка 2 10 4 3" xfId="11832"/>
    <cellStyle name="Гиперссылка 2 10 4 4" xfId="11833"/>
    <cellStyle name="Гиперссылка 2 10 4 5" xfId="11834"/>
    <cellStyle name="Гиперссылка 2 10 5" xfId="11835"/>
    <cellStyle name="Гиперссылка 2 10 6" xfId="11836"/>
    <cellStyle name="Гиперссылка 2 10 7" xfId="11837"/>
    <cellStyle name="Гиперссылка 2 10 8" xfId="11838"/>
    <cellStyle name="Гиперссылка 2 11" xfId="2513"/>
    <cellStyle name="Гиперссылка 2 11 2" xfId="2514"/>
    <cellStyle name="Гиперссылка 2 11 2 2" xfId="2515"/>
    <cellStyle name="Гиперссылка 2 11 2 3" xfId="2516"/>
    <cellStyle name="Гиперссылка 2 11 3" xfId="2517"/>
    <cellStyle name="Гиперссылка 2 11 4" xfId="2518"/>
    <cellStyle name="Гиперссылка 2 11 4 2" xfId="11839"/>
    <cellStyle name="Гиперссылка 2 11 4 3" xfId="11840"/>
    <cellStyle name="Гиперссылка 2 11 4 4" xfId="11841"/>
    <cellStyle name="Гиперссылка 2 11 4 5" xfId="11842"/>
    <cellStyle name="Гиперссылка 2 11 5" xfId="11843"/>
    <cellStyle name="Гиперссылка 2 11 6" xfId="11844"/>
    <cellStyle name="Гиперссылка 2 11 7" xfId="11845"/>
    <cellStyle name="Гиперссылка 2 11 8" xfId="11846"/>
    <cellStyle name="Гиперссылка 2 12" xfId="2519"/>
    <cellStyle name="Гиперссылка 2 12 2" xfId="2520"/>
    <cellStyle name="Гиперссылка 2 12 2 2" xfId="2521"/>
    <cellStyle name="Гиперссылка 2 12 2 3" xfId="2522"/>
    <cellStyle name="Гиперссылка 2 12 3" xfId="2523"/>
    <cellStyle name="Гиперссылка 2 12 4" xfId="2524"/>
    <cellStyle name="Гиперссылка 2 12 4 2" xfId="11847"/>
    <cellStyle name="Гиперссылка 2 12 4 3" xfId="11848"/>
    <cellStyle name="Гиперссылка 2 12 4 4" xfId="11849"/>
    <cellStyle name="Гиперссылка 2 12 4 5" xfId="11850"/>
    <cellStyle name="Гиперссылка 2 12 5" xfId="11851"/>
    <cellStyle name="Гиперссылка 2 12 6" xfId="11852"/>
    <cellStyle name="Гиперссылка 2 12 7" xfId="11853"/>
    <cellStyle name="Гиперссылка 2 12 8" xfId="11854"/>
    <cellStyle name="Гиперссылка 2 13" xfId="2525"/>
    <cellStyle name="Гиперссылка 2 13 2" xfId="2526"/>
    <cellStyle name="Гиперссылка 2 13 2 2" xfId="11855"/>
    <cellStyle name="Гиперссылка 2 13 2 3" xfId="11856"/>
    <cellStyle name="Гиперссылка 2 13 2 4" xfId="11857"/>
    <cellStyle name="Гиперссылка 2 13 2 5" xfId="11858"/>
    <cellStyle name="Гиперссылка 2 13 2 6" xfId="11859"/>
    <cellStyle name="Гиперссылка 2 13 3" xfId="2527"/>
    <cellStyle name="Гиперссылка 2 13 3 2" xfId="11860"/>
    <cellStyle name="Гиперссылка 2 13 3 3" xfId="11861"/>
    <cellStyle name="Гиперссылка 2 13 3 4" xfId="11862"/>
    <cellStyle name="Гиперссылка 2 13 3 5" xfId="11863"/>
    <cellStyle name="Гиперссылка 2 13 3 6" xfId="11864"/>
    <cellStyle name="Гиперссылка 2 13 4" xfId="11865"/>
    <cellStyle name="Гиперссылка 2 13 5" xfId="11866"/>
    <cellStyle name="Гиперссылка 2 13 6" xfId="11867"/>
    <cellStyle name="Гиперссылка 2 13 7" xfId="11868"/>
    <cellStyle name="Гиперссылка 2 13 8" xfId="11869"/>
    <cellStyle name="Гиперссылка 2 14" xfId="2528"/>
    <cellStyle name="Гиперссылка 2 14 2" xfId="11870"/>
    <cellStyle name="Гиперссылка 2 14 3" xfId="11871"/>
    <cellStyle name="Гиперссылка 2 14 4" xfId="11872"/>
    <cellStyle name="Гиперссылка 2 14 5" xfId="11873"/>
    <cellStyle name="Гиперссылка 2 14 6" xfId="11874"/>
    <cellStyle name="Гиперссылка 2 15" xfId="2529"/>
    <cellStyle name="Гиперссылка 2 15 2" xfId="11875"/>
    <cellStyle name="Гиперссылка 2 15 3" xfId="11876"/>
    <cellStyle name="Гиперссылка 2 15 4" xfId="11877"/>
    <cellStyle name="Гиперссылка 2 15 5" xfId="11878"/>
    <cellStyle name="Гиперссылка 2 16" xfId="11879"/>
    <cellStyle name="Гиперссылка 2 17" xfId="11880"/>
    <cellStyle name="Гиперссылка 2 18" xfId="11881"/>
    <cellStyle name="Гиперссылка 2 19" xfId="11882"/>
    <cellStyle name="Гиперссылка 2 2" xfId="2530"/>
    <cellStyle name="Гиперссылка 2 2 2" xfId="2531"/>
    <cellStyle name="Гиперссылка 2 2 2 2" xfId="2532"/>
    <cellStyle name="Гиперссылка 2 2 2 3" xfId="2533"/>
    <cellStyle name="Гиперссылка 2 2 3" xfId="2534"/>
    <cellStyle name="Гиперссылка 2 2 4" xfId="2535"/>
    <cellStyle name="Гиперссылка 2 2 4 2" xfId="11883"/>
    <cellStyle name="Гиперссылка 2 2 4 3" xfId="11884"/>
    <cellStyle name="Гиперссылка 2 2 4 4" xfId="11885"/>
    <cellStyle name="Гиперссылка 2 2 4 5" xfId="11886"/>
    <cellStyle name="Гиперссылка 2 2 5" xfId="11887"/>
    <cellStyle name="Гиперссылка 2 2 6" xfId="11888"/>
    <cellStyle name="Гиперссылка 2 2 7" xfId="11889"/>
    <cellStyle name="Гиперссылка 2 2 8" xfId="11890"/>
    <cellStyle name="Гиперссылка 2 3" xfId="2536"/>
    <cellStyle name="Гиперссылка 2 3 2" xfId="2537"/>
    <cellStyle name="Гиперссылка 2 3 2 2" xfId="2538"/>
    <cellStyle name="Гиперссылка 2 3 2 3" xfId="2539"/>
    <cellStyle name="Гиперссылка 2 3 3" xfId="2540"/>
    <cellStyle name="Гиперссылка 2 3 4" xfId="2541"/>
    <cellStyle name="Гиперссылка 2 3 4 2" xfId="11891"/>
    <cellStyle name="Гиперссылка 2 3 4 3" xfId="11892"/>
    <cellStyle name="Гиперссылка 2 3 4 4" xfId="11893"/>
    <cellStyle name="Гиперссылка 2 3 4 5" xfId="11894"/>
    <cellStyle name="Гиперссылка 2 3 5" xfId="11895"/>
    <cellStyle name="Гиперссылка 2 3 6" xfId="11896"/>
    <cellStyle name="Гиперссылка 2 3 7" xfId="11897"/>
    <cellStyle name="Гиперссылка 2 3 8" xfId="11898"/>
    <cellStyle name="Гиперссылка 2 4" xfId="2542"/>
    <cellStyle name="Гиперссылка 2 4 2" xfId="2543"/>
    <cellStyle name="Гиперссылка 2 4 2 2" xfId="2544"/>
    <cellStyle name="Гиперссылка 2 4 2 3" xfId="2545"/>
    <cellStyle name="Гиперссылка 2 4 3" xfId="2546"/>
    <cellStyle name="Гиперссылка 2 4 4" xfId="2547"/>
    <cellStyle name="Гиперссылка 2 4 4 2" xfId="11899"/>
    <cellStyle name="Гиперссылка 2 4 4 3" xfId="11900"/>
    <cellStyle name="Гиперссылка 2 4 4 4" xfId="11901"/>
    <cellStyle name="Гиперссылка 2 4 4 5" xfId="11902"/>
    <cellStyle name="Гиперссылка 2 4 5" xfId="11903"/>
    <cellStyle name="Гиперссылка 2 4 6" xfId="11904"/>
    <cellStyle name="Гиперссылка 2 4 7" xfId="11905"/>
    <cellStyle name="Гиперссылка 2 4 8" xfId="11906"/>
    <cellStyle name="Гиперссылка 2 5" xfId="2548"/>
    <cellStyle name="Гиперссылка 2 5 2" xfId="2549"/>
    <cellStyle name="Гиперссылка 2 5 2 2" xfId="2550"/>
    <cellStyle name="Гиперссылка 2 5 2 3" xfId="2551"/>
    <cellStyle name="Гиперссылка 2 5 3" xfId="2552"/>
    <cellStyle name="Гиперссылка 2 5 4" xfId="2553"/>
    <cellStyle name="Гиперссылка 2 5 4 2" xfId="11907"/>
    <cellStyle name="Гиперссылка 2 5 4 3" xfId="11908"/>
    <cellStyle name="Гиперссылка 2 5 4 4" xfId="11909"/>
    <cellStyle name="Гиперссылка 2 5 4 5" xfId="11910"/>
    <cellStyle name="Гиперссылка 2 5 5" xfId="11911"/>
    <cellStyle name="Гиперссылка 2 5 6" xfId="11912"/>
    <cellStyle name="Гиперссылка 2 5 7" xfId="11913"/>
    <cellStyle name="Гиперссылка 2 5 8" xfId="11914"/>
    <cellStyle name="Гиперссылка 2 6" xfId="2554"/>
    <cellStyle name="Гиперссылка 2 6 2" xfId="2555"/>
    <cellStyle name="Гиперссылка 2 6 2 2" xfId="2556"/>
    <cellStyle name="Гиперссылка 2 6 2 2 2" xfId="11915"/>
    <cellStyle name="Гиперссылка 2 6 2 2 3" xfId="11916"/>
    <cellStyle name="Гиперссылка 2 6 2 2 4" xfId="11917"/>
    <cellStyle name="Гиперссылка 2 6 2 2 5" xfId="11918"/>
    <cellStyle name="Гиперссылка 2 6 2 2 6" xfId="11919"/>
    <cellStyle name="Гиперссылка 2 6 2 3" xfId="2557"/>
    <cellStyle name="Гиперссылка 2 6 2 3 2" xfId="11920"/>
    <cellStyle name="Гиперссылка 2 6 2 3 3" xfId="11921"/>
    <cellStyle name="Гиперссылка 2 6 2 3 4" xfId="11922"/>
    <cellStyle name="Гиперссылка 2 6 2 3 5" xfId="11923"/>
    <cellStyle name="Гиперссылка 2 6 2 3 6" xfId="11924"/>
    <cellStyle name="Гиперссылка 2 6 2 4" xfId="11925"/>
    <cellStyle name="Гиперссылка 2 6 2 5" xfId="11926"/>
    <cellStyle name="Гиперссылка 2 6 2 6" xfId="11927"/>
    <cellStyle name="Гиперссылка 2 6 2 7" xfId="11928"/>
    <cellStyle name="Гиперссылка 2 6 2 8" xfId="11929"/>
    <cellStyle name="Гиперссылка 2 6 3" xfId="2558"/>
    <cellStyle name="Гиперссылка 2 6 3 2" xfId="11930"/>
    <cellStyle name="Гиперссылка 2 6 3 3" xfId="11931"/>
    <cellStyle name="Гиперссылка 2 6 3 4" xfId="11932"/>
    <cellStyle name="Гиперссылка 2 6 3 5" xfId="11933"/>
    <cellStyle name="Гиперссылка 2 6 3 6" xfId="11934"/>
    <cellStyle name="Гиперссылка 2 6 4" xfId="2559"/>
    <cellStyle name="Гиперссылка 2 6 4 2" xfId="11935"/>
    <cellStyle name="Гиперссылка 2 6 4 3" xfId="11936"/>
    <cellStyle name="Гиперссылка 2 6 4 4" xfId="11937"/>
    <cellStyle name="Гиперссылка 2 6 4 5" xfId="11938"/>
    <cellStyle name="Гиперссылка 2 6 5" xfId="11939"/>
    <cellStyle name="Гиперссылка 2 6 6" xfId="11940"/>
    <cellStyle name="Гиперссылка 2 6 7" xfId="11941"/>
    <cellStyle name="Гиперссылка 2 6 8" xfId="11942"/>
    <cellStyle name="Гиперссылка 2 7" xfId="2560"/>
    <cellStyle name="Гиперссылка 2 7 2" xfId="2561"/>
    <cellStyle name="Гиперссылка 2 7 2 2" xfId="2562"/>
    <cellStyle name="Гиперссылка 2 7 2 2 2" xfId="11943"/>
    <cellStyle name="Гиперссылка 2 7 2 2 3" xfId="11944"/>
    <cellStyle name="Гиперссылка 2 7 2 2 4" xfId="11945"/>
    <cellStyle name="Гиперссылка 2 7 2 2 5" xfId="11946"/>
    <cellStyle name="Гиперссылка 2 7 2 2 6" xfId="11947"/>
    <cellStyle name="Гиперссылка 2 7 2 3" xfId="2563"/>
    <cellStyle name="Гиперссылка 2 7 2 3 2" xfId="11948"/>
    <cellStyle name="Гиперссылка 2 7 2 3 3" xfId="11949"/>
    <cellStyle name="Гиперссылка 2 7 2 3 4" xfId="11950"/>
    <cellStyle name="Гиперссылка 2 7 2 3 5" xfId="11951"/>
    <cellStyle name="Гиперссылка 2 7 2 3 6" xfId="11952"/>
    <cellStyle name="Гиперссылка 2 7 2 4" xfId="11953"/>
    <cellStyle name="Гиперссылка 2 7 2 5" xfId="11954"/>
    <cellStyle name="Гиперссылка 2 7 2 6" xfId="11955"/>
    <cellStyle name="Гиперссылка 2 7 2 7" xfId="11956"/>
    <cellStyle name="Гиперссылка 2 7 2 8" xfId="11957"/>
    <cellStyle name="Гиперссылка 2 7 3" xfId="2564"/>
    <cellStyle name="Гиперссылка 2 7 3 2" xfId="11958"/>
    <cellStyle name="Гиперссылка 2 7 3 3" xfId="11959"/>
    <cellStyle name="Гиперссылка 2 7 3 4" xfId="11960"/>
    <cellStyle name="Гиперссылка 2 7 3 5" xfId="11961"/>
    <cellStyle name="Гиперссылка 2 7 3 6" xfId="11962"/>
    <cellStyle name="Гиперссылка 2 7 4" xfId="2565"/>
    <cellStyle name="Гиперссылка 2 7 4 2" xfId="11963"/>
    <cellStyle name="Гиперссылка 2 7 4 3" xfId="11964"/>
    <cellStyle name="Гиперссылка 2 7 4 4" xfId="11965"/>
    <cellStyle name="Гиперссылка 2 7 4 5" xfId="11966"/>
    <cellStyle name="Гиперссылка 2 7 5" xfId="11967"/>
    <cellStyle name="Гиперссылка 2 7 6" xfId="11968"/>
    <cellStyle name="Гиперссылка 2 7 7" xfId="11969"/>
    <cellStyle name="Гиперссылка 2 7 8" xfId="11970"/>
    <cellStyle name="Гиперссылка 2 8" xfId="2566"/>
    <cellStyle name="Гиперссылка 2 8 2" xfId="2567"/>
    <cellStyle name="Гиперссылка 2 8 2 2" xfId="2568"/>
    <cellStyle name="Гиперссылка 2 8 2 2 2" xfId="11971"/>
    <cellStyle name="Гиперссылка 2 8 2 2 3" xfId="11972"/>
    <cellStyle name="Гиперссылка 2 8 2 2 4" xfId="11973"/>
    <cellStyle name="Гиперссылка 2 8 2 2 5" xfId="11974"/>
    <cellStyle name="Гиперссылка 2 8 2 2 6" xfId="11975"/>
    <cellStyle name="Гиперссылка 2 8 2 3" xfId="2569"/>
    <cellStyle name="Гиперссылка 2 8 2 3 2" xfId="11976"/>
    <cellStyle name="Гиперссылка 2 8 2 3 3" xfId="11977"/>
    <cellStyle name="Гиперссылка 2 8 2 3 4" xfId="11978"/>
    <cellStyle name="Гиперссылка 2 8 2 3 5" xfId="11979"/>
    <cellStyle name="Гиперссылка 2 8 2 3 6" xfId="11980"/>
    <cellStyle name="Гиперссылка 2 8 2 4" xfId="11981"/>
    <cellStyle name="Гиперссылка 2 8 2 5" xfId="11982"/>
    <cellStyle name="Гиперссылка 2 8 2 6" xfId="11983"/>
    <cellStyle name="Гиперссылка 2 8 2 7" xfId="11984"/>
    <cellStyle name="Гиперссылка 2 8 2 8" xfId="11985"/>
    <cellStyle name="Гиперссылка 2 8 3" xfId="2570"/>
    <cellStyle name="Гиперссылка 2 8 3 2" xfId="11986"/>
    <cellStyle name="Гиперссылка 2 8 3 3" xfId="11987"/>
    <cellStyle name="Гиперссылка 2 8 3 4" xfId="11988"/>
    <cellStyle name="Гиперссылка 2 8 3 5" xfId="11989"/>
    <cellStyle name="Гиперссылка 2 8 3 6" xfId="11990"/>
    <cellStyle name="Гиперссылка 2 8 4" xfId="2571"/>
    <cellStyle name="Гиперссылка 2 8 4 2" xfId="11991"/>
    <cellStyle name="Гиперссылка 2 8 4 3" xfId="11992"/>
    <cellStyle name="Гиперссылка 2 8 4 4" xfId="11993"/>
    <cellStyle name="Гиперссылка 2 8 4 5" xfId="11994"/>
    <cellStyle name="Гиперссылка 2 8 5" xfId="11995"/>
    <cellStyle name="Гиперссылка 2 8 6" xfId="11996"/>
    <cellStyle name="Гиперссылка 2 8 7" xfId="11997"/>
    <cellStyle name="Гиперссылка 2 8 8" xfId="11998"/>
    <cellStyle name="Гиперссылка 2 9" xfId="2572"/>
    <cellStyle name="Гиперссылка 2 9 2" xfId="2573"/>
    <cellStyle name="Гиперссылка 2 9 2 2" xfId="2574"/>
    <cellStyle name="Гиперссылка 2 9 2 2 2" xfId="11999"/>
    <cellStyle name="Гиперссылка 2 9 2 2 3" xfId="12000"/>
    <cellStyle name="Гиперссылка 2 9 2 2 4" xfId="12001"/>
    <cellStyle name="Гиперссылка 2 9 2 2 5" xfId="12002"/>
    <cellStyle name="Гиперссылка 2 9 2 2 6" xfId="12003"/>
    <cellStyle name="Гиперссылка 2 9 2 3" xfId="2575"/>
    <cellStyle name="Гиперссылка 2 9 2 3 2" xfId="12004"/>
    <cellStyle name="Гиперссылка 2 9 2 3 3" xfId="12005"/>
    <cellStyle name="Гиперссылка 2 9 2 3 4" xfId="12006"/>
    <cellStyle name="Гиперссылка 2 9 2 3 5" xfId="12007"/>
    <cellStyle name="Гиперссылка 2 9 2 3 6" xfId="12008"/>
    <cellStyle name="Гиперссылка 2 9 2 4" xfId="12009"/>
    <cellStyle name="Гиперссылка 2 9 2 5" xfId="12010"/>
    <cellStyle name="Гиперссылка 2 9 2 6" xfId="12011"/>
    <cellStyle name="Гиперссылка 2 9 2 7" xfId="12012"/>
    <cellStyle name="Гиперссылка 2 9 2 8" xfId="12013"/>
    <cellStyle name="Гиперссылка 2 9 3" xfId="2576"/>
    <cellStyle name="Гиперссылка 2 9 3 2" xfId="12014"/>
    <cellStyle name="Гиперссылка 2 9 3 3" xfId="12015"/>
    <cellStyle name="Гиперссылка 2 9 3 4" xfId="12016"/>
    <cellStyle name="Гиперссылка 2 9 3 5" xfId="12017"/>
    <cellStyle name="Гиперссылка 2 9 3 6" xfId="12018"/>
    <cellStyle name="Гиперссылка 2 9 4" xfId="2577"/>
    <cellStyle name="Гиперссылка 2 9 4 2" xfId="12019"/>
    <cellStyle name="Гиперссылка 2 9 4 3" xfId="12020"/>
    <cellStyle name="Гиперссылка 2 9 4 4" xfId="12021"/>
    <cellStyle name="Гиперссылка 2 9 4 5" xfId="12022"/>
    <cellStyle name="Гиперссылка 2 9 5" xfId="12023"/>
    <cellStyle name="Гиперссылка 2 9 6" xfId="12024"/>
    <cellStyle name="Гиперссылка 2 9 7" xfId="12025"/>
    <cellStyle name="Гиперссылка 2 9 8" xfId="12026"/>
    <cellStyle name="Гиперссылка 3" xfId="2578"/>
    <cellStyle name="Гиперссылка 3 2" xfId="2579"/>
    <cellStyle name="Гиперссылка 3 2 2" xfId="2580"/>
    <cellStyle name="Гиперссылка 3 2 2 2" xfId="12027"/>
    <cellStyle name="Гиперссылка 3 2 2 3" xfId="12028"/>
    <cellStyle name="Гиперссылка 3 2 2 4" xfId="12029"/>
    <cellStyle name="Гиперссылка 3 2 2 5" xfId="12030"/>
    <cellStyle name="Гиперссылка 3 2 2 6" xfId="12031"/>
    <cellStyle name="Гиперссылка 3 2 3" xfId="2581"/>
    <cellStyle name="Гиперссылка 3 2 3 2" xfId="12032"/>
    <cellStyle name="Гиперссылка 3 2 3 3" xfId="12033"/>
    <cellStyle name="Гиперссылка 3 2 3 4" xfId="12034"/>
    <cellStyle name="Гиперссылка 3 2 3 5" xfId="12035"/>
    <cellStyle name="Гиперссылка 3 2 3 6" xfId="12036"/>
    <cellStyle name="Гиперссылка 3 2 4" xfId="12037"/>
    <cellStyle name="Гиперссылка 3 2 5" xfId="12038"/>
    <cellStyle name="Гиперссылка 3 2 6" xfId="12039"/>
    <cellStyle name="Гиперссылка 3 2 7" xfId="12040"/>
    <cellStyle name="Гиперссылка 3 2 8" xfId="12041"/>
    <cellStyle name="Гиперссылка 3 3" xfId="2582"/>
    <cellStyle name="Гиперссылка 3 3 2" xfId="12042"/>
    <cellStyle name="Гиперссылка 3 3 3" xfId="12043"/>
    <cellStyle name="Гиперссылка 3 3 4" xfId="12044"/>
    <cellStyle name="Гиперссылка 3 3 5" xfId="12045"/>
    <cellStyle name="Гиперссылка 3 3 6" xfId="12046"/>
    <cellStyle name="Гиперссылка 3 4" xfId="2583"/>
    <cellStyle name="Гиперссылка 3 4 2" xfId="12047"/>
    <cellStyle name="Гиперссылка 3 4 3" xfId="12048"/>
    <cellStyle name="Гиперссылка 3 4 4" xfId="12049"/>
    <cellStyle name="Гиперссылка 3 4 5" xfId="12050"/>
    <cellStyle name="Гиперссылка 3 5" xfId="12051"/>
    <cellStyle name="Гиперссылка 3 6" xfId="12052"/>
    <cellStyle name="Гиперссылка 3 7" xfId="12053"/>
    <cellStyle name="Гиперссылка 3 8" xfId="12054"/>
    <cellStyle name="Денежный 2" xfId="2584"/>
    <cellStyle name="Денежный 2 2" xfId="12055"/>
    <cellStyle name="Денежный 2 3" xfId="12056"/>
    <cellStyle name="Денежный 2 4" xfId="12057"/>
    <cellStyle name="Денежный 2 5" xfId="12058"/>
    <cellStyle name="Денежный 2 6" xfId="12059"/>
    <cellStyle name="Денежный 2 7" xfId="12060"/>
    <cellStyle name="Денежный 2 8" xfId="12061"/>
    <cellStyle name="Денежный 2 9" xfId="12062"/>
    <cellStyle name="Денежный 3" xfId="2585"/>
    <cellStyle name="Денежный 3 2" xfId="12063"/>
    <cellStyle name="Денежный 3 3" xfId="12064"/>
    <cellStyle name="Денежный 3 4" xfId="12065"/>
    <cellStyle name="Денежный 3 5" xfId="12066"/>
    <cellStyle name="Денежный 3 6" xfId="12067"/>
    <cellStyle name="Денежный 3 7" xfId="12068"/>
    <cellStyle name="Денежный 3 8" xfId="12069"/>
    <cellStyle name="Денежный 3 9" xfId="12070"/>
    <cellStyle name="Заголовок 1 2" xfId="2586"/>
    <cellStyle name="Заголовок 1 2 2" xfId="2587"/>
    <cellStyle name="Заголовок 1 2 2 2" xfId="2588"/>
    <cellStyle name="Заголовок 1 2 2 2 2" xfId="2589"/>
    <cellStyle name="Заголовок 1 2 2 2 3" xfId="2590"/>
    <cellStyle name="Заголовок 1 2 2 3" xfId="2591"/>
    <cellStyle name="Заголовок 1 2 2 4" xfId="2592"/>
    <cellStyle name="Заголовок 1 2 2 4 2" xfId="12071"/>
    <cellStyle name="Заголовок 1 2 2 4 3" xfId="12072"/>
    <cellStyle name="Заголовок 1 2 2 4 4" xfId="12073"/>
    <cellStyle name="Заголовок 1 2 2 4 5" xfId="12074"/>
    <cellStyle name="Заголовок 1 2 2 5" xfId="12075"/>
    <cellStyle name="Заголовок 1 2 2 6" xfId="12076"/>
    <cellStyle name="Заголовок 1 2 2 7" xfId="12077"/>
    <cellStyle name="Заголовок 1 2 2 8" xfId="12078"/>
    <cellStyle name="Заголовок 1 2 3" xfId="2593"/>
    <cellStyle name="Заголовок 1 2 3 2" xfId="2594"/>
    <cellStyle name="Заголовок 1 2 3 2 2" xfId="12079"/>
    <cellStyle name="Заголовок 1 2 3 2 3" xfId="12080"/>
    <cellStyle name="Заголовок 1 2 3 2 4" xfId="12081"/>
    <cellStyle name="Заголовок 1 2 3 2 5" xfId="12082"/>
    <cellStyle name="Заголовок 1 2 3 2 6" xfId="12083"/>
    <cellStyle name="Заголовок 1 2 3 3" xfId="2595"/>
    <cellStyle name="Заголовок 1 2 3 3 2" xfId="12084"/>
    <cellStyle name="Заголовок 1 2 3 3 3" xfId="12085"/>
    <cellStyle name="Заголовок 1 2 3 3 4" xfId="12086"/>
    <cellStyle name="Заголовок 1 2 3 3 5" xfId="12087"/>
    <cellStyle name="Заголовок 1 2 3 3 6" xfId="12088"/>
    <cellStyle name="Заголовок 1 2 3 4" xfId="12089"/>
    <cellStyle name="Заголовок 1 2 3 5" xfId="12090"/>
    <cellStyle name="Заголовок 1 2 3 6" xfId="12091"/>
    <cellStyle name="Заголовок 1 2 3 7" xfId="12092"/>
    <cellStyle name="Заголовок 1 2 3 8" xfId="12093"/>
    <cellStyle name="Заголовок 1 2 4" xfId="2596"/>
    <cellStyle name="Заголовок 1 2 4 2" xfId="12094"/>
    <cellStyle name="Заголовок 1 2 4 3" xfId="12095"/>
    <cellStyle name="Заголовок 1 2 4 4" xfId="12096"/>
    <cellStyle name="Заголовок 1 2 4 5" xfId="12097"/>
    <cellStyle name="Заголовок 1 2 4 6" xfId="12098"/>
    <cellStyle name="Заголовок 1 2 5" xfId="2597"/>
    <cellStyle name="Заголовок 1 2 5 2" xfId="12099"/>
    <cellStyle name="Заголовок 1 2 5 3" xfId="12100"/>
    <cellStyle name="Заголовок 1 2 5 4" xfId="12101"/>
    <cellStyle name="Заголовок 1 2 5 5" xfId="12102"/>
    <cellStyle name="Заголовок 1 2 6" xfId="12103"/>
    <cellStyle name="Заголовок 1 2 7" xfId="12104"/>
    <cellStyle name="Заголовок 1 2 8" xfId="12105"/>
    <cellStyle name="Заголовок 1 2 9" xfId="12106"/>
    <cellStyle name="Заголовок 1 3" xfId="2598"/>
    <cellStyle name="Заголовок 1 3 2" xfId="2599"/>
    <cellStyle name="Заголовок 1 3 2 2" xfId="2600"/>
    <cellStyle name="Заголовок 1 3 2 2 2" xfId="12107"/>
    <cellStyle name="Заголовок 1 3 2 2 3" xfId="12108"/>
    <cellStyle name="Заголовок 1 3 2 2 4" xfId="12109"/>
    <cellStyle name="Заголовок 1 3 2 2 5" xfId="12110"/>
    <cellStyle name="Заголовок 1 3 2 2 6" xfId="12111"/>
    <cellStyle name="Заголовок 1 3 2 3" xfId="2601"/>
    <cellStyle name="Заголовок 1 3 2 3 2" xfId="12112"/>
    <cellStyle name="Заголовок 1 3 2 3 3" xfId="12113"/>
    <cellStyle name="Заголовок 1 3 2 3 4" xfId="12114"/>
    <cellStyle name="Заголовок 1 3 2 3 5" xfId="12115"/>
    <cellStyle name="Заголовок 1 3 2 3 6" xfId="12116"/>
    <cellStyle name="Заголовок 1 3 2 4" xfId="12117"/>
    <cellStyle name="Заголовок 1 3 2 5" xfId="12118"/>
    <cellStyle name="Заголовок 1 3 2 6" xfId="12119"/>
    <cellStyle name="Заголовок 1 3 2 7" xfId="12120"/>
    <cellStyle name="Заголовок 1 3 2 8" xfId="12121"/>
    <cellStyle name="Заголовок 1 3 3" xfId="2602"/>
    <cellStyle name="Заголовок 1 3 3 2" xfId="12122"/>
    <cellStyle name="Заголовок 1 3 3 3" xfId="12123"/>
    <cellStyle name="Заголовок 1 3 3 4" xfId="12124"/>
    <cellStyle name="Заголовок 1 3 3 5" xfId="12125"/>
    <cellStyle name="Заголовок 1 3 3 6" xfId="12126"/>
    <cellStyle name="Заголовок 1 3 4" xfId="2603"/>
    <cellStyle name="Заголовок 1 3 4 2" xfId="12127"/>
    <cellStyle name="Заголовок 1 3 4 3" xfId="12128"/>
    <cellStyle name="Заголовок 1 3 4 4" xfId="12129"/>
    <cellStyle name="Заголовок 1 3 4 5" xfId="12130"/>
    <cellStyle name="Заголовок 1 3 5" xfId="12131"/>
    <cellStyle name="Заголовок 1 3 6" xfId="12132"/>
    <cellStyle name="Заголовок 1 3 7" xfId="12133"/>
    <cellStyle name="Заголовок 1 3 8" xfId="12134"/>
    <cellStyle name="Заголовок 1 4" xfId="2604"/>
    <cellStyle name="Заголовок 1 4 2" xfId="2605"/>
    <cellStyle name="Заголовок 1 4 2 2" xfId="2606"/>
    <cellStyle name="Заголовок 1 4 2 2 2" xfId="12135"/>
    <cellStyle name="Заголовок 1 4 2 2 3" xfId="12136"/>
    <cellStyle name="Заголовок 1 4 2 2 4" xfId="12137"/>
    <cellStyle name="Заголовок 1 4 2 2 5" xfId="12138"/>
    <cellStyle name="Заголовок 1 4 2 2 6" xfId="12139"/>
    <cellStyle name="Заголовок 1 4 2 3" xfId="2607"/>
    <cellStyle name="Заголовок 1 4 2 3 2" xfId="12140"/>
    <cellStyle name="Заголовок 1 4 2 3 3" xfId="12141"/>
    <cellStyle name="Заголовок 1 4 2 3 4" xfId="12142"/>
    <cellStyle name="Заголовок 1 4 2 3 5" xfId="12143"/>
    <cellStyle name="Заголовок 1 4 2 3 6" xfId="12144"/>
    <cellStyle name="Заголовок 1 4 2 4" xfId="12145"/>
    <cellStyle name="Заголовок 1 4 2 5" xfId="12146"/>
    <cellStyle name="Заголовок 1 4 2 6" xfId="12147"/>
    <cellStyle name="Заголовок 1 4 2 7" xfId="12148"/>
    <cellStyle name="Заголовок 1 4 2 8" xfId="12149"/>
    <cellStyle name="Заголовок 1 4 3" xfId="2608"/>
    <cellStyle name="Заголовок 1 4 3 2" xfId="12150"/>
    <cellStyle name="Заголовок 1 4 3 3" xfId="12151"/>
    <cellStyle name="Заголовок 1 4 3 4" xfId="12152"/>
    <cellStyle name="Заголовок 1 4 3 5" xfId="12153"/>
    <cellStyle name="Заголовок 1 4 3 6" xfId="12154"/>
    <cellStyle name="Заголовок 1 4 4" xfId="2609"/>
    <cellStyle name="Заголовок 1 4 4 2" xfId="12155"/>
    <cellStyle name="Заголовок 1 4 4 3" xfId="12156"/>
    <cellStyle name="Заголовок 1 4 4 4" xfId="12157"/>
    <cellStyle name="Заголовок 1 4 4 5" xfId="12158"/>
    <cellStyle name="Заголовок 1 4 5" xfId="12159"/>
    <cellStyle name="Заголовок 1 4 6" xfId="12160"/>
    <cellStyle name="Заголовок 1 4 7" xfId="12161"/>
    <cellStyle name="Заголовок 1 4 8" xfId="12162"/>
    <cellStyle name="Заголовок 1 5" xfId="2610"/>
    <cellStyle name="Заголовок 1 5 2" xfId="2611"/>
    <cellStyle name="Заголовок 1 5 2 2" xfId="2612"/>
    <cellStyle name="Заголовок 1 5 2 2 2" xfId="12163"/>
    <cellStyle name="Заголовок 1 5 2 2 3" xfId="12164"/>
    <cellStyle name="Заголовок 1 5 2 2 4" xfId="12165"/>
    <cellStyle name="Заголовок 1 5 2 2 5" xfId="12166"/>
    <cellStyle name="Заголовок 1 5 2 2 6" xfId="12167"/>
    <cellStyle name="Заголовок 1 5 2 3" xfId="2613"/>
    <cellStyle name="Заголовок 1 5 2 3 2" xfId="12168"/>
    <cellStyle name="Заголовок 1 5 2 3 3" xfId="12169"/>
    <cellStyle name="Заголовок 1 5 2 3 4" xfId="12170"/>
    <cellStyle name="Заголовок 1 5 2 3 5" xfId="12171"/>
    <cellStyle name="Заголовок 1 5 2 3 6" xfId="12172"/>
    <cellStyle name="Заголовок 1 5 2 4" xfId="12173"/>
    <cellStyle name="Заголовок 1 5 2 5" xfId="12174"/>
    <cellStyle name="Заголовок 1 5 2 6" xfId="12175"/>
    <cellStyle name="Заголовок 1 5 2 7" xfId="12176"/>
    <cellStyle name="Заголовок 1 5 2 8" xfId="12177"/>
    <cellStyle name="Заголовок 1 5 3" xfId="2614"/>
    <cellStyle name="Заголовок 1 5 3 2" xfId="12178"/>
    <cellStyle name="Заголовок 1 5 3 3" xfId="12179"/>
    <cellStyle name="Заголовок 1 5 3 4" xfId="12180"/>
    <cellStyle name="Заголовок 1 5 3 5" xfId="12181"/>
    <cellStyle name="Заголовок 1 5 3 6" xfId="12182"/>
    <cellStyle name="Заголовок 1 5 4" xfId="2615"/>
    <cellStyle name="Заголовок 1 5 4 2" xfId="12183"/>
    <cellStyle name="Заголовок 1 5 4 3" xfId="12184"/>
    <cellStyle name="Заголовок 1 5 4 4" xfId="12185"/>
    <cellStyle name="Заголовок 1 5 4 5" xfId="12186"/>
    <cellStyle name="Заголовок 1 5 5" xfId="12187"/>
    <cellStyle name="Заголовок 1 5 6" xfId="12188"/>
    <cellStyle name="Заголовок 1 5 7" xfId="12189"/>
    <cellStyle name="Заголовок 1 5 8" xfId="12190"/>
    <cellStyle name="Заголовок 1 6" xfId="2616"/>
    <cellStyle name="Заголовок 1 6 2" xfId="2617"/>
    <cellStyle name="Заголовок 1 6 2 2" xfId="2618"/>
    <cellStyle name="Заголовок 1 6 2 2 2" xfId="12191"/>
    <cellStyle name="Заголовок 1 6 2 2 3" xfId="12192"/>
    <cellStyle name="Заголовок 1 6 2 2 4" xfId="12193"/>
    <cellStyle name="Заголовок 1 6 2 2 5" xfId="12194"/>
    <cellStyle name="Заголовок 1 6 2 2 6" xfId="12195"/>
    <cellStyle name="Заголовок 1 6 2 3" xfId="2619"/>
    <cellStyle name="Заголовок 1 6 2 3 2" xfId="12196"/>
    <cellStyle name="Заголовок 1 6 2 3 3" xfId="12197"/>
    <cellStyle name="Заголовок 1 6 2 3 4" xfId="12198"/>
    <cellStyle name="Заголовок 1 6 2 3 5" xfId="12199"/>
    <cellStyle name="Заголовок 1 6 2 3 6" xfId="12200"/>
    <cellStyle name="Заголовок 1 6 2 4" xfId="12201"/>
    <cellStyle name="Заголовок 1 6 2 5" xfId="12202"/>
    <cellStyle name="Заголовок 1 6 2 6" xfId="12203"/>
    <cellStyle name="Заголовок 1 6 2 7" xfId="12204"/>
    <cellStyle name="Заголовок 1 6 2 8" xfId="12205"/>
    <cellStyle name="Заголовок 1 6 3" xfId="2620"/>
    <cellStyle name="Заголовок 1 6 3 2" xfId="12206"/>
    <cellStyle name="Заголовок 1 6 3 3" xfId="12207"/>
    <cellStyle name="Заголовок 1 6 3 4" xfId="12208"/>
    <cellStyle name="Заголовок 1 6 3 5" xfId="12209"/>
    <cellStyle name="Заголовок 1 6 3 6" xfId="12210"/>
    <cellStyle name="Заголовок 1 6 4" xfId="2621"/>
    <cellStyle name="Заголовок 1 6 4 2" xfId="12211"/>
    <cellStyle name="Заголовок 1 6 4 3" xfId="12212"/>
    <cellStyle name="Заголовок 1 6 4 4" xfId="12213"/>
    <cellStyle name="Заголовок 1 6 4 5" xfId="12214"/>
    <cellStyle name="Заголовок 1 6 5" xfId="12215"/>
    <cellStyle name="Заголовок 1 6 6" xfId="12216"/>
    <cellStyle name="Заголовок 1 6 7" xfId="12217"/>
    <cellStyle name="Заголовок 1 6 8" xfId="12218"/>
    <cellStyle name="Заголовок 2 2" xfId="2622"/>
    <cellStyle name="Заголовок 2 2 2" xfId="2623"/>
    <cellStyle name="Заголовок 2 2 2 2" xfId="2624"/>
    <cellStyle name="Заголовок 2 2 2 2 2" xfId="2625"/>
    <cellStyle name="Заголовок 2 2 2 2 3" xfId="2626"/>
    <cellStyle name="Заголовок 2 2 2 3" xfId="2627"/>
    <cellStyle name="Заголовок 2 2 2 4" xfId="2628"/>
    <cellStyle name="Заголовок 2 2 2 4 2" xfId="12219"/>
    <cellStyle name="Заголовок 2 2 2 4 3" xfId="12220"/>
    <cellStyle name="Заголовок 2 2 2 4 4" xfId="12221"/>
    <cellStyle name="Заголовок 2 2 2 4 5" xfId="12222"/>
    <cellStyle name="Заголовок 2 2 2 5" xfId="12223"/>
    <cellStyle name="Заголовок 2 2 2 6" xfId="12224"/>
    <cellStyle name="Заголовок 2 2 2 7" xfId="12225"/>
    <cellStyle name="Заголовок 2 2 2 8" xfId="12226"/>
    <cellStyle name="Заголовок 2 2 3" xfId="2629"/>
    <cellStyle name="Заголовок 2 2 3 2" xfId="2630"/>
    <cellStyle name="Заголовок 2 2 3 2 2" xfId="12227"/>
    <cellStyle name="Заголовок 2 2 3 2 3" xfId="12228"/>
    <cellStyle name="Заголовок 2 2 3 2 4" xfId="12229"/>
    <cellStyle name="Заголовок 2 2 3 2 5" xfId="12230"/>
    <cellStyle name="Заголовок 2 2 3 2 6" xfId="12231"/>
    <cellStyle name="Заголовок 2 2 3 3" xfId="2631"/>
    <cellStyle name="Заголовок 2 2 3 3 2" xfId="12232"/>
    <cellStyle name="Заголовок 2 2 3 3 3" xfId="12233"/>
    <cellStyle name="Заголовок 2 2 3 3 4" xfId="12234"/>
    <cellStyle name="Заголовок 2 2 3 3 5" xfId="12235"/>
    <cellStyle name="Заголовок 2 2 3 3 6" xfId="12236"/>
    <cellStyle name="Заголовок 2 2 3 4" xfId="12237"/>
    <cellStyle name="Заголовок 2 2 3 5" xfId="12238"/>
    <cellStyle name="Заголовок 2 2 3 6" xfId="12239"/>
    <cellStyle name="Заголовок 2 2 3 7" xfId="12240"/>
    <cellStyle name="Заголовок 2 2 3 8" xfId="12241"/>
    <cellStyle name="Заголовок 2 2 4" xfId="2632"/>
    <cellStyle name="Заголовок 2 2 4 2" xfId="12242"/>
    <cellStyle name="Заголовок 2 2 4 3" xfId="12243"/>
    <cellStyle name="Заголовок 2 2 4 4" xfId="12244"/>
    <cellStyle name="Заголовок 2 2 4 5" xfId="12245"/>
    <cellStyle name="Заголовок 2 2 4 6" xfId="12246"/>
    <cellStyle name="Заголовок 2 2 5" xfId="2633"/>
    <cellStyle name="Заголовок 2 2 5 2" xfId="12247"/>
    <cellStyle name="Заголовок 2 2 5 3" xfId="12248"/>
    <cellStyle name="Заголовок 2 2 5 4" xfId="12249"/>
    <cellStyle name="Заголовок 2 2 5 5" xfId="12250"/>
    <cellStyle name="Заголовок 2 2 6" xfId="12251"/>
    <cellStyle name="Заголовок 2 2 7" xfId="12252"/>
    <cellStyle name="Заголовок 2 2 8" xfId="12253"/>
    <cellStyle name="Заголовок 2 2 9" xfId="12254"/>
    <cellStyle name="Заголовок 2 3" xfId="2634"/>
    <cellStyle name="Заголовок 2 3 2" xfId="2635"/>
    <cellStyle name="Заголовок 2 3 2 2" xfId="2636"/>
    <cellStyle name="Заголовок 2 3 2 2 2" xfId="12255"/>
    <cellStyle name="Заголовок 2 3 2 2 3" xfId="12256"/>
    <cellStyle name="Заголовок 2 3 2 2 4" xfId="12257"/>
    <cellStyle name="Заголовок 2 3 2 2 5" xfId="12258"/>
    <cellStyle name="Заголовок 2 3 2 2 6" xfId="12259"/>
    <cellStyle name="Заголовок 2 3 2 3" xfId="2637"/>
    <cellStyle name="Заголовок 2 3 2 3 2" xfId="12260"/>
    <cellStyle name="Заголовок 2 3 2 3 3" xfId="12261"/>
    <cellStyle name="Заголовок 2 3 2 3 4" xfId="12262"/>
    <cellStyle name="Заголовок 2 3 2 3 5" xfId="12263"/>
    <cellStyle name="Заголовок 2 3 2 3 6" xfId="12264"/>
    <cellStyle name="Заголовок 2 3 2 4" xfId="12265"/>
    <cellStyle name="Заголовок 2 3 2 5" xfId="12266"/>
    <cellStyle name="Заголовок 2 3 2 6" xfId="12267"/>
    <cellStyle name="Заголовок 2 3 2 7" xfId="12268"/>
    <cellStyle name="Заголовок 2 3 2 8" xfId="12269"/>
    <cellStyle name="Заголовок 2 3 3" xfId="2638"/>
    <cellStyle name="Заголовок 2 3 3 2" xfId="12270"/>
    <cellStyle name="Заголовок 2 3 3 3" xfId="12271"/>
    <cellStyle name="Заголовок 2 3 3 4" xfId="12272"/>
    <cellStyle name="Заголовок 2 3 3 5" xfId="12273"/>
    <cellStyle name="Заголовок 2 3 3 6" xfId="12274"/>
    <cellStyle name="Заголовок 2 3 4" xfId="2639"/>
    <cellStyle name="Заголовок 2 3 4 2" xfId="12275"/>
    <cellStyle name="Заголовок 2 3 4 3" xfId="12276"/>
    <cellStyle name="Заголовок 2 3 4 4" xfId="12277"/>
    <cellStyle name="Заголовок 2 3 4 5" xfId="12278"/>
    <cellStyle name="Заголовок 2 3 5" xfId="12279"/>
    <cellStyle name="Заголовок 2 3 6" xfId="12280"/>
    <cellStyle name="Заголовок 2 3 7" xfId="12281"/>
    <cellStyle name="Заголовок 2 3 8" xfId="12282"/>
    <cellStyle name="Заголовок 2 4" xfId="2640"/>
    <cellStyle name="Заголовок 2 4 2" xfId="2641"/>
    <cellStyle name="Заголовок 2 4 2 2" xfId="2642"/>
    <cellStyle name="Заголовок 2 4 2 2 2" xfId="12283"/>
    <cellStyle name="Заголовок 2 4 2 2 3" xfId="12284"/>
    <cellStyle name="Заголовок 2 4 2 2 4" xfId="12285"/>
    <cellStyle name="Заголовок 2 4 2 2 5" xfId="12286"/>
    <cellStyle name="Заголовок 2 4 2 2 6" xfId="12287"/>
    <cellStyle name="Заголовок 2 4 2 3" xfId="2643"/>
    <cellStyle name="Заголовок 2 4 2 3 2" xfId="12288"/>
    <cellStyle name="Заголовок 2 4 2 3 3" xfId="12289"/>
    <cellStyle name="Заголовок 2 4 2 3 4" xfId="12290"/>
    <cellStyle name="Заголовок 2 4 2 3 5" xfId="12291"/>
    <cellStyle name="Заголовок 2 4 2 3 6" xfId="12292"/>
    <cellStyle name="Заголовок 2 4 2 4" xfId="12293"/>
    <cellStyle name="Заголовок 2 4 2 5" xfId="12294"/>
    <cellStyle name="Заголовок 2 4 2 6" xfId="12295"/>
    <cellStyle name="Заголовок 2 4 2 7" xfId="12296"/>
    <cellStyle name="Заголовок 2 4 2 8" xfId="12297"/>
    <cellStyle name="Заголовок 2 4 3" xfId="2644"/>
    <cellStyle name="Заголовок 2 4 3 2" xfId="12298"/>
    <cellStyle name="Заголовок 2 4 3 3" xfId="12299"/>
    <cellStyle name="Заголовок 2 4 3 4" xfId="12300"/>
    <cellStyle name="Заголовок 2 4 3 5" xfId="12301"/>
    <cellStyle name="Заголовок 2 4 3 6" xfId="12302"/>
    <cellStyle name="Заголовок 2 4 4" xfId="2645"/>
    <cellStyle name="Заголовок 2 4 4 2" xfId="12303"/>
    <cellStyle name="Заголовок 2 4 4 3" xfId="12304"/>
    <cellStyle name="Заголовок 2 4 4 4" xfId="12305"/>
    <cellStyle name="Заголовок 2 4 4 5" xfId="12306"/>
    <cellStyle name="Заголовок 2 4 5" xfId="12307"/>
    <cellStyle name="Заголовок 2 4 6" xfId="12308"/>
    <cellStyle name="Заголовок 2 4 7" xfId="12309"/>
    <cellStyle name="Заголовок 2 4 8" xfId="12310"/>
    <cellStyle name="Заголовок 2 5" xfId="2646"/>
    <cellStyle name="Заголовок 2 5 2" xfId="2647"/>
    <cellStyle name="Заголовок 2 5 2 2" xfId="2648"/>
    <cellStyle name="Заголовок 2 5 2 2 2" xfId="12311"/>
    <cellStyle name="Заголовок 2 5 2 2 3" xfId="12312"/>
    <cellStyle name="Заголовок 2 5 2 2 4" xfId="12313"/>
    <cellStyle name="Заголовок 2 5 2 2 5" xfId="12314"/>
    <cellStyle name="Заголовок 2 5 2 2 6" xfId="12315"/>
    <cellStyle name="Заголовок 2 5 2 3" xfId="2649"/>
    <cellStyle name="Заголовок 2 5 2 3 2" xfId="12316"/>
    <cellStyle name="Заголовок 2 5 2 3 3" xfId="12317"/>
    <cellStyle name="Заголовок 2 5 2 3 4" xfId="12318"/>
    <cellStyle name="Заголовок 2 5 2 3 5" xfId="12319"/>
    <cellStyle name="Заголовок 2 5 2 3 6" xfId="12320"/>
    <cellStyle name="Заголовок 2 5 2 4" xfId="12321"/>
    <cellStyle name="Заголовок 2 5 2 5" xfId="12322"/>
    <cellStyle name="Заголовок 2 5 2 6" xfId="12323"/>
    <cellStyle name="Заголовок 2 5 2 7" xfId="12324"/>
    <cellStyle name="Заголовок 2 5 2 8" xfId="12325"/>
    <cellStyle name="Заголовок 2 5 3" xfId="2650"/>
    <cellStyle name="Заголовок 2 5 3 2" xfId="12326"/>
    <cellStyle name="Заголовок 2 5 3 3" xfId="12327"/>
    <cellStyle name="Заголовок 2 5 3 4" xfId="12328"/>
    <cellStyle name="Заголовок 2 5 3 5" xfId="12329"/>
    <cellStyle name="Заголовок 2 5 3 6" xfId="12330"/>
    <cellStyle name="Заголовок 2 5 4" xfId="2651"/>
    <cellStyle name="Заголовок 2 5 4 2" xfId="12331"/>
    <cellStyle name="Заголовок 2 5 4 3" xfId="12332"/>
    <cellStyle name="Заголовок 2 5 4 4" xfId="12333"/>
    <cellStyle name="Заголовок 2 5 4 5" xfId="12334"/>
    <cellStyle name="Заголовок 2 5 5" xfId="12335"/>
    <cellStyle name="Заголовок 2 5 6" xfId="12336"/>
    <cellStyle name="Заголовок 2 5 7" xfId="12337"/>
    <cellStyle name="Заголовок 2 5 8" xfId="12338"/>
    <cellStyle name="Заголовок 2 6" xfId="2652"/>
    <cellStyle name="Заголовок 2 6 2" xfId="2653"/>
    <cellStyle name="Заголовок 2 6 2 2" xfId="2654"/>
    <cellStyle name="Заголовок 2 6 2 2 2" xfId="12339"/>
    <cellStyle name="Заголовок 2 6 2 2 3" xfId="12340"/>
    <cellStyle name="Заголовок 2 6 2 2 4" xfId="12341"/>
    <cellStyle name="Заголовок 2 6 2 2 5" xfId="12342"/>
    <cellStyle name="Заголовок 2 6 2 2 6" xfId="12343"/>
    <cellStyle name="Заголовок 2 6 2 3" xfId="2655"/>
    <cellStyle name="Заголовок 2 6 2 3 2" xfId="12344"/>
    <cellStyle name="Заголовок 2 6 2 3 3" xfId="12345"/>
    <cellStyle name="Заголовок 2 6 2 3 4" xfId="12346"/>
    <cellStyle name="Заголовок 2 6 2 3 5" xfId="12347"/>
    <cellStyle name="Заголовок 2 6 2 3 6" xfId="12348"/>
    <cellStyle name="Заголовок 2 6 2 4" xfId="12349"/>
    <cellStyle name="Заголовок 2 6 2 5" xfId="12350"/>
    <cellStyle name="Заголовок 2 6 2 6" xfId="12351"/>
    <cellStyle name="Заголовок 2 6 2 7" xfId="12352"/>
    <cellStyle name="Заголовок 2 6 2 8" xfId="12353"/>
    <cellStyle name="Заголовок 2 6 3" xfId="2656"/>
    <cellStyle name="Заголовок 2 6 3 2" xfId="12354"/>
    <cellStyle name="Заголовок 2 6 3 3" xfId="12355"/>
    <cellStyle name="Заголовок 2 6 3 4" xfId="12356"/>
    <cellStyle name="Заголовок 2 6 3 5" xfId="12357"/>
    <cellStyle name="Заголовок 2 6 3 6" xfId="12358"/>
    <cellStyle name="Заголовок 2 6 4" xfId="2657"/>
    <cellStyle name="Заголовок 2 6 4 2" xfId="12359"/>
    <cellStyle name="Заголовок 2 6 4 3" xfId="12360"/>
    <cellStyle name="Заголовок 2 6 4 4" xfId="12361"/>
    <cellStyle name="Заголовок 2 6 4 5" xfId="12362"/>
    <cellStyle name="Заголовок 2 6 5" xfId="12363"/>
    <cellStyle name="Заголовок 2 6 6" xfId="12364"/>
    <cellStyle name="Заголовок 2 6 7" xfId="12365"/>
    <cellStyle name="Заголовок 2 6 8" xfId="12366"/>
    <cellStyle name="Заголовок 3 2" xfId="2658"/>
    <cellStyle name="Заголовок 3 2 2" xfId="2659"/>
    <cellStyle name="Заголовок 3 2 2 2" xfId="2660"/>
    <cellStyle name="Заголовок 3 2 2 2 2" xfId="2661"/>
    <cellStyle name="Заголовок 3 2 2 2 3" xfId="2662"/>
    <cellStyle name="Заголовок 3 2 2 3" xfId="2663"/>
    <cellStyle name="Заголовок 3 2 2 4" xfId="2664"/>
    <cellStyle name="Заголовок 3 2 2 4 2" xfId="12367"/>
    <cellStyle name="Заголовок 3 2 2 4 3" xfId="12368"/>
    <cellStyle name="Заголовок 3 2 2 4 4" xfId="12369"/>
    <cellStyle name="Заголовок 3 2 2 4 5" xfId="12370"/>
    <cellStyle name="Заголовок 3 2 2 5" xfId="12371"/>
    <cellStyle name="Заголовок 3 2 2 6" xfId="12372"/>
    <cellStyle name="Заголовок 3 2 2 7" xfId="12373"/>
    <cellStyle name="Заголовок 3 2 2 8" xfId="12374"/>
    <cellStyle name="Заголовок 3 2 3" xfId="2665"/>
    <cellStyle name="Заголовок 3 2 3 2" xfId="2666"/>
    <cellStyle name="Заголовок 3 2 3 2 2" xfId="12375"/>
    <cellStyle name="Заголовок 3 2 3 2 3" xfId="12376"/>
    <cellStyle name="Заголовок 3 2 3 2 4" xfId="12377"/>
    <cellStyle name="Заголовок 3 2 3 2 5" xfId="12378"/>
    <cellStyle name="Заголовок 3 2 3 2 6" xfId="12379"/>
    <cellStyle name="Заголовок 3 2 3 3" xfId="2667"/>
    <cellStyle name="Заголовок 3 2 3 3 2" xfId="12380"/>
    <cellStyle name="Заголовок 3 2 3 3 3" xfId="12381"/>
    <cellStyle name="Заголовок 3 2 3 3 4" xfId="12382"/>
    <cellStyle name="Заголовок 3 2 3 3 5" xfId="12383"/>
    <cellStyle name="Заголовок 3 2 3 3 6" xfId="12384"/>
    <cellStyle name="Заголовок 3 2 3 4" xfId="12385"/>
    <cellStyle name="Заголовок 3 2 3 5" xfId="12386"/>
    <cellStyle name="Заголовок 3 2 3 6" xfId="12387"/>
    <cellStyle name="Заголовок 3 2 3 7" xfId="12388"/>
    <cellStyle name="Заголовок 3 2 3 8" xfId="12389"/>
    <cellStyle name="Заголовок 3 2 4" xfId="2668"/>
    <cellStyle name="Заголовок 3 2 4 2" xfId="12390"/>
    <cellStyle name="Заголовок 3 2 4 3" xfId="12391"/>
    <cellStyle name="Заголовок 3 2 4 4" xfId="12392"/>
    <cellStyle name="Заголовок 3 2 4 5" xfId="12393"/>
    <cellStyle name="Заголовок 3 2 4 6" xfId="12394"/>
    <cellStyle name="Заголовок 3 2 5" xfId="2669"/>
    <cellStyle name="Заголовок 3 2 5 2" xfId="12395"/>
    <cellStyle name="Заголовок 3 2 5 3" xfId="12396"/>
    <cellStyle name="Заголовок 3 2 5 4" xfId="12397"/>
    <cellStyle name="Заголовок 3 2 5 5" xfId="12398"/>
    <cellStyle name="Заголовок 3 2 6" xfId="12399"/>
    <cellStyle name="Заголовок 3 2 7" xfId="12400"/>
    <cellStyle name="Заголовок 3 2 8" xfId="12401"/>
    <cellStyle name="Заголовок 3 2 9" xfId="12402"/>
    <cellStyle name="Заголовок 3 3" xfId="2670"/>
    <cellStyle name="Заголовок 3 3 2" xfId="2671"/>
    <cellStyle name="Заголовок 3 3 2 2" xfId="2672"/>
    <cellStyle name="Заголовок 3 3 2 2 2" xfId="12403"/>
    <cellStyle name="Заголовок 3 3 2 2 3" xfId="12404"/>
    <cellStyle name="Заголовок 3 3 2 2 4" xfId="12405"/>
    <cellStyle name="Заголовок 3 3 2 2 5" xfId="12406"/>
    <cellStyle name="Заголовок 3 3 2 2 6" xfId="12407"/>
    <cellStyle name="Заголовок 3 3 2 3" xfId="2673"/>
    <cellStyle name="Заголовок 3 3 2 3 2" xfId="12408"/>
    <cellStyle name="Заголовок 3 3 2 3 3" xfId="12409"/>
    <cellStyle name="Заголовок 3 3 2 3 4" xfId="12410"/>
    <cellStyle name="Заголовок 3 3 2 3 5" xfId="12411"/>
    <cellStyle name="Заголовок 3 3 2 3 6" xfId="12412"/>
    <cellStyle name="Заголовок 3 3 2 4" xfId="12413"/>
    <cellStyle name="Заголовок 3 3 2 5" xfId="12414"/>
    <cellStyle name="Заголовок 3 3 2 6" xfId="12415"/>
    <cellStyle name="Заголовок 3 3 2 7" xfId="12416"/>
    <cellStyle name="Заголовок 3 3 2 8" xfId="12417"/>
    <cellStyle name="Заголовок 3 3 3" xfId="2674"/>
    <cellStyle name="Заголовок 3 3 3 2" xfId="12418"/>
    <cellStyle name="Заголовок 3 3 3 3" xfId="12419"/>
    <cellStyle name="Заголовок 3 3 3 4" xfId="12420"/>
    <cellStyle name="Заголовок 3 3 3 5" xfId="12421"/>
    <cellStyle name="Заголовок 3 3 3 6" xfId="12422"/>
    <cellStyle name="Заголовок 3 3 4" xfId="2675"/>
    <cellStyle name="Заголовок 3 3 4 2" xfId="12423"/>
    <cellStyle name="Заголовок 3 3 4 3" xfId="12424"/>
    <cellStyle name="Заголовок 3 3 4 4" xfId="12425"/>
    <cellStyle name="Заголовок 3 3 4 5" xfId="12426"/>
    <cellStyle name="Заголовок 3 3 5" xfId="12427"/>
    <cellStyle name="Заголовок 3 3 6" xfId="12428"/>
    <cellStyle name="Заголовок 3 3 7" xfId="12429"/>
    <cellStyle name="Заголовок 3 3 8" xfId="12430"/>
    <cellStyle name="Заголовок 3 4" xfId="2676"/>
    <cellStyle name="Заголовок 3 4 2" xfId="2677"/>
    <cellStyle name="Заголовок 3 4 2 2" xfId="2678"/>
    <cellStyle name="Заголовок 3 4 2 2 2" xfId="12431"/>
    <cellStyle name="Заголовок 3 4 2 2 3" xfId="12432"/>
    <cellStyle name="Заголовок 3 4 2 2 4" xfId="12433"/>
    <cellStyle name="Заголовок 3 4 2 2 5" xfId="12434"/>
    <cellStyle name="Заголовок 3 4 2 2 6" xfId="12435"/>
    <cellStyle name="Заголовок 3 4 2 3" xfId="2679"/>
    <cellStyle name="Заголовок 3 4 2 3 2" xfId="12436"/>
    <cellStyle name="Заголовок 3 4 2 3 3" xfId="12437"/>
    <cellStyle name="Заголовок 3 4 2 3 4" xfId="12438"/>
    <cellStyle name="Заголовок 3 4 2 3 5" xfId="12439"/>
    <cellStyle name="Заголовок 3 4 2 3 6" xfId="12440"/>
    <cellStyle name="Заголовок 3 4 2 4" xfId="12441"/>
    <cellStyle name="Заголовок 3 4 2 5" xfId="12442"/>
    <cellStyle name="Заголовок 3 4 2 6" xfId="12443"/>
    <cellStyle name="Заголовок 3 4 2 7" xfId="12444"/>
    <cellStyle name="Заголовок 3 4 2 8" xfId="12445"/>
    <cellStyle name="Заголовок 3 4 3" xfId="2680"/>
    <cellStyle name="Заголовок 3 4 3 2" xfId="12446"/>
    <cellStyle name="Заголовок 3 4 3 3" xfId="12447"/>
    <cellStyle name="Заголовок 3 4 3 4" xfId="12448"/>
    <cellStyle name="Заголовок 3 4 3 5" xfId="12449"/>
    <cellStyle name="Заголовок 3 4 3 6" xfId="12450"/>
    <cellStyle name="Заголовок 3 4 4" xfId="2681"/>
    <cellStyle name="Заголовок 3 4 4 2" xfId="12451"/>
    <cellStyle name="Заголовок 3 4 4 3" xfId="12452"/>
    <cellStyle name="Заголовок 3 4 4 4" xfId="12453"/>
    <cellStyle name="Заголовок 3 4 4 5" xfId="12454"/>
    <cellStyle name="Заголовок 3 4 5" xfId="12455"/>
    <cellStyle name="Заголовок 3 4 6" xfId="12456"/>
    <cellStyle name="Заголовок 3 4 7" xfId="12457"/>
    <cellStyle name="Заголовок 3 4 8" xfId="12458"/>
    <cellStyle name="Заголовок 3 5" xfId="2682"/>
    <cellStyle name="Заголовок 3 5 2" xfId="2683"/>
    <cellStyle name="Заголовок 3 5 2 2" xfId="2684"/>
    <cellStyle name="Заголовок 3 5 2 2 2" xfId="12459"/>
    <cellStyle name="Заголовок 3 5 2 2 3" xfId="12460"/>
    <cellStyle name="Заголовок 3 5 2 2 4" xfId="12461"/>
    <cellStyle name="Заголовок 3 5 2 2 5" xfId="12462"/>
    <cellStyle name="Заголовок 3 5 2 2 6" xfId="12463"/>
    <cellStyle name="Заголовок 3 5 2 3" xfId="2685"/>
    <cellStyle name="Заголовок 3 5 2 3 2" xfId="12464"/>
    <cellStyle name="Заголовок 3 5 2 3 3" xfId="12465"/>
    <cellStyle name="Заголовок 3 5 2 3 4" xfId="12466"/>
    <cellStyle name="Заголовок 3 5 2 3 5" xfId="12467"/>
    <cellStyle name="Заголовок 3 5 2 3 6" xfId="12468"/>
    <cellStyle name="Заголовок 3 5 2 4" xfId="12469"/>
    <cellStyle name="Заголовок 3 5 2 5" xfId="12470"/>
    <cellStyle name="Заголовок 3 5 2 6" xfId="12471"/>
    <cellStyle name="Заголовок 3 5 2 7" xfId="12472"/>
    <cellStyle name="Заголовок 3 5 2 8" xfId="12473"/>
    <cellStyle name="Заголовок 3 5 3" xfId="2686"/>
    <cellStyle name="Заголовок 3 5 3 2" xfId="12474"/>
    <cellStyle name="Заголовок 3 5 3 3" xfId="12475"/>
    <cellStyle name="Заголовок 3 5 3 4" xfId="12476"/>
    <cellStyle name="Заголовок 3 5 3 5" xfId="12477"/>
    <cellStyle name="Заголовок 3 5 3 6" xfId="12478"/>
    <cellStyle name="Заголовок 3 5 4" xfId="2687"/>
    <cellStyle name="Заголовок 3 5 4 2" xfId="12479"/>
    <cellStyle name="Заголовок 3 5 4 3" xfId="12480"/>
    <cellStyle name="Заголовок 3 5 4 4" xfId="12481"/>
    <cellStyle name="Заголовок 3 5 4 5" xfId="12482"/>
    <cellStyle name="Заголовок 3 5 5" xfId="12483"/>
    <cellStyle name="Заголовок 3 5 6" xfId="12484"/>
    <cellStyle name="Заголовок 3 5 7" xfId="12485"/>
    <cellStyle name="Заголовок 3 5 8" xfId="12486"/>
    <cellStyle name="Заголовок 3 6" xfId="2688"/>
    <cellStyle name="Заголовок 3 6 2" xfId="2689"/>
    <cellStyle name="Заголовок 3 6 2 2" xfId="2690"/>
    <cellStyle name="Заголовок 3 6 2 2 2" xfId="12487"/>
    <cellStyle name="Заголовок 3 6 2 2 3" xfId="12488"/>
    <cellStyle name="Заголовок 3 6 2 2 4" xfId="12489"/>
    <cellStyle name="Заголовок 3 6 2 2 5" xfId="12490"/>
    <cellStyle name="Заголовок 3 6 2 2 6" xfId="12491"/>
    <cellStyle name="Заголовок 3 6 2 3" xfId="2691"/>
    <cellStyle name="Заголовок 3 6 2 3 2" xfId="12492"/>
    <cellStyle name="Заголовок 3 6 2 3 3" xfId="12493"/>
    <cellStyle name="Заголовок 3 6 2 3 4" xfId="12494"/>
    <cellStyle name="Заголовок 3 6 2 3 5" xfId="12495"/>
    <cellStyle name="Заголовок 3 6 2 3 6" xfId="12496"/>
    <cellStyle name="Заголовок 3 6 2 4" xfId="12497"/>
    <cellStyle name="Заголовок 3 6 2 5" xfId="12498"/>
    <cellStyle name="Заголовок 3 6 2 6" xfId="12499"/>
    <cellStyle name="Заголовок 3 6 2 7" xfId="12500"/>
    <cellStyle name="Заголовок 3 6 2 8" xfId="12501"/>
    <cellStyle name="Заголовок 3 6 3" xfId="2692"/>
    <cellStyle name="Заголовок 3 6 3 2" xfId="12502"/>
    <cellStyle name="Заголовок 3 6 3 3" xfId="12503"/>
    <cellStyle name="Заголовок 3 6 3 4" xfId="12504"/>
    <cellStyle name="Заголовок 3 6 3 5" xfId="12505"/>
    <cellStyle name="Заголовок 3 6 3 6" xfId="12506"/>
    <cellStyle name="Заголовок 3 6 4" xfId="2693"/>
    <cellStyle name="Заголовок 3 6 4 2" xfId="12507"/>
    <cellStyle name="Заголовок 3 6 4 3" xfId="12508"/>
    <cellStyle name="Заголовок 3 6 4 4" xfId="12509"/>
    <cellStyle name="Заголовок 3 6 4 5" xfId="12510"/>
    <cellStyle name="Заголовок 3 6 5" xfId="12511"/>
    <cellStyle name="Заголовок 3 6 6" xfId="12512"/>
    <cellStyle name="Заголовок 3 6 7" xfId="12513"/>
    <cellStyle name="Заголовок 3 6 8" xfId="12514"/>
    <cellStyle name="Заголовок 4 2" xfId="2694"/>
    <cellStyle name="Заголовок 4 2 2" xfId="2695"/>
    <cellStyle name="Заголовок 4 2 2 2" xfId="2696"/>
    <cellStyle name="Заголовок 4 2 2 2 2" xfId="2697"/>
    <cellStyle name="Заголовок 4 2 2 2 3" xfId="2698"/>
    <cellStyle name="Заголовок 4 2 2 3" xfId="2699"/>
    <cellStyle name="Заголовок 4 2 2 4" xfId="2700"/>
    <cellStyle name="Заголовок 4 2 2 4 2" xfId="12515"/>
    <cellStyle name="Заголовок 4 2 2 4 3" xfId="12516"/>
    <cellStyle name="Заголовок 4 2 2 4 4" xfId="12517"/>
    <cellStyle name="Заголовок 4 2 2 4 5" xfId="12518"/>
    <cellStyle name="Заголовок 4 2 2 5" xfId="12519"/>
    <cellStyle name="Заголовок 4 2 2 6" xfId="12520"/>
    <cellStyle name="Заголовок 4 2 2 7" xfId="12521"/>
    <cellStyle name="Заголовок 4 2 2 8" xfId="12522"/>
    <cellStyle name="Заголовок 4 2 3" xfId="2701"/>
    <cellStyle name="Заголовок 4 2 3 2" xfId="2702"/>
    <cellStyle name="Заголовок 4 2 3 2 2" xfId="12523"/>
    <cellStyle name="Заголовок 4 2 3 2 3" xfId="12524"/>
    <cellStyle name="Заголовок 4 2 3 2 4" xfId="12525"/>
    <cellStyle name="Заголовок 4 2 3 2 5" xfId="12526"/>
    <cellStyle name="Заголовок 4 2 3 2 6" xfId="12527"/>
    <cellStyle name="Заголовок 4 2 3 3" xfId="2703"/>
    <cellStyle name="Заголовок 4 2 3 3 2" xfId="12528"/>
    <cellStyle name="Заголовок 4 2 3 3 3" xfId="12529"/>
    <cellStyle name="Заголовок 4 2 3 3 4" xfId="12530"/>
    <cellStyle name="Заголовок 4 2 3 3 5" xfId="12531"/>
    <cellStyle name="Заголовок 4 2 3 3 6" xfId="12532"/>
    <cellStyle name="Заголовок 4 2 3 4" xfId="12533"/>
    <cellStyle name="Заголовок 4 2 3 5" xfId="12534"/>
    <cellStyle name="Заголовок 4 2 3 6" xfId="12535"/>
    <cellStyle name="Заголовок 4 2 3 7" xfId="12536"/>
    <cellStyle name="Заголовок 4 2 3 8" xfId="12537"/>
    <cellStyle name="Заголовок 4 2 4" xfId="2704"/>
    <cellStyle name="Заголовок 4 2 4 2" xfId="12538"/>
    <cellStyle name="Заголовок 4 2 4 3" xfId="12539"/>
    <cellStyle name="Заголовок 4 2 4 4" xfId="12540"/>
    <cellStyle name="Заголовок 4 2 4 5" xfId="12541"/>
    <cellStyle name="Заголовок 4 2 4 6" xfId="12542"/>
    <cellStyle name="Заголовок 4 2 5" xfId="2705"/>
    <cellStyle name="Заголовок 4 2 5 2" xfId="12543"/>
    <cellStyle name="Заголовок 4 2 5 3" xfId="12544"/>
    <cellStyle name="Заголовок 4 2 5 4" xfId="12545"/>
    <cellStyle name="Заголовок 4 2 5 5" xfId="12546"/>
    <cellStyle name="Заголовок 4 2 6" xfId="12547"/>
    <cellStyle name="Заголовок 4 2 7" xfId="12548"/>
    <cellStyle name="Заголовок 4 2 8" xfId="12549"/>
    <cellStyle name="Заголовок 4 2 9" xfId="12550"/>
    <cellStyle name="Заголовок 4 3" xfId="2706"/>
    <cellStyle name="Заголовок 4 3 2" xfId="2707"/>
    <cellStyle name="Заголовок 4 3 2 2" xfId="2708"/>
    <cellStyle name="Заголовок 4 3 2 2 2" xfId="12551"/>
    <cellStyle name="Заголовок 4 3 2 2 3" xfId="12552"/>
    <cellStyle name="Заголовок 4 3 2 2 4" xfId="12553"/>
    <cellStyle name="Заголовок 4 3 2 2 5" xfId="12554"/>
    <cellStyle name="Заголовок 4 3 2 2 6" xfId="12555"/>
    <cellStyle name="Заголовок 4 3 2 3" xfId="2709"/>
    <cellStyle name="Заголовок 4 3 2 3 2" xfId="12556"/>
    <cellStyle name="Заголовок 4 3 2 3 3" xfId="12557"/>
    <cellStyle name="Заголовок 4 3 2 3 4" xfId="12558"/>
    <cellStyle name="Заголовок 4 3 2 3 5" xfId="12559"/>
    <cellStyle name="Заголовок 4 3 2 3 6" xfId="12560"/>
    <cellStyle name="Заголовок 4 3 2 4" xfId="12561"/>
    <cellStyle name="Заголовок 4 3 2 5" xfId="12562"/>
    <cellStyle name="Заголовок 4 3 2 6" xfId="12563"/>
    <cellStyle name="Заголовок 4 3 2 7" xfId="12564"/>
    <cellStyle name="Заголовок 4 3 2 8" xfId="12565"/>
    <cellStyle name="Заголовок 4 3 3" xfId="2710"/>
    <cellStyle name="Заголовок 4 3 3 2" xfId="12566"/>
    <cellStyle name="Заголовок 4 3 3 3" xfId="12567"/>
    <cellStyle name="Заголовок 4 3 3 4" xfId="12568"/>
    <cellStyle name="Заголовок 4 3 3 5" xfId="12569"/>
    <cellStyle name="Заголовок 4 3 3 6" xfId="12570"/>
    <cellStyle name="Заголовок 4 3 4" xfId="2711"/>
    <cellStyle name="Заголовок 4 3 4 2" xfId="12571"/>
    <cellStyle name="Заголовок 4 3 4 3" xfId="12572"/>
    <cellStyle name="Заголовок 4 3 4 4" xfId="12573"/>
    <cellStyle name="Заголовок 4 3 4 5" xfId="12574"/>
    <cellStyle name="Заголовок 4 3 5" xfId="12575"/>
    <cellStyle name="Заголовок 4 3 6" xfId="12576"/>
    <cellStyle name="Заголовок 4 3 7" xfId="12577"/>
    <cellStyle name="Заголовок 4 3 8" xfId="12578"/>
    <cellStyle name="Заголовок 4 4" xfId="2712"/>
    <cellStyle name="Заголовок 4 4 2" xfId="2713"/>
    <cellStyle name="Заголовок 4 4 2 2" xfId="2714"/>
    <cellStyle name="Заголовок 4 4 2 2 2" xfId="12579"/>
    <cellStyle name="Заголовок 4 4 2 2 3" xfId="12580"/>
    <cellStyle name="Заголовок 4 4 2 2 4" xfId="12581"/>
    <cellStyle name="Заголовок 4 4 2 2 5" xfId="12582"/>
    <cellStyle name="Заголовок 4 4 2 2 6" xfId="12583"/>
    <cellStyle name="Заголовок 4 4 2 3" xfId="2715"/>
    <cellStyle name="Заголовок 4 4 2 3 2" xfId="12584"/>
    <cellStyle name="Заголовок 4 4 2 3 3" xfId="12585"/>
    <cellStyle name="Заголовок 4 4 2 3 4" xfId="12586"/>
    <cellStyle name="Заголовок 4 4 2 3 5" xfId="12587"/>
    <cellStyle name="Заголовок 4 4 2 3 6" xfId="12588"/>
    <cellStyle name="Заголовок 4 4 2 4" xfId="12589"/>
    <cellStyle name="Заголовок 4 4 2 5" xfId="12590"/>
    <cellStyle name="Заголовок 4 4 2 6" xfId="12591"/>
    <cellStyle name="Заголовок 4 4 2 7" xfId="12592"/>
    <cellStyle name="Заголовок 4 4 2 8" xfId="12593"/>
    <cellStyle name="Заголовок 4 4 3" xfId="2716"/>
    <cellStyle name="Заголовок 4 4 3 2" xfId="12594"/>
    <cellStyle name="Заголовок 4 4 3 3" xfId="12595"/>
    <cellStyle name="Заголовок 4 4 3 4" xfId="12596"/>
    <cellStyle name="Заголовок 4 4 3 5" xfId="12597"/>
    <cellStyle name="Заголовок 4 4 3 6" xfId="12598"/>
    <cellStyle name="Заголовок 4 4 4" xfId="2717"/>
    <cellStyle name="Заголовок 4 4 4 2" xfId="12599"/>
    <cellStyle name="Заголовок 4 4 4 3" xfId="12600"/>
    <cellStyle name="Заголовок 4 4 4 4" xfId="12601"/>
    <cellStyle name="Заголовок 4 4 4 5" xfId="12602"/>
    <cellStyle name="Заголовок 4 4 5" xfId="12603"/>
    <cellStyle name="Заголовок 4 4 6" xfId="12604"/>
    <cellStyle name="Заголовок 4 4 7" xfId="12605"/>
    <cellStyle name="Заголовок 4 4 8" xfId="12606"/>
    <cellStyle name="Заголовок 4 5" xfId="2718"/>
    <cellStyle name="Заголовок 4 5 2" xfId="2719"/>
    <cellStyle name="Заголовок 4 5 2 2" xfId="2720"/>
    <cellStyle name="Заголовок 4 5 2 2 2" xfId="12607"/>
    <cellStyle name="Заголовок 4 5 2 2 3" xfId="12608"/>
    <cellStyle name="Заголовок 4 5 2 2 4" xfId="12609"/>
    <cellStyle name="Заголовок 4 5 2 2 5" xfId="12610"/>
    <cellStyle name="Заголовок 4 5 2 2 6" xfId="12611"/>
    <cellStyle name="Заголовок 4 5 2 3" xfId="2721"/>
    <cellStyle name="Заголовок 4 5 2 3 2" xfId="12612"/>
    <cellStyle name="Заголовок 4 5 2 3 3" xfId="12613"/>
    <cellStyle name="Заголовок 4 5 2 3 4" xfId="12614"/>
    <cellStyle name="Заголовок 4 5 2 3 5" xfId="12615"/>
    <cellStyle name="Заголовок 4 5 2 3 6" xfId="12616"/>
    <cellStyle name="Заголовок 4 5 2 4" xfId="12617"/>
    <cellStyle name="Заголовок 4 5 2 5" xfId="12618"/>
    <cellStyle name="Заголовок 4 5 2 6" xfId="12619"/>
    <cellStyle name="Заголовок 4 5 2 7" xfId="12620"/>
    <cellStyle name="Заголовок 4 5 2 8" xfId="12621"/>
    <cellStyle name="Заголовок 4 5 3" xfId="2722"/>
    <cellStyle name="Заголовок 4 5 3 2" xfId="12622"/>
    <cellStyle name="Заголовок 4 5 3 3" xfId="12623"/>
    <cellStyle name="Заголовок 4 5 3 4" xfId="12624"/>
    <cellStyle name="Заголовок 4 5 3 5" xfId="12625"/>
    <cellStyle name="Заголовок 4 5 3 6" xfId="12626"/>
    <cellStyle name="Заголовок 4 5 4" xfId="2723"/>
    <cellStyle name="Заголовок 4 5 4 2" xfId="12627"/>
    <cellStyle name="Заголовок 4 5 4 3" xfId="12628"/>
    <cellStyle name="Заголовок 4 5 4 4" xfId="12629"/>
    <cellStyle name="Заголовок 4 5 4 5" xfId="12630"/>
    <cellStyle name="Заголовок 4 5 5" xfId="12631"/>
    <cellStyle name="Заголовок 4 5 6" xfId="12632"/>
    <cellStyle name="Заголовок 4 5 7" xfId="12633"/>
    <cellStyle name="Заголовок 4 5 8" xfId="12634"/>
    <cellStyle name="Заголовок 4 6" xfId="2724"/>
    <cellStyle name="Заголовок 4 6 2" xfId="2725"/>
    <cellStyle name="Заголовок 4 6 2 2" xfId="2726"/>
    <cellStyle name="Заголовок 4 6 2 2 2" xfId="12635"/>
    <cellStyle name="Заголовок 4 6 2 2 3" xfId="12636"/>
    <cellStyle name="Заголовок 4 6 2 2 4" xfId="12637"/>
    <cellStyle name="Заголовок 4 6 2 2 5" xfId="12638"/>
    <cellStyle name="Заголовок 4 6 2 2 6" xfId="12639"/>
    <cellStyle name="Заголовок 4 6 2 3" xfId="2727"/>
    <cellStyle name="Заголовок 4 6 2 3 2" xfId="12640"/>
    <cellStyle name="Заголовок 4 6 2 3 3" xfId="12641"/>
    <cellStyle name="Заголовок 4 6 2 3 4" xfId="12642"/>
    <cellStyle name="Заголовок 4 6 2 3 5" xfId="12643"/>
    <cellStyle name="Заголовок 4 6 2 3 6" xfId="12644"/>
    <cellStyle name="Заголовок 4 6 2 4" xfId="12645"/>
    <cellStyle name="Заголовок 4 6 2 5" xfId="12646"/>
    <cellStyle name="Заголовок 4 6 2 6" xfId="12647"/>
    <cellStyle name="Заголовок 4 6 2 7" xfId="12648"/>
    <cellStyle name="Заголовок 4 6 2 8" xfId="12649"/>
    <cellStyle name="Заголовок 4 6 3" xfId="2728"/>
    <cellStyle name="Заголовок 4 6 3 2" xfId="12650"/>
    <cellStyle name="Заголовок 4 6 3 3" xfId="12651"/>
    <cellStyle name="Заголовок 4 6 3 4" xfId="12652"/>
    <cellStyle name="Заголовок 4 6 3 5" xfId="12653"/>
    <cellStyle name="Заголовок 4 6 3 6" xfId="12654"/>
    <cellStyle name="Заголовок 4 6 4" xfId="2729"/>
    <cellStyle name="Заголовок 4 6 4 2" xfId="12655"/>
    <cellStyle name="Заголовок 4 6 4 3" xfId="12656"/>
    <cellStyle name="Заголовок 4 6 4 4" xfId="12657"/>
    <cellStyle name="Заголовок 4 6 4 5" xfId="12658"/>
    <cellStyle name="Заголовок 4 6 5" xfId="12659"/>
    <cellStyle name="Заголовок 4 6 6" xfId="12660"/>
    <cellStyle name="Заголовок 4 6 7" xfId="12661"/>
    <cellStyle name="Заголовок 4 6 8" xfId="12662"/>
    <cellStyle name="Итог 2" xfId="2730"/>
    <cellStyle name="Итог 2 10" xfId="12663"/>
    <cellStyle name="Итог 2 11" xfId="12664"/>
    <cellStyle name="Итог 2 12" xfId="12665"/>
    <cellStyle name="Итог 2 13" xfId="12666"/>
    <cellStyle name="Итог 2 14" xfId="12667"/>
    <cellStyle name="Итог 2 15" xfId="12668"/>
    <cellStyle name="Итог 2 2" xfId="2731"/>
    <cellStyle name="Итог 2 2 10" xfId="12669"/>
    <cellStyle name="Итог 2 2 11" xfId="12670"/>
    <cellStyle name="Итог 2 2 12" xfId="12671"/>
    <cellStyle name="Итог 2 2 13" xfId="12672"/>
    <cellStyle name="Итог 2 2 14" xfId="12673"/>
    <cellStyle name="Итог 2 2 2" xfId="2732"/>
    <cellStyle name="Итог 2 2 2 10" xfId="12674"/>
    <cellStyle name="Итог 2 2 2 11" xfId="12675"/>
    <cellStyle name="Итог 2 2 2 12" xfId="12676"/>
    <cellStyle name="Итог 2 2 2 2" xfId="2733"/>
    <cellStyle name="Итог 2 2 2 2 2" xfId="12677"/>
    <cellStyle name="Итог 2 2 2 2 3" xfId="12678"/>
    <cellStyle name="Итог 2 2 2 2 4" xfId="12679"/>
    <cellStyle name="Итог 2 2 2 2 5" xfId="12680"/>
    <cellStyle name="Итог 2 2 2 3" xfId="2734"/>
    <cellStyle name="Итог 2 2 2 3 2" xfId="12681"/>
    <cellStyle name="Итог 2 2 2 3 3" xfId="12682"/>
    <cellStyle name="Итог 2 2 2 3 4" xfId="12683"/>
    <cellStyle name="Итог 2 2 2 3 5" xfId="12684"/>
    <cellStyle name="Итог 2 2 2 4" xfId="2735"/>
    <cellStyle name="Итог 2 2 2 4 2" xfId="12685"/>
    <cellStyle name="Итог 2 2 2 4 3" xfId="12686"/>
    <cellStyle name="Итог 2 2 2 4 4" xfId="12687"/>
    <cellStyle name="Итог 2 2 2 4 5" xfId="12688"/>
    <cellStyle name="Итог 2 2 2 5" xfId="12689"/>
    <cellStyle name="Итог 2 2 2 5 2" xfId="12690"/>
    <cellStyle name="Итог 2 2 2 5 3" xfId="12691"/>
    <cellStyle name="Итог 2 2 2 5 4" xfId="12692"/>
    <cellStyle name="Итог 2 2 2 6" xfId="12693"/>
    <cellStyle name="Итог 2 2 2 7" xfId="12694"/>
    <cellStyle name="Итог 2 2 2 8" xfId="12695"/>
    <cellStyle name="Итог 2 2 2 9" xfId="12696"/>
    <cellStyle name="Итог 2 2 3" xfId="2736"/>
    <cellStyle name="Итог 2 2 3 10" xfId="12697"/>
    <cellStyle name="Итог 2 2 3 11" xfId="12698"/>
    <cellStyle name="Итог 2 2 3 2" xfId="2737"/>
    <cellStyle name="Итог 2 2 3 2 2" xfId="12699"/>
    <cellStyle name="Итог 2 2 3 2 3" xfId="12700"/>
    <cellStyle name="Итог 2 2 3 2 4" xfId="12701"/>
    <cellStyle name="Итог 2 2 3 2 5" xfId="12702"/>
    <cellStyle name="Итог 2 2 3 3" xfId="2738"/>
    <cellStyle name="Итог 2 2 3 3 2" xfId="12703"/>
    <cellStyle name="Итог 2 2 3 3 3" xfId="12704"/>
    <cellStyle name="Итог 2 2 3 3 4" xfId="12705"/>
    <cellStyle name="Итог 2 2 3 3 5" xfId="12706"/>
    <cellStyle name="Итог 2 2 3 4" xfId="12707"/>
    <cellStyle name="Итог 2 2 3 4 2" xfId="12708"/>
    <cellStyle name="Итог 2 2 3 4 3" xfId="12709"/>
    <cellStyle name="Итог 2 2 3 4 4" xfId="12710"/>
    <cellStyle name="Итог 2 2 3 5" xfId="12711"/>
    <cellStyle name="Итог 2 2 3 6" xfId="12712"/>
    <cellStyle name="Итог 2 2 3 7" xfId="12713"/>
    <cellStyle name="Итог 2 2 3 8" xfId="12714"/>
    <cellStyle name="Итог 2 2 3 9" xfId="12715"/>
    <cellStyle name="Итог 2 2 4" xfId="2739"/>
    <cellStyle name="Итог 2 2 4 2" xfId="12716"/>
    <cellStyle name="Итог 2 2 4 3" xfId="12717"/>
    <cellStyle name="Итог 2 2 4 4" xfId="12718"/>
    <cellStyle name="Итог 2 2 4 5" xfId="12719"/>
    <cellStyle name="Итог 2 2 4 6" xfId="12720"/>
    <cellStyle name="Итог 2 2 4 7" xfId="12721"/>
    <cellStyle name="Итог 2 2 4 8" xfId="12722"/>
    <cellStyle name="Итог 2 2 5" xfId="2740"/>
    <cellStyle name="Итог 2 2 5 2" xfId="12723"/>
    <cellStyle name="Итог 2 2 5 3" xfId="12724"/>
    <cellStyle name="Итог 2 2 5 4" xfId="12725"/>
    <cellStyle name="Итог 2 2 5 5" xfId="12726"/>
    <cellStyle name="Итог 2 2 5 6" xfId="12727"/>
    <cellStyle name="Итог 2 2 5 7" xfId="12728"/>
    <cellStyle name="Итог 2 2 5 8" xfId="12729"/>
    <cellStyle name="Итог 2 2 6" xfId="2741"/>
    <cellStyle name="Итог 2 2 6 2" xfId="12730"/>
    <cellStyle name="Итог 2 2 6 3" xfId="12731"/>
    <cellStyle name="Итог 2 2 6 4" xfId="12732"/>
    <cellStyle name="Итог 2 2 6 5" xfId="12733"/>
    <cellStyle name="Итог 2 2 6 6" xfId="12734"/>
    <cellStyle name="Итог 2 2 6 7" xfId="12735"/>
    <cellStyle name="Итог 2 2 6 8" xfId="12736"/>
    <cellStyle name="Итог 2 2 7" xfId="12737"/>
    <cellStyle name="Итог 2 2 7 2" xfId="12738"/>
    <cellStyle name="Итог 2 2 7 3" xfId="12739"/>
    <cellStyle name="Итог 2 2 7 4" xfId="12740"/>
    <cellStyle name="Итог 2 2 8" xfId="12741"/>
    <cellStyle name="Итог 2 2 9" xfId="12742"/>
    <cellStyle name="Итог 2 3" xfId="2742"/>
    <cellStyle name="Итог 2 3 10" xfId="12743"/>
    <cellStyle name="Итог 2 3 11" xfId="12744"/>
    <cellStyle name="Итог 2 3 12" xfId="12745"/>
    <cellStyle name="Итог 2 3 2" xfId="2743"/>
    <cellStyle name="Итог 2 3 2 2" xfId="12746"/>
    <cellStyle name="Итог 2 3 2 3" xfId="12747"/>
    <cellStyle name="Итог 2 3 2 4" xfId="12748"/>
    <cellStyle name="Итог 2 3 2 5" xfId="12749"/>
    <cellStyle name="Итог 2 3 3" xfId="2744"/>
    <cellStyle name="Итог 2 3 3 2" xfId="12750"/>
    <cellStyle name="Итог 2 3 3 3" xfId="12751"/>
    <cellStyle name="Итог 2 3 3 4" xfId="12752"/>
    <cellStyle name="Итог 2 3 3 5" xfId="12753"/>
    <cellStyle name="Итог 2 3 4" xfId="2745"/>
    <cellStyle name="Итог 2 3 4 2" xfId="12754"/>
    <cellStyle name="Итог 2 3 4 3" xfId="12755"/>
    <cellStyle name="Итог 2 3 4 4" xfId="12756"/>
    <cellStyle name="Итог 2 3 4 5" xfId="12757"/>
    <cellStyle name="Итог 2 3 5" xfId="12758"/>
    <cellStyle name="Итог 2 3 5 2" xfId="12759"/>
    <cellStyle name="Итог 2 3 5 3" xfId="12760"/>
    <cellStyle name="Итог 2 3 5 4" xfId="12761"/>
    <cellStyle name="Итог 2 3 6" xfId="12762"/>
    <cellStyle name="Итог 2 3 7" xfId="12763"/>
    <cellStyle name="Итог 2 3 8" xfId="12764"/>
    <cellStyle name="Итог 2 3 9" xfId="12765"/>
    <cellStyle name="Итог 2 4" xfId="2746"/>
    <cellStyle name="Итог 2 4 10" xfId="12766"/>
    <cellStyle name="Итог 2 4 11" xfId="12767"/>
    <cellStyle name="Итог 2 4 2" xfId="2747"/>
    <cellStyle name="Итог 2 4 2 2" xfId="12768"/>
    <cellStyle name="Итог 2 4 2 3" xfId="12769"/>
    <cellStyle name="Итог 2 4 2 4" xfId="12770"/>
    <cellStyle name="Итог 2 4 2 5" xfId="12771"/>
    <cellStyle name="Итог 2 4 3" xfId="2748"/>
    <cellStyle name="Итог 2 4 3 2" xfId="12772"/>
    <cellStyle name="Итог 2 4 3 3" xfId="12773"/>
    <cellStyle name="Итог 2 4 3 4" xfId="12774"/>
    <cellStyle name="Итог 2 4 3 5" xfId="12775"/>
    <cellStyle name="Итог 2 4 4" xfId="12776"/>
    <cellStyle name="Итог 2 4 4 2" xfId="12777"/>
    <cellStyle name="Итог 2 4 4 3" xfId="12778"/>
    <cellStyle name="Итог 2 4 4 4" xfId="12779"/>
    <cellStyle name="Итог 2 4 5" xfId="12780"/>
    <cellStyle name="Итог 2 4 6" xfId="12781"/>
    <cellStyle name="Итог 2 4 7" xfId="12782"/>
    <cellStyle name="Итог 2 4 8" xfId="12783"/>
    <cellStyle name="Итог 2 4 9" xfId="12784"/>
    <cellStyle name="Итог 2 5" xfId="2749"/>
    <cellStyle name="Итог 2 5 2" xfId="12785"/>
    <cellStyle name="Итог 2 5 3" xfId="12786"/>
    <cellStyle name="Итог 2 5 4" xfId="12787"/>
    <cellStyle name="Итог 2 5 5" xfId="12788"/>
    <cellStyle name="Итог 2 5 6" xfId="12789"/>
    <cellStyle name="Итог 2 5 7" xfId="12790"/>
    <cellStyle name="Итог 2 5 8" xfId="12791"/>
    <cellStyle name="Итог 2 6" xfId="2750"/>
    <cellStyle name="Итог 2 6 2" xfId="12792"/>
    <cellStyle name="Итог 2 6 3" xfId="12793"/>
    <cellStyle name="Итог 2 6 4" xfId="12794"/>
    <cellStyle name="Итог 2 6 5" xfId="12795"/>
    <cellStyle name="Итог 2 6 6" xfId="12796"/>
    <cellStyle name="Итог 2 6 7" xfId="12797"/>
    <cellStyle name="Итог 2 6 8" xfId="12798"/>
    <cellStyle name="Итог 2 7" xfId="2751"/>
    <cellStyle name="Итог 2 7 2" xfId="12799"/>
    <cellStyle name="Итог 2 7 3" xfId="12800"/>
    <cellStyle name="Итог 2 7 4" xfId="12801"/>
    <cellStyle name="Итог 2 7 5" xfId="12802"/>
    <cellStyle name="Итог 2 7 6" xfId="12803"/>
    <cellStyle name="Итог 2 7 7" xfId="12804"/>
    <cellStyle name="Итог 2 7 8" xfId="12805"/>
    <cellStyle name="Итог 2 8" xfId="12806"/>
    <cellStyle name="Итог 2 8 2" xfId="12807"/>
    <cellStyle name="Итог 2 8 3" xfId="12808"/>
    <cellStyle name="Итог 2 8 4" xfId="12809"/>
    <cellStyle name="Итог 2 9" xfId="12810"/>
    <cellStyle name="Итог 3" xfId="2752"/>
    <cellStyle name="Итог 3 10" xfId="12811"/>
    <cellStyle name="Итог 3 11" xfId="12812"/>
    <cellStyle name="Итог 3 12" xfId="12813"/>
    <cellStyle name="Итог 3 13" xfId="12814"/>
    <cellStyle name="Итог 3 14" xfId="12815"/>
    <cellStyle name="Итог 3 2" xfId="2753"/>
    <cellStyle name="Итог 3 2 10" xfId="12816"/>
    <cellStyle name="Итог 3 2 11" xfId="12817"/>
    <cellStyle name="Итог 3 2 12" xfId="12818"/>
    <cellStyle name="Итог 3 2 2" xfId="2754"/>
    <cellStyle name="Итог 3 2 2 2" xfId="12819"/>
    <cellStyle name="Итог 3 2 2 3" xfId="12820"/>
    <cellStyle name="Итог 3 2 2 4" xfId="12821"/>
    <cellStyle name="Итог 3 2 2 5" xfId="12822"/>
    <cellStyle name="Итог 3 2 3" xfId="2755"/>
    <cellStyle name="Итог 3 2 3 2" xfId="12823"/>
    <cellStyle name="Итог 3 2 3 3" xfId="12824"/>
    <cellStyle name="Итог 3 2 3 4" xfId="12825"/>
    <cellStyle name="Итог 3 2 3 5" xfId="12826"/>
    <cellStyle name="Итог 3 2 4" xfId="2756"/>
    <cellStyle name="Итог 3 2 4 2" xfId="12827"/>
    <cellStyle name="Итог 3 2 4 3" xfId="12828"/>
    <cellStyle name="Итог 3 2 4 4" xfId="12829"/>
    <cellStyle name="Итог 3 2 4 5" xfId="12830"/>
    <cellStyle name="Итог 3 2 5" xfId="12831"/>
    <cellStyle name="Итог 3 2 5 2" xfId="12832"/>
    <cellStyle name="Итог 3 2 5 3" xfId="12833"/>
    <cellStyle name="Итог 3 2 5 4" xfId="12834"/>
    <cellStyle name="Итог 3 2 6" xfId="12835"/>
    <cellStyle name="Итог 3 2 7" xfId="12836"/>
    <cellStyle name="Итог 3 2 8" xfId="12837"/>
    <cellStyle name="Итог 3 2 9" xfId="12838"/>
    <cellStyle name="Итог 3 3" xfId="2757"/>
    <cellStyle name="Итог 3 3 10" xfId="12839"/>
    <cellStyle name="Итог 3 3 11" xfId="12840"/>
    <cellStyle name="Итог 3 3 2" xfId="2758"/>
    <cellStyle name="Итог 3 3 2 2" xfId="12841"/>
    <cellStyle name="Итог 3 3 2 3" xfId="12842"/>
    <cellStyle name="Итог 3 3 2 4" xfId="12843"/>
    <cellStyle name="Итог 3 3 2 5" xfId="12844"/>
    <cellStyle name="Итог 3 3 3" xfId="2759"/>
    <cellStyle name="Итог 3 3 3 2" xfId="12845"/>
    <cellStyle name="Итог 3 3 3 3" xfId="12846"/>
    <cellStyle name="Итог 3 3 3 4" xfId="12847"/>
    <cellStyle name="Итог 3 3 3 5" xfId="12848"/>
    <cellStyle name="Итог 3 3 4" xfId="12849"/>
    <cellStyle name="Итог 3 3 4 2" xfId="12850"/>
    <cellStyle name="Итог 3 3 4 3" xfId="12851"/>
    <cellStyle name="Итог 3 3 4 4" xfId="12852"/>
    <cellStyle name="Итог 3 3 5" xfId="12853"/>
    <cellStyle name="Итог 3 3 6" xfId="12854"/>
    <cellStyle name="Итог 3 3 7" xfId="12855"/>
    <cellStyle name="Итог 3 3 8" xfId="12856"/>
    <cellStyle name="Итог 3 3 9" xfId="12857"/>
    <cellStyle name="Итог 3 4" xfId="2760"/>
    <cellStyle name="Итог 3 4 2" xfId="12858"/>
    <cellStyle name="Итог 3 4 3" xfId="12859"/>
    <cellStyle name="Итог 3 4 4" xfId="12860"/>
    <cellStyle name="Итог 3 4 5" xfId="12861"/>
    <cellStyle name="Итог 3 4 6" xfId="12862"/>
    <cellStyle name="Итог 3 4 7" xfId="12863"/>
    <cellStyle name="Итог 3 4 8" xfId="12864"/>
    <cellStyle name="Итог 3 5" xfId="2761"/>
    <cellStyle name="Итог 3 5 2" xfId="12865"/>
    <cellStyle name="Итог 3 5 3" xfId="12866"/>
    <cellStyle name="Итог 3 5 4" xfId="12867"/>
    <cellStyle name="Итог 3 5 5" xfId="12868"/>
    <cellStyle name="Итог 3 5 6" xfId="12869"/>
    <cellStyle name="Итог 3 5 7" xfId="12870"/>
    <cellStyle name="Итог 3 5 8" xfId="12871"/>
    <cellStyle name="Итог 3 6" xfId="2762"/>
    <cellStyle name="Итог 3 6 2" xfId="12872"/>
    <cellStyle name="Итог 3 6 3" xfId="12873"/>
    <cellStyle name="Итог 3 6 4" xfId="12874"/>
    <cellStyle name="Итог 3 6 5" xfId="12875"/>
    <cellStyle name="Итог 3 6 6" xfId="12876"/>
    <cellStyle name="Итог 3 6 7" xfId="12877"/>
    <cellStyle name="Итог 3 6 8" xfId="12878"/>
    <cellStyle name="Итог 3 7" xfId="12879"/>
    <cellStyle name="Итог 3 7 2" xfId="12880"/>
    <cellStyle name="Итог 3 7 3" xfId="12881"/>
    <cellStyle name="Итог 3 7 4" xfId="12882"/>
    <cellStyle name="Итог 3 8" xfId="12883"/>
    <cellStyle name="Итог 3 9" xfId="12884"/>
    <cellStyle name="Итог 4" xfId="2763"/>
    <cellStyle name="Итог 4 10" xfId="12885"/>
    <cellStyle name="Итог 4 11" xfId="12886"/>
    <cellStyle name="Итог 4 12" xfId="12887"/>
    <cellStyle name="Итог 4 13" xfId="12888"/>
    <cellStyle name="Итог 4 14" xfId="12889"/>
    <cellStyle name="Итог 4 2" xfId="2764"/>
    <cellStyle name="Итог 4 2 10" xfId="12890"/>
    <cellStyle name="Итог 4 2 11" xfId="12891"/>
    <cellStyle name="Итог 4 2 12" xfId="12892"/>
    <cellStyle name="Итог 4 2 2" xfId="2765"/>
    <cellStyle name="Итог 4 2 2 2" xfId="12893"/>
    <cellStyle name="Итог 4 2 2 3" xfId="12894"/>
    <cellStyle name="Итог 4 2 2 4" xfId="12895"/>
    <cellStyle name="Итог 4 2 2 5" xfId="12896"/>
    <cellStyle name="Итог 4 2 3" xfId="2766"/>
    <cellStyle name="Итог 4 2 3 2" xfId="12897"/>
    <cellStyle name="Итог 4 2 3 3" xfId="12898"/>
    <cellStyle name="Итог 4 2 3 4" xfId="12899"/>
    <cellStyle name="Итог 4 2 3 5" xfId="12900"/>
    <cellStyle name="Итог 4 2 4" xfId="2767"/>
    <cellStyle name="Итог 4 2 4 2" xfId="12901"/>
    <cellStyle name="Итог 4 2 4 3" xfId="12902"/>
    <cellStyle name="Итог 4 2 4 4" xfId="12903"/>
    <cellStyle name="Итог 4 2 4 5" xfId="12904"/>
    <cellStyle name="Итог 4 2 5" xfId="12905"/>
    <cellStyle name="Итог 4 2 5 2" xfId="12906"/>
    <cellStyle name="Итог 4 2 5 3" xfId="12907"/>
    <cellStyle name="Итог 4 2 5 4" xfId="12908"/>
    <cellStyle name="Итог 4 2 6" xfId="12909"/>
    <cellStyle name="Итог 4 2 7" xfId="12910"/>
    <cellStyle name="Итог 4 2 8" xfId="12911"/>
    <cellStyle name="Итог 4 2 9" xfId="12912"/>
    <cellStyle name="Итог 4 3" xfId="2768"/>
    <cellStyle name="Итог 4 3 10" xfId="12913"/>
    <cellStyle name="Итог 4 3 11" xfId="12914"/>
    <cellStyle name="Итог 4 3 2" xfId="2769"/>
    <cellStyle name="Итог 4 3 2 2" xfId="12915"/>
    <cellStyle name="Итог 4 3 2 3" xfId="12916"/>
    <cellStyle name="Итог 4 3 2 4" xfId="12917"/>
    <cellStyle name="Итог 4 3 2 5" xfId="12918"/>
    <cellStyle name="Итог 4 3 3" xfId="2770"/>
    <cellStyle name="Итог 4 3 3 2" xfId="12919"/>
    <cellStyle name="Итог 4 3 3 3" xfId="12920"/>
    <cellStyle name="Итог 4 3 3 4" xfId="12921"/>
    <cellStyle name="Итог 4 3 3 5" xfId="12922"/>
    <cellStyle name="Итог 4 3 4" xfId="12923"/>
    <cellStyle name="Итог 4 3 4 2" xfId="12924"/>
    <cellStyle name="Итог 4 3 4 3" xfId="12925"/>
    <cellStyle name="Итог 4 3 4 4" xfId="12926"/>
    <cellStyle name="Итог 4 3 5" xfId="12927"/>
    <cellStyle name="Итог 4 3 6" xfId="12928"/>
    <cellStyle name="Итог 4 3 7" xfId="12929"/>
    <cellStyle name="Итог 4 3 8" xfId="12930"/>
    <cellStyle name="Итог 4 3 9" xfId="12931"/>
    <cellStyle name="Итог 4 4" xfId="2771"/>
    <cellStyle name="Итог 4 4 2" xfId="12932"/>
    <cellStyle name="Итог 4 4 3" xfId="12933"/>
    <cellStyle name="Итог 4 4 4" xfId="12934"/>
    <cellStyle name="Итог 4 4 5" xfId="12935"/>
    <cellStyle name="Итог 4 4 6" xfId="12936"/>
    <cellStyle name="Итог 4 4 7" xfId="12937"/>
    <cellStyle name="Итог 4 4 8" xfId="12938"/>
    <cellStyle name="Итог 4 5" xfId="2772"/>
    <cellStyle name="Итог 4 5 2" xfId="12939"/>
    <cellStyle name="Итог 4 5 3" xfId="12940"/>
    <cellStyle name="Итог 4 5 4" xfId="12941"/>
    <cellStyle name="Итог 4 5 5" xfId="12942"/>
    <cellStyle name="Итог 4 5 6" xfId="12943"/>
    <cellStyle name="Итог 4 5 7" xfId="12944"/>
    <cellStyle name="Итог 4 5 8" xfId="12945"/>
    <cellStyle name="Итог 4 6" xfId="2773"/>
    <cellStyle name="Итог 4 6 2" xfId="12946"/>
    <cellStyle name="Итог 4 6 3" xfId="12947"/>
    <cellStyle name="Итог 4 6 4" xfId="12948"/>
    <cellStyle name="Итог 4 6 5" xfId="12949"/>
    <cellStyle name="Итог 4 6 6" xfId="12950"/>
    <cellStyle name="Итог 4 6 7" xfId="12951"/>
    <cellStyle name="Итог 4 6 8" xfId="12952"/>
    <cellStyle name="Итог 4 7" xfId="12953"/>
    <cellStyle name="Итог 4 7 2" xfId="12954"/>
    <cellStyle name="Итог 4 7 3" xfId="12955"/>
    <cellStyle name="Итог 4 7 4" xfId="12956"/>
    <cellStyle name="Итог 4 8" xfId="12957"/>
    <cellStyle name="Итог 4 9" xfId="12958"/>
    <cellStyle name="Итог 5" xfId="2774"/>
    <cellStyle name="Итог 5 10" xfId="12959"/>
    <cellStyle name="Итог 5 11" xfId="12960"/>
    <cellStyle name="Итог 5 12" xfId="12961"/>
    <cellStyle name="Итог 5 13" xfId="12962"/>
    <cellStyle name="Итог 5 14" xfId="12963"/>
    <cellStyle name="Итог 5 2" xfId="2775"/>
    <cellStyle name="Итог 5 2 10" xfId="12964"/>
    <cellStyle name="Итог 5 2 11" xfId="12965"/>
    <cellStyle name="Итог 5 2 12" xfId="12966"/>
    <cellStyle name="Итог 5 2 2" xfId="2776"/>
    <cellStyle name="Итог 5 2 2 2" xfId="12967"/>
    <cellStyle name="Итог 5 2 2 3" xfId="12968"/>
    <cellStyle name="Итог 5 2 2 4" xfId="12969"/>
    <cellStyle name="Итог 5 2 2 5" xfId="12970"/>
    <cellStyle name="Итог 5 2 3" xfId="2777"/>
    <cellStyle name="Итог 5 2 3 2" xfId="12971"/>
    <cellStyle name="Итог 5 2 3 3" xfId="12972"/>
    <cellStyle name="Итог 5 2 3 4" xfId="12973"/>
    <cellStyle name="Итог 5 2 3 5" xfId="12974"/>
    <cellStyle name="Итог 5 2 4" xfId="2778"/>
    <cellStyle name="Итог 5 2 4 2" xfId="12975"/>
    <cellStyle name="Итог 5 2 4 3" xfId="12976"/>
    <cellStyle name="Итог 5 2 4 4" xfId="12977"/>
    <cellStyle name="Итог 5 2 4 5" xfId="12978"/>
    <cellStyle name="Итог 5 2 5" xfId="12979"/>
    <cellStyle name="Итог 5 2 5 2" xfId="12980"/>
    <cellStyle name="Итог 5 2 5 3" xfId="12981"/>
    <cellStyle name="Итог 5 2 5 4" xfId="12982"/>
    <cellStyle name="Итог 5 2 6" xfId="12983"/>
    <cellStyle name="Итог 5 2 7" xfId="12984"/>
    <cellStyle name="Итог 5 2 8" xfId="12985"/>
    <cellStyle name="Итог 5 2 9" xfId="12986"/>
    <cellStyle name="Итог 5 3" xfId="2779"/>
    <cellStyle name="Итог 5 3 10" xfId="12987"/>
    <cellStyle name="Итог 5 3 11" xfId="12988"/>
    <cellStyle name="Итог 5 3 2" xfId="2780"/>
    <cellStyle name="Итог 5 3 2 2" xfId="12989"/>
    <cellStyle name="Итог 5 3 2 3" xfId="12990"/>
    <cellStyle name="Итог 5 3 2 4" xfId="12991"/>
    <cellStyle name="Итог 5 3 2 5" xfId="12992"/>
    <cellStyle name="Итог 5 3 3" xfId="2781"/>
    <cellStyle name="Итог 5 3 3 2" xfId="12993"/>
    <cellStyle name="Итог 5 3 3 3" xfId="12994"/>
    <cellStyle name="Итог 5 3 3 4" xfId="12995"/>
    <cellStyle name="Итог 5 3 3 5" xfId="12996"/>
    <cellStyle name="Итог 5 3 4" xfId="12997"/>
    <cellStyle name="Итог 5 3 4 2" xfId="12998"/>
    <cellStyle name="Итог 5 3 4 3" xfId="12999"/>
    <cellStyle name="Итог 5 3 4 4" xfId="13000"/>
    <cellStyle name="Итог 5 3 5" xfId="13001"/>
    <cellStyle name="Итог 5 3 6" xfId="13002"/>
    <cellStyle name="Итог 5 3 7" xfId="13003"/>
    <cellStyle name="Итог 5 3 8" xfId="13004"/>
    <cellStyle name="Итог 5 3 9" xfId="13005"/>
    <cellStyle name="Итог 5 4" xfId="2782"/>
    <cellStyle name="Итог 5 4 2" xfId="13006"/>
    <cellStyle name="Итог 5 4 3" xfId="13007"/>
    <cellStyle name="Итог 5 4 4" xfId="13008"/>
    <cellStyle name="Итог 5 4 5" xfId="13009"/>
    <cellStyle name="Итог 5 4 6" xfId="13010"/>
    <cellStyle name="Итог 5 4 7" xfId="13011"/>
    <cellStyle name="Итог 5 4 8" xfId="13012"/>
    <cellStyle name="Итог 5 5" xfId="2783"/>
    <cellStyle name="Итог 5 5 2" xfId="13013"/>
    <cellStyle name="Итог 5 5 3" xfId="13014"/>
    <cellStyle name="Итог 5 5 4" xfId="13015"/>
    <cellStyle name="Итог 5 5 5" xfId="13016"/>
    <cellStyle name="Итог 5 5 6" xfId="13017"/>
    <cellStyle name="Итог 5 5 7" xfId="13018"/>
    <cellStyle name="Итог 5 5 8" xfId="13019"/>
    <cellStyle name="Итог 5 6" xfId="2784"/>
    <cellStyle name="Итог 5 6 2" xfId="13020"/>
    <cellStyle name="Итог 5 6 3" xfId="13021"/>
    <cellStyle name="Итог 5 6 4" xfId="13022"/>
    <cellStyle name="Итог 5 6 5" xfId="13023"/>
    <cellStyle name="Итог 5 6 6" xfId="13024"/>
    <cellStyle name="Итог 5 6 7" xfId="13025"/>
    <cellStyle name="Итог 5 6 8" xfId="13026"/>
    <cellStyle name="Итог 5 7" xfId="13027"/>
    <cellStyle name="Итог 5 7 2" xfId="13028"/>
    <cellStyle name="Итог 5 7 3" xfId="13029"/>
    <cellStyle name="Итог 5 7 4" xfId="13030"/>
    <cellStyle name="Итог 5 8" xfId="13031"/>
    <cellStyle name="Итог 5 9" xfId="13032"/>
    <cellStyle name="Итог 6" xfId="2785"/>
    <cellStyle name="Итог 6 10" xfId="13033"/>
    <cellStyle name="Итог 6 11" xfId="13034"/>
    <cellStyle name="Итог 6 12" xfId="13035"/>
    <cellStyle name="Итог 6 13" xfId="13036"/>
    <cellStyle name="Итог 6 14" xfId="13037"/>
    <cellStyle name="Итог 6 2" xfId="2786"/>
    <cellStyle name="Итог 6 2 10" xfId="13038"/>
    <cellStyle name="Итог 6 2 11" xfId="13039"/>
    <cellStyle name="Итог 6 2 12" xfId="13040"/>
    <cellStyle name="Итог 6 2 2" xfId="2787"/>
    <cellStyle name="Итог 6 2 2 2" xfId="13041"/>
    <cellStyle name="Итог 6 2 2 3" xfId="13042"/>
    <cellStyle name="Итог 6 2 2 4" xfId="13043"/>
    <cellStyle name="Итог 6 2 2 5" xfId="13044"/>
    <cellStyle name="Итог 6 2 3" xfId="2788"/>
    <cellStyle name="Итог 6 2 3 2" xfId="13045"/>
    <cellStyle name="Итог 6 2 3 3" xfId="13046"/>
    <cellStyle name="Итог 6 2 3 4" xfId="13047"/>
    <cellStyle name="Итог 6 2 3 5" xfId="13048"/>
    <cellStyle name="Итог 6 2 4" xfId="2789"/>
    <cellStyle name="Итог 6 2 4 2" xfId="13049"/>
    <cellStyle name="Итог 6 2 4 3" xfId="13050"/>
    <cellStyle name="Итог 6 2 4 4" xfId="13051"/>
    <cellStyle name="Итог 6 2 4 5" xfId="13052"/>
    <cellStyle name="Итог 6 2 5" xfId="13053"/>
    <cellStyle name="Итог 6 2 5 2" xfId="13054"/>
    <cellStyle name="Итог 6 2 5 3" xfId="13055"/>
    <cellStyle name="Итог 6 2 5 4" xfId="13056"/>
    <cellStyle name="Итог 6 2 6" xfId="13057"/>
    <cellStyle name="Итог 6 2 7" xfId="13058"/>
    <cellStyle name="Итог 6 2 8" xfId="13059"/>
    <cellStyle name="Итог 6 2 9" xfId="13060"/>
    <cellStyle name="Итог 6 3" xfId="2790"/>
    <cellStyle name="Итог 6 3 10" xfId="13061"/>
    <cellStyle name="Итог 6 3 11" xfId="13062"/>
    <cellStyle name="Итог 6 3 2" xfId="2791"/>
    <cellStyle name="Итог 6 3 2 2" xfId="13063"/>
    <cellStyle name="Итог 6 3 2 3" xfId="13064"/>
    <cellStyle name="Итог 6 3 2 4" xfId="13065"/>
    <cellStyle name="Итог 6 3 2 5" xfId="13066"/>
    <cellStyle name="Итог 6 3 3" xfId="2792"/>
    <cellStyle name="Итог 6 3 3 2" xfId="13067"/>
    <cellStyle name="Итог 6 3 3 3" xfId="13068"/>
    <cellStyle name="Итог 6 3 3 4" xfId="13069"/>
    <cellStyle name="Итог 6 3 3 5" xfId="13070"/>
    <cellStyle name="Итог 6 3 4" xfId="13071"/>
    <cellStyle name="Итог 6 3 4 2" xfId="13072"/>
    <cellStyle name="Итог 6 3 4 3" xfId="13073"/>
    <cellStyle name="Итог 6 3 4 4" xfId="13074"/>
    <cellStyle name="Итог 6 3 5" xfId="13075"/>
    <cellStyle name="Итог 6 3 6" xfId="13076"/>
    <cellStyle name="Итог 6 3 7" xfId="13077"/>
    <cellStyle name="Итог 6 3 8" xfId="13078"/>
    <cellStyle name="Итог 6 3 9" xfId="13079"/>
    <cellStyle name="Итог 6 4" xfId="2793"/>
    <cellStyle name="Итог 6 4 2" xfId="13080"/>
    <cellStyle name="Итог 6 4 3" xfId="13081"/>
    <cellStyle name="Итог 6 4 4" xfId="13082"/>
    <cellStyle name="Итог 6 4 5" xfId="13083"/>
    <cellStyle name="Итог 6 4 6" xfId="13084"/>
    <cellStyle name="Итог 6 4 7" xfId="13085"/>
    <cellStyle name="Итог 6 4 8" xfId="13086"/>
    <cellStyle name="Итог 6 5" xfId="2794"/>
    <cellStyle name="Итог 6 5 2" xfId="13087"/>
    <cellStyle name="Итог 6 5 3" xfId="13088"/>
    <cellStyle name="Итог 6 5 4" xfId="13089"/>
    <cellStyle name="Итог 6 5 5" xfId="13090"/>
    <cellStyle name="Итог 6 5 6" xfId="13091"/>
    <cellStyle name="Итог 6 5 7" xfId="13092"/>
    <cellStyle name="Итог 6 5 8" xfId="13093"/>
    <cellStyle name="Итог 6 6" xfId="2795"/>
    <cellStyle name="Итог 6 6 2" xfId="13094"/>
    <cellStyle name="Итог 6 6 3" xfId="13095"/>
    <cellStyle name="Итог 6 6 4" xfId="13096"/>
    <cellStyle name="Итог 6 6 5" xfId="13097"/>
    <cellStyle name="Итог 6 6 6" xfId="13098"/>
    <cellStyle name="Итог 6 6 7" xfId="13099"/>
    <cellStyle name="Итог 6 6 8" xfId="13100"/>
    <cellStyle name="Итог 6 7" xfId="13101"/>
    <cellStyle name="Итог 6 7 2" xfId="13102"/>
    <cellStyle name="Итог 6 7 3" xfId="13103"/>
    <cellStyle name="Итог 6 7 4" xfId="13104"/>
    <cellStyle name="Итог 6 8" xfId="13105"/>
    <cellStyle name="Итог 6 9" xfId="13106"/>
    <cellStyle name="Контрольная ячейка 2" xfId="2796"/>
    <cellStyle name="Контрольная ячейка 2 2" xfId="2797"/>
    <cellStyle name="Контрольная ячейка 2 2 2" xfId="2798"/>
    <cellStyle name="Контрольная ячейка 2 2 2 2" xfId="2799"/>
    <cellStyle name="Контрольная ячейка 2 2 2 3" xfId="2800"/>
    <cellStyle name="Контрольная ячейка 2 2 3" xfId="2801"/>
    <cellStyle name="Контрольная ячейка 2 2 4" xfId="2802"/>
    <cellStyle name="Контрольная ячейка 2 2 4 2" xfId="13107"/>
    <cellStyle name="Контрольная ячейка 2 2 4 3" xfId="13108"/>
    <cellStyle name="Контрольная ячейка 2 2 4 4" xfId="13109"/>
    <cellStyle name="Контрольная ячейка 2 2 4 5" xfId="13110"/>
    <cellStyle name="Контрольная ячейка 2 2 5" xfId="13111"/>
    <cellStyle name="Контрольная ячейка 2 2 6" xfId="13112"/>
    <cellStyle name="Контрольная ячейка 2 2 7" xfId="13113"/>
    <cellStyle name="Контрольная ячейка 2 2 8" xfId="13114"/>
    <cellStyle name="Контрольная ячейка 2 3" xfId="2803"/>
    <cellStyle name="Контрольная ячейка 2 3 2" xfId="2804"/>
    <cellStyle name="Контрольная ячейка 2 3 3" xfId="2805"/>
    <cellStyle name="Контрольная ячейка 2 4" xfId="2806"/>
    <cellStyle name="Контрольная ячейка 2 5" xfId="2807"/>
    <cellStyle name="Контрольная ячейка 2 5 2" xfId="13115"/>
    <cellStyle name="Контрольная ячейка 2 5 3" xfId="13116"/>
    <cellStyle name="Контрольная ячейка 2 5 4" xfId="13117"/>
    <cellStyle name="Контрольная ячейка 2 5 5" xfId="13118"/>
    <cellStyle name="Контрольная ячейка 2 6" xfId="13119"/>
    <cellStyle name="Контрольная ячейка 2 7" xfId="13120"/>
    <cellStyle name="Контрольная ячейка 2 8" xfId="13121"/>
    <cellStyle name="Контрольная ячейка 2 9" xfId="13122"/>
    <cellStyle name="Контрольная ячейка 3" xfId="2808"/>
    <cellStyle name="Контрольная ячейка 3 2" xfId="2809"/>
    <cellStyle name="Контрольная ячейка 3 2 2" xfId="2810"/>
    <cellStyle name="Контрольная ячейка 3 2 3" xfId="2811"/>
    <cellStyle name="Контрольная ячейка 3 3" xfId="2812"/>
    <cellStyle name="Контрольная ячейка 3 4" xfId="2813"/>
    <cellStyle name="Контрольная ячейка 3 4 2" xfId="13123"/>
    <cellStyle name="Контрольная ячейка 3 4 3" xfId="13124"/>
    <cellStyle name="Контрольная ячейка 3 4 4" xfId="13125"/>
    <cellStyle name="Контрольная ячейка 3 4 5" xfId="13126"/>
    <cellStyle name="Контрольная ячейка 3 5" xfId="13127"/>
    <cellStyle name="Контрольная ячейка 3 6" xfId="13128"/>
    <cellStyle name="Контрольная ячейка 3 7" xfId="13129"/>
    <cellStyle name="Контрольная ячейка 3 8" xfId="13130"/>
    <cellStyle name="Контрольная ячейка 4" xfId="2814"/>
    <cellStyle name="Контрольная ячейка 4 2" xfId="2815"/>
    <cellStyle name="Контрольная ячейка 4 2 2" xfId="2816"/>
    <cellStyle name="Контрольная ячейка 4 2 3" xfId="2817"/>
    <cellStyle name="Контрольная ячейка 4 3" xfId="2818"/>
    <cellStyle name="Контрольная ячейка 4 4" xfId="2819"/>
    <cellStyle name="Контрольная ячейка 4 4 2" xfId="13131"/>
    <cellStyle name="Контрольная ячейка 4 4 3" xfId="13132"/>
    <cellStyle name="Контрольная ячейка 4 4 4" xfId="13133"/>
    <cellStyle name="Контрольная ячейка 4 4 5" xfId="13134"/>
    <cellStyle name="Контрольная ячейка 4 5" xfId="13135"/>
    <cellStyle name="Контрольная ячейка 4 6" xfId="13136"/>
    <cellStyle name="Контрольная ячейка 4 7" xfId="13137"/>
    <cellStyle name="Контрольная ячейка 4 8" xfId="13138"/>
    <cellStyle name="Контрольная ячейка 5" xfId="2820"/>
    <cellStyle name="Контрольная ячейка 5 2" xfId="2821"/>
    <cellStyle name="Контрольная ячейка 5 2 2" xfId="2822"/>
    <cellStyle name="Контрольная ячейка 5 2 3" xfId="2823"/>
    <cellStyle name="Контрольная ячейка 5 3" xfId="2824"/>
    <cellStyle name="Контрольная ячейка 5 4" xfId="2825"/>
    <cellStyle name="Контрольная ячейка 5 4 2" xfId="13139"/>
    <cellStyle name="Контрольная ячейка 5 4 3" xfId="13140"/>
    <cellStyle name="Контрольная ячейка 5 4 4" xfId="13141"/>
    <cellStyle name="Контрольная ячейка 5 4 5" xfId="13142"/>
    <cellStyle name="Контрольная ячейка 5 5" xfId="13143"/>
    <cellStyle name="Контрольная ячейка 5 6" xfId="13144"/>
    <cellStyle name="Контрольная ячейка 5 7" xfId="13145"/>
    <cellStyle name="Контрольная ячейка 5 8" xfId="13146"/>
    <cellStyle name="Контрольная ячейка 6" xfId="2826"/>
    <cellStyle name="Контрольная ячейка 6 2" xfId="2827"/>
    <cellStyle name="Контрольная ячейка 6 2 2" xfId="2828"/>
    <cellStyle name="Контрольная ячейка 6 2 3" xfId="2829"/>
    <cellStyle name="Контрольная ячейка 6 3" xfId="2830"/>
    <cellStyle name="Контрольная ячейка 6 4" xfId="2831"/>
    <cellStyle name="Контрольная ячейка 6 4 2" xfId="13147"/>
    <cellStyle name="Контрольная ячейка 6 4 3" xfId="13148"/>
    <cellStyle name="Контрольная ячейка 6 4 4" xfId="13149"/>
    <cellStyle name="Контрольная ячейка 6 4 5" xfId="13150"/>
    <cellStyle name="Контрольная ячейка 6 5" xfId="13151"/>
    <cellStyle name="Контрольная ячейка 6 6" xfId="13152"/>
    <cellStyle name="Контрольная ячейка 6 7" xfId="13153"/>
    <cellStyle name="Контрольная ячейка 6 8" xfId="13154"/>
    <cellStyle name="Название 2" xfId="2832"/>
    <cellStyle name="Название 2 2" xfId="2833"/>
    <cellStyle name="Название 2 2 2" xfId="2834"/>
    <cellStyle name="Название 2 2 3" xfId="2835"/>
    <cellStyle name="Название 2 3" xfId="2836"/>
    <cellStyle name="Название 2 4" xfId="2837"/>
    <cellStyle name="Название 2 4 2" xfId="13155"/>
    <cellStyle name="Название 2 4 3" xfId="13156"/>
    <cellStyle name="Название 2 4 4" xfId="13157"/>
    <cellStyle name="Название 2 4 5" xfId="13158"/>
    <cellStyle name="Название 2 5" xfId="13159"/>
    <cellStyle name="Название 2 6" xfId="13160"/>
    <cellStyle name="Название 2 7" xfId="13161"/>
    <cellStyle name="Название 2 8" xfId="13162"/>
    <cellStyle name="Название 3" xfId="2838"/>
    <cellStyle name="Название 3 2" xfId="2839"/>
    <cellStyle name="Название 3 2 2" xfId="2840"/>
    <cellStyle name="Название 3 2 3" xfId="2841"/>
    <cellStyle name="Название 3 3" xfId="2842"/>
    <cellStyle name="Название 3 4" xfId="2843"/>
    <cellStyle name="Название 3 4 2" xfId="13163"/>
    <cellStyle name="Название 3 4 3" xfId="13164"/>
    <cellStyle name="Название 3 4 4" xfId="13165"/>
    <cellStyle name="Название 3 4 5" xfId="13166"/>
    <cellStyle name="Название 3 5" xfId="13167"/>
    <cellStyle name="Название 3 6" xfId="13168"/>
    <cellStyle name="Название 3 7" xfId="13169"/>
    <cellStyle name="Название 3 8" xfId="13170"/>
    <cellStyle name="Название 4" xfId="2844"/>
    <cellStyle name="Название 4 2" xfId="2845"/>
    <cellStyle name="Название 4 2 2" xfId="2846"/>
    <cellStyle name="Название 4 2 3" xfId="2847"/>
    <cellStyle name="Название 4 3" xfId="2848"/>
    <cellStyle name="Название 4 4" xfId="2849"/>
    <cellStyle name="Название 4 4 2" xfId="13171"/>
    <cellStyle name="Название 4 4 3" xfId="13172"/>
    <cellStyle name="Название 4 4 4" xfId="13173"/>
    <cellStyle name="Название 4 4 5" xfId="13174"/>
    <cellStyle name="Название 4 5" xfId="13175"/>
    <cellStyle name="Название 4 6" xfId="13176"/>
    <cellStyle name="Название 4 7" xfId="13177"/>
    <cellStyle name="Название 4 8" xfId="13178"/>
    <cellStyle name="Название 5" xfId="2850"/>
    <cellStyle name="Название 5 2" xfId="2851"/>
    <cellStyle name="Название 5 2 2" xfId="2852"/>
    <cellStyle name="Название 5 2 3" xfId="2853"/>
    <cellStyle name="Название 5 3" xfId="2854"/>
    <cellStyle name="Название 5 4" xfId="2855"/>
    <cellStyle name="Название 5 4 2" xfId="13179"/>
    <cellStyle name="Название 5 4 3" xfId="13180"/>
    <cellStyle name="Название 5 4 4" xfId="13181"/>
    <cellStyle name="Название 5 4 5" xfId="13182"/>
    <cellStyle name="Название 5 5" xfId="13183"/>
    <cellStyle name="Название 5 6" xfId="13184"/>
    <cellStyle name="Название 5 7" xfId="13185"/>
    <cellStyle name="Название 5 8" xfId="13186"/>
    <cellStyle name="Название 6" xfId="2856"/>
    <cellStyle name="Название 6 2" xfId="2857"/>
    <cellStyle name="Название 6 2 2" xfId="2858"/>
    <cellStyle name="Название 6 2 3" xfId="2859"/>
    <cellStyle name="Название 6 3" xfId="2860"/>
    <cellStyle name="Название 6 4" xfId="2861"/>
    <cellStyle name="Название 6 4 2" xfId="13187"/>
    <cellStyle name="Название 6 4 3" xfId="13188"/>
    <cellStyle name="Название 6 4 4" xfId="13189"/>
    <cellStyle name="Название 6 4 5" xfId="13190"/>
    <cellStyle name="Название 6 5" xfId="13191"/>
    <cellStyle name="Название 6 6" xfId="13192"/>
    <cellStyle name="Название 6 7" xfId="13193"/>
    <cellStyle name="Название 6 8" xfId="13194"/>
    <cellStyle name="Нейтральный 2" xfId="2862"/>
    <cellStyle name="Нейтральный 2 2" xfId="2863"/>
    <cellStyle name="Нейтральный 2 2 2" xfId="2864"/>
    <cellStyle name="Нейтральный 2 2 2 2" xfId="2865"/>
    <cellStyle name="Нейтральный 2 2 2 3" xfId="2866"/>
    <cellStyle name="Нейтральный 2 2 3" xfId="2867"/>
    <cellStyle name="Нейтральный 2 2 4" xfId="2868"/>
    <cellStyle name="Нейтральный 2 2 4 2" xfId="13195"/>
    <cellStyle name="Нейтральный 2 2 4 3" xfId="13196"/>
    <cellStyle name="Нейтральный 2 2 4 4" xfId="13197"/>
    <cellStyle name="Нейтральный 2 2 4 5" xfId="13198"/>
    <cellStyle name="Нейтральный 2 2 5" xfId="13199"/>
    <cellStyle name="Нейтральный 2 2 6" xfId="13200"/>
    <cellStyle name="Нейтральный 2 2 7" xfId="13201"/>
    <cellStyle name="Нейтральный 2 2 8" xfId="13202"/>
    <cellStyle name="Нейтральный 2 3" xfId="2869"/>
    <cellStyle name="Нейтральный 2 3 2" xfId="2870"/>
    <cellStyle name="Нейтральный 2 3 2 2" xfId="13203"/>
    <cellStyle name="Нейтральный 2 3 2 3" xfId="13204"/>
    <cellStyle name="Нейтральный 2 3 2 4" xfId="13205"/>
    <cellStyle name="Нейтральный 2 3 2 5" xfId="13206"/>
    <cellStyle name="Нейтральный 2 3 2 6" xfId="13207"/>
    <cellStyle name="Нейтральный 2 3 3" xfId="2871"/>
    <cellStyle name="Нейтральный 2 3 3 2" xfId="13208"/>
    <cellStyle name="Нейтральный 2 3 3 3" xfId="13209"/>
    <cellStyle name="Нейтральный 2 3 3 4" xfId="13210"/>
    <cellStyle name="Нейтральный 2 3 3 5" xfId="13211"/>
    <cellStyle name="Нейтральный 2 3 3 6" xfId="13212"/>
    <cellStyle name="Нейтральный 2 3 4" xfId="13213"/>
    <cellStyle name="Нейтральный 2 3 5" xfId="13214"/>
    <cellStyle name="Нейтральный 2 3 6" xfId="13215"/>
    <cellStyle name="Нейтральный 2 3 7" xfId="13216"/>
    <cellStyle name="Нейтральный 2 3 8" xfId="13217"/>
    <cellStyle name="Нейтральный 2 4" xfId="2872"/>
    <cellStyle name="Нейтральный 2 4 2" xfId="13218"/>
    <cellStyle name="Нейтральный 2 4 3" xfId="13219"/>
    <cellStyle name="Нейтральный 2 4 4" xfId="13220"/>
    <cellStyle name="Нейтральный 2 4 5" xfId="13221"/>
    <cellStyle name="Нейтральный 2 4 6" xfId="13222"/>
    <cellStyle name="Нейтральный 2 5" xfId="2873"/>
    <cellStyle name="Нейтральный 2 5 2" xfId="13223"/>
    <cellStyle name="Нейтральный 2 5 3" xfId="13224"/>
    <cellStyle name="Нейтральный 2 5 4" xfId="13225"/>
    <cellStyle name="Нейтральный 2 5 5" xfId="13226"/>
    <cellStyle name="Нейтральный 2 6" xfId="13227"/>
    <cellStyle name="Нейтральный 2 7" xfId="13228"/>
    <cellStyle name="Нейтральный 2 8" xfId="13229"/>
    <cellStyle name="Нейтральный 2 9" xfId="13230"/>
    <cellStyle name="Нейтральный 3" xfId="2874"/>
    <cellStyle name="Нейтральный 3 2" xfId="2875"/>
    <cellStyle name="Нейтральный 3 2 2" xfId="2876"/>
    <cellStyle name="Нейтральный 3 2 2 2" xfId="13231"/>
    <cellStyle name="Нейтральный 3 2 2 3" xfId="13232"/>
    <cellStyle name="Нейтральный 3 2 2 4" xfId="13233"/>
    <cellStyle name="Нейтральный 3 2 2 5" xfId="13234"/>
    <cellStyle name="Нейтральный 3 2 2 6" xfId="13235"/>
    <cellStyle name="Нейтральный 3 2 3" xfId="2877"/>
    <cellStyle name="Нейтральный 3 2 3 2" xfId="13236"/>
    <cellStyle name="Нейтральный 3 2 3 3" xfId="13237"/>
    <cellStyle name="Нейтральный 3 2 3 4" xfId="13238"/>
    <cellStyle name="Нейтральный 3 2 3 5" xfId="13239"/>
    <cellStyle name="Нейтральный 3 2 3 6" xfId="13240"/>
    <cellStyle name="Нейтральный 3 2 4" xfId="13241"/>
    <cellStyle name="Нейтральный 3 2 5" xfId="13242"/>
    <cellStyle name="Нейтральный 3 2 6" xfId="13243"/>
    <cellStyle name="Нейтральный 3 2 7" xfId="13244"/>
    <cellStyle name="Нейтральный 3 2 8" xfId="13245"/>
    <cellStyle name="Нейтральный 3 3" xfId="2878"/>
    <cellStyle name="Нейтральный 3 3 2" xfId="13246"/>
    <cellStyle name="Нейтральный 3 3 3" xfId="13247"/>
    <cellStyle name="Нейтральный 3 3 4" xfId="13248"/>
    <cellStyle name="Нейтральный 3 3 5" xfId="13249"/>
    <cellStyle name="Нейтральный 3 3 6" xfId="13250"/>
    <cellStyle name="Нейтральный 3 4" xfId="2879"/>
    <cellStyle name="Нейтральный 3 4 2" xfId="13251"/>
    <cellStyle name="Нейтральный 3 4 3" xfId="13252"/>
    <cellStyle name="Нейтральный 3 4 4" xfId="13253"/>
    <cellStyle name="Нейтральный 3 4 5" xfId="13254"/>
    <cellStyle name="Нейтральный 3 5" xfId="13255"/>
    <cellStyle name="Нейтральный 3 6" xfId="13256"/>
    <cellStyle name="Нейтральный 3 7" xfId="13257"/>
    <cellStyle name="Нейтральный 3 8" xfId="13258"/>
    <cellStyle name="Нейтральный 4" xfId="2880"/>
    <cellStyle name="Нейтральный 4 2" xfId="2881"/>
    <cellStyle name="Нейтральный 4 2 2" xfId="2882"/>
    <cellStyle name="Нейтральный 4 2 2 2" xfId="13259"/>
    <cellStyle name="Нейтральный 4 2 2 3" xfId="13260"/>
    <cellStyle name="Нейтральный 4 2 2 4" xfId="13261"/>
    <cellStyle name="Нейтральный 4 2 2 5" xfId="13262"/>
    <cellStyle name="Нейтральный 4 2 2 6" xfId="13263"/>
    <cellStyle name="Нейтральный 4 2 3" xfId="2883"/>
    <cellStyle name="Нейтральный 4 2 3 2" xfId="13264"/>
    <cellStyle name="Нейтральный 4 2 3 3" xfId="13265"/>
    <cellStyle name="Нейтральный 4 2 3 4" xfId="13266"/>
    <cellStyle name="Нейтральный 4 2 3 5" xfId="13267"/>
    <cellStyle name="Нейтральный 4 2 3 6" xfId="13268"/>
    <cellStyle name="Нейтральный 4 2 4" xfId="13269"/>
    <cellStyle name="Нейтральный 4 2 5" xfId="13270"/>
    <cellStyle name="Нейтральный 4 2 6" xfId="13271"/>
    <cellStyle name="Нейтральный 4 2 7" xfId="13272"/>
    <cellStyle name="Нейтральный 4 2 8" xfId="13273"/>
    <cellStyle name="Нейтральный 4 3" xfId="2884"/>
    <cellStyle name="Нейтральный 4 3 2" xfId="13274"/>
    <cellStyle name="Нейтральный 4 3 3" xfId="13275"/>
    <cellStyle name="Нейтральный 4 3 4" xfId="13276"/>
    <cellStyle name="Нейтральный 4 3 5" xfId="13277"/>
    <cellStyle name="Нейтральный 4 3 6" xfId="13278"/>
    <cellStyle name="Нейтральный 4 4" xfId="2885"/>
    <cellStyle name="Нейтральный 4 4 2" xfId="13279"/>
    <cellStyle name="Нейтральный 4 4 3" xfId="13280"/>
    <cellStyle name="Нейтральный 4 4 4" xfId="13281"/>
    <cellStyle name="Нейтральный 4 4 5" xfId="13282"/>
    <cellStyle name="Нейтральный 4 5" xfId="13283"/>
    <cellStyle name="Нейтральный 4 6" xfId="13284"/>
    <cellStyle name="Нейтральный 4 7" xfId="13285"/>
    <cellStyle name="Нейтральный 4 8" xfId="13286"/>
    <cellStyle name="Нейтральный 5" xfId="2886"/>
    <cellStyle name="Нейтральный 5 2" xfId="2887"/>
    <cellStyle name="Нейтральный 5 2 2" xfId="2888"/>
    <cellStyle name="Нейтральный 5 2 2 2" xfId="13287"/>
    <cellStyle name="Нейтральный 5 2 2 3" xfId="13288"/>
    <cellStyle name="Нейтральный 5 2 2 4" xfId="13289"/>
    <cellStyle name="Нейтральный 5 2 2 5" xfId="13290"/>
    <cellStyle name="Нейтральный 5 2 2 6" xfId="13291"/>
    <cellStyle name="Нейтральный 5 2 3" xfId="2889"/>
    <cellStyle name="Нейтральный 5 2 3 2" xfId="13292"/>
    <cellStyle name="Нейтральный 5 2 3 3" xfId="13293"/>
    <cellStyle name="Нейтральный 5 2 3 4" xfId="13294"/>
    <cellStyle name="Нейтральный 5 2 3 5" xfId="13295"/>
    <cellStyle name="Нейтральный 5 2 3 6" xfId="13296"/>
    <cellStyle name="Нейтральный 5 2 4" xfId="13297"/>
    <cellStyle name="Нейтральный 5 2 5" xfId="13298"/>
    <cellStyle name="Нейтральный 5 2 6" xfId="13299"/>
    <cellStyle name="Нейтральный 5 2 7" xfId="13300"/>
    <cellStyle name="Нейтральный 5 2 8" xfId="13301"/>
    <cellStyle name="Нейтральный 5 3" xfId="2890"/>
    <cellStyle name="Нейтральный 5 3 2" xfId="13302"/>
    <cellStyle name="Нейтральный 5 3 3" xfId="13303"/>
    <cellStyle name="Нейтральный 5 3 4" xfId="13304"/>
    <cellStyle name="Нейтральный 5 3 5" xfId="13305"/>
    <cellStyle name="Нейтральный 5 3 6" xfId="13306"/>
    <cellStyle name="Нейтральный 5 4" xfId="2891"/>
    <cellStyle name="Нейтральный 5 4 2" xfId="13307"/>
    <cellStyle name="Нейтральный 5 4 3" xfId="13308"/>
    <cellStyle name="Нейтральный 5 4 4" xfId="13309"/>
    <cellStyle name="Нейтральный 5 4 5" xfId="13310"/>
    <cellStyle name="Нейтральный 5 5" xfId="13311"/>
    <cellStyle name="Нейтральный 5 6" xfId="13312"/>
    <cellStyle name="Нейтральный 5 7" xfId="13313"/>
    <cellStyle name="Нейтральный 5 8" xfId="13314"/>
    <cellStyle name="Нейтральный 6" xfId="2892"/>
    <cellStyle name="Нейтральный 6 2" xfId="2893"/>
    <cellStyle name="Нейтральный 6 2 2" xfId="2894"/>
    <cellStyle name="Нейтральный 6 2 2 2" xfId="13315"/>
    <cellStyle name="Нейтральный 6 2 2 3" xfId="13316"/>
    <cellStyle name="Нейтральный 6 2 2 4" xfId="13317"/>
    <cellStyle name="Нейтральный 6 2 2 5" xfId="13318"/>
    <cellStyle name="Нейтральный 6 2 2 6" xfId="13319"/>
    <cellStyle name="Нейтральный 6 2 3" xfId="2895"/>
    <cellStyle name="Нейтральный 6 2 3 2" xfId="13320"/>
    <cellStyle name="Нейтральный 6 2 3 3" xfId="13321"/>
    <cellStyle name="Нейтральный 6 2 3 4" xfId="13322"/>
    <cellStyle name="Нейтральный 6 2 3 5" xfId="13323"/>
    <cellStyle name="Нейтральный 6 2 3 6" xfId="13324"/>
    <cellStyle name="Нейтральный 6 2 4" xfId="13325"/>
    <cellStyle name="Нейтральный 6 2 5" xfId="13326"/>
    <cellStyle name="Нейтральный 6 2 6" xfId="13327"/>
    <cellStyle name="Нейтральный 6 2 7" xfId="13328"/>
    <cellStyle name="Нейтральный 6 2 8" xfId="13329"/>
    <cellStyle name="Нейтральный 6 3" xfId="2896"/>
    <cellStyle name="Нейтральный 6 3 2" xfId="13330"/>
    <cellStyle name="Нейтральный 6 3 3" xfId="13331"/>
    <cellStyle name="Нейтральный 6 3 4" xfId="13332"/>
    <cellStyle name="Нейтральный 6 3 5" xfId="13333"/>
    <cellStyle name="Нейтральный 6 3 6" xfId="13334"/>
    <cellStyle name="Нейтральный 6 4" xfId="2897"/>
    <cellStyle name="Нейтральный 6 4 2" xfId="13335"/>
    <cellStyle name="Нейтральный 6 4 3" xfId="13336"/>
    <cellStyle name="Нейтральный 6 4 4" xfId="13337"/>
    <cellStyle name="Нейтральный 6 4 5" xfId="13338"/>
    <cellStyle name="Нейтральный 6 5" xfId="13339"/>
    <cellStyle name="Нейтральный 6 6" xfId="13340"/>
    <cellStyle name="Нейтральный 6 7" xfId="13341"/>
    <cellStyle name="Нейтральный 6 8" xfId="13342"/>
    <cellStyle name="Обычный" xfId="0" builtinId="0"/>
    <cellStyle name="Обычный 10" xfId="2898"/>
    <cellStyle name="Обычный 10 10" xfId="2899"/>
    <cellStyle name="Обычный 10 10 10" xfId="13343"/>
    <cellStyle name="Обычный 10 10 11" xfId="13344"/>
    <cellStyle name="Обычный 10 10 12" xfId="13345"/>
    <cellStyle name="Обычный 10 10 2" xfId="2900"/>
    <cellStyle name="Обычный 10 10 2 10" xfId="13346"/>
    <cellStyle name="Обычный 10 10 2 11" xfId="13347"/>
    <cellStyle name="Обычный 10 10 2 12" xfId="13348"/>
    <cellStyle name="Обычный 10 10 2 2" xfId="2901"/>
    <cellStyle name="Обычный 10 10 2 2 2" xfId="13349"/>
    <cellStyle name="Обычный 10 10 2 2 3" xfId="13350"/>
    <cellStyle name="Обычный 10 10 2 2 4" xfId="13351"/>
    <cellStyle name="Обычный 10 10 2 2 5" xfId="13352"/>
    <cellStyle name="Обычный 10 10 2 2 6" xfId="13353"/>
    <cellStyle name="Обычный 10 10 2 2 7" xfId="13354"/>
    <cellStyle name="Обычный 10 10 2 2 8" xfId="13355"/>
    <cellStyle name="Обычный 10 10 2 2 9" xfId="13356"/>
    <cellStyle name="Обычный 10 10 2 3" xfId="2902"/>
    <cellStyle name="Обычный 10 10 2 3 2" xfId="13357"/>
    <cellStyle name="Обычный 10 10 2 3 3" xfId="13358"/>
    <cellStyle name="Обычный 10 10 2 3 4" xfId="13359"/>
    <cellStyle name="Обычный 10 10 2 3 5" xfId="13360"/>
    <cellStyle name="Обычный 10 10 2 3 6" xfId="13361"/>
    <cellStyle name="Обычный 10 10 2 3 7" xfId="13362"/>
    <cellStyle name="Обычный 10 10 2 3 8" xfId="13363"/>
    <cellStyle name="Обычный 10 10 2 3 9" xfId="13364"/>
    <cellStyle name="Обычный 10 10 2 4" xfId="2903"/>
    <cellStyle name="Обычный 10 10 2 4 2" xfId="13365"/>
    <cellStyle name="Обычный 10 10 2 4 3" xfId="13366"/>
    <cellStyle name="Обычный 10 10 2 4 4" xfId="13367"/>
    <cellStyle name="Обычный 10 10 2 4 5" xfId="13368"/>
    <cellStyle name="Обычный 10 10 2 4 6" xfId="13369"/>
    <cellStyle name="Обычный 10 10 2 4 7" xfId="13370"/>
    <cellStyle name="Обычный 10 10 2 4 8" xfId="13371"/>
    <cellStyle name="Обычный 10 10 2 4 9" xfId="13372"/>
    <cellStyle name="Обычный 10 10 2 5" xfId="13373"/>
    <cellStyle name="Обычный 10 10 2 6" xfId="13374"/>
    <cellStyle name="Обычный 10 10 2 7" xfId="13375"/>
    <cellStyle name="Обычный 10 10 2 8" xfId="13376"/>
    <cellStyle name="Обычный 10 10 2 9" xfId="13377"/>
    <cellStyle name="Обычный 10 10 3" xfId="2904"/>
    <cellStyle name="Обычный 10 10 3 10" xfId="13378"/>
    <cellStyle name="Обычный 10 10 3 11" xfId="13379"/>
    <cellStyle name="Обычный 10 10 3 2" xfId="2905"/>
    <cellStyle name="Обычный 10 10 3 2 2" xfId="13380"/>
    <cellStyle name="Обычный 10 10 3 2 3" xfId="13381"/>
    <cellStyle name="Обычный 10 10 3 2 4" xfId="13382"/>
    <cellStyle name="Обычный 10 10 3 2 5" xfId="13383"/>
    <cellStyle name="Обычный 10 10 3 2 6" xfId="13384"/>
    <cellStyle name="Обычный 10 10 3 2 7" xfId="13385"/>
    <cellStyle name="Обычный 10 10 3 2 8" xfId="13386"/>
    <cellStyle name="Обычный 10 10 3 2 9" xfId="13387"/>
    <cellStyle name="Обычный 10 10 3 3" xfId="2906"/>
    <cellStyle name="Обычный 10 10 3 3 2" xfId="13388"/>
    <cellStyle name="Обычный 10 10 3 3 3" xfId="13389"/>
    <cellStyle name="Обычный 10 10 3 3 4" xfId="13390"/>
    <cellStyle name="Обычный 10 10 3 3 5" xfId="13391"/>
    <cellStyle name="Обычный 10 10 3 3 6" xfId="13392"/>
    <cellStyle name="Обычный 10 10 3 3 7" xfId="13393"/>
    <cellStyle name="Обычный 10 10 3 3 8" xfId="13394"/>
    <cellStyle name="Обычный 10 10 3 3 9" xfId="13395"/>
    <cellStyle name="Обычный 10 10 3 4" xfId="13396"/>
    <cellStyle name="Обычный 10 10 3 5" xfId="13397"/>
    <cellStyle name="Обычный 10 10 3 6" xfId="13398"/>
    <cellStyle name="Обычный 10 10 3 7" xfId="13399"/>
    <cellStyle name="Обычный 10 10 3 8" xfId="13400"/>
    <cellStyle name="Обычный 10 10 3 9" xfId="13401"/>
    <cellStyle name="Обычный 10 10 4" xfId="2907"/>
    <cellStyle name="Обычный 10 10 4 2" xfId="13402"/>
    <cellStyle name="Обычный 10 10 4 3" xfId="13403"/>
    <cellStyle name="Обычный 10 10 4 4" xfId="13404"/>
    <cellStyle name="Обычный 10 10 4 5" xfId="13405"/>
    <cellStyle name="Обычный 10 10 4 6" xfId="13406"/>
    <cellStyle name="Обычный 10 10 4 7" xfId="13407"/>
    <cellStyle name="Обычный 10 10 4 8" xfId="13408"/>
    <cellStyle name="Обычный 10 10 4 9" xfId="13409"/>
    <cellStyle name="Обычный 10 10 5" xfId="13410"/>
    <cellStyle name="Обычный 10 10 6" xfId="13411"/>
    <cellStyle name="Обычный 10 10 7" xfId="13412"/>
    <cellStyle name="Обычный 10 10 8" xfId="13413"/>
    <cellStyle name="Обычный 10 10 9" xfId="13414"/>
    <cellStyle name="Обычный 10 2" xfId="2908"/>
    <cellStyle name="Обычный 10 2 2" xfId="2909"/>
    <cellStyle name="Обычный 10 2 2 2" xfId="13415"/>
    <cellStyle name="Обычный 10 2 2 3" xfId="13416"/>
    <cellStyle name="Обычный 10 2 2 4" xfId="13417"/>
    <cellStyle name="Обычный 10 2 2 5" xfId="13418"/>
    <cellStyle name="Обычный 10 2 2 6" xfId="13419"/>
    <cellStyle name="Обычный 10 2 3" xfId="2910"/>
    <cellStyle name="Обычный 10 2 3 2" xfId="13420"/>
    <cellStyle name="Обычный 10 2 3 3" xfId="13421"/>
    <cellStyle name="Обычный 10 2 3 4" xfId="13422"/>
    <cellStyle name="Обычный 10 2 3 5" xfId="13423"/>
    <cellStyle name="Обычный 10 2 3 6" xfId="13424"/>
    <cellStyle name="Обычный 10 2 4" xfId="13425"/>
    <cellStyle name="Обычный 10 2 5" xfId="13426"/>
    <cellStyle name="Обычный 10 2 6" xfId="13427"/>
    <cellStyle name="Обычный 10 2 7" xfId="13428"/>
    <cellStyle name="Обычный 10 2 8" xfId="13429"/>
    <cellStyle name="Обычный 10 3" xfId="2911"/>
    <cellStyle name="Обычный 10 3 2" xfId="13430"/>
    <cellStyle name="Обычный 10 3 3" xfId="13431"/>
    <cellStyle name="Обычный 10 3 4" xfId="13432"/>
    <cellStyle name="Обычный 10 3 5" xfId="13433"/>
    <cellStyle name="Обычный 10 3 6" xfId="13434"/>
    <cellStyle name="Обычный 10 4" xfId="2912"/>
    <cellStyle name="Обычный 10 4 2" xfId="13435"/>
    <cellStyle name="Обычный 10 4 3" xfId="13436"/>
    <cellStyle name="Обычный 10 4 4" xfId="13437"/>
    <cellStyle name="Обычный 10 4 5" xfId="13438"/>
    <cellStyle name="Обычный 10 5" xfId="13439"/>
    <cellStyle name="Обычный 10 6" xfId="13440"/>
    <cellStyle name="Обычный 10 7" xfId="13441"/>
    <cellStyle name="Обычный 10 8" xfId="13442"/>
    <cellStyle name="Обычный 11" xfId="2913"/>
    <cellStyle name="Обычный 11 2" xfId="2914"/>
    <cellStyle name="Обычный 11 2 2" xfId="2915"/>
    <cellStyle name="Обычный 11 2 2 10" xfId="13443"/>
    <cellStyle name="Обычный 11 2 2 11" xfId="13444"/>
    <cellStyle name="Обычный 11 2 2 12" xfId="13445"/>
    <cellStyle name="Обычный 11 2 2 2" xfId="2916"/>
    <cellStyle name="Обычный 11 2 2 2 10" xfId="13446"/>
    <cellStyle name="Обычный 11 2 2 2 11" xfId="13447"/>
    <cellStyle name="Обычный 11 2 2 2 12" xfId="13448"/>
    <cellStyle name="Обычный 11 2 2 2 2" xfId="2917"/>
    <cellStyle name="Обычный 11 2 2 2 2 2" xfId="13449"/>
    <cellStyle name="Обычный 11 2 2 2 2 3" xfId="13450"/>
    <cellStyle name="Обычный 11 2 2 2 2 4" xfId="13451"/>
    <cellStyle name="Обычный 11 2 2 2 2 5" xfId="13452"/>
    <cellStyle name="Обычный 11 2 2 2 2 6" xfId="13453"/>
    <cellStyle name="Обычный 11 2 2 2 2 7" xfId="13454"/>
    <cellStyle name="Обычный 11 2 2 2 2 8" xfId="13455"/>
    <cellStyle name="Обычный 11 2 2 2 2 9" xfId="13456"/>
    <cellStyle name="Обычный 11 2 2 2 3" xfId="2918"/>
    <cellStyle name="Обычный 11 2 2 2 3 2" xfId="13457"/>
    <cellStyle name="Обычный 11 2 2 2 3 3" xfId="13458"/>
    <cellStyle name="Обычный 11 2 2 2 3 4" xfId="13459"/>
    <cellStyle name="Обычный 11 2 2 2 3 5" xfId="13460"/>
    <cellStyle name="Обычный 11 2 2 2 3 6" xfId="13461"/>
    <cellStyle name="Обычный 11 2 2 2 3 7" xfId="13462"/>
    <cellStyle name="Обычный 11 2 2 2 3 8" xfId="13463"/>
    <cellStyle name="Обычный 11 2 2 2 3 9" xfId="13464"/>
    <cellStyle name="Обычный 11 2 2 2 4" xfId="2919"/>
    <cellStyle name="Обычный 11 2 2 2 4 2" xfId="13465"/>
    <cellStyle name="Обычный 11 2 2 2 4 3" xfId="13466"/>
    <cellStyle name="Обычный 11 2 2 2 4 4" xfId="13467"/>
    <cellStyle name="Обычный 11 2 2 2 4 5" xfId="13468"/>
    <cellStyle name="Обычный 11 2 2 2 4 6" xfId="13469"/>
    <cellStyle name="Обычный 11 2 2 2 4 7" xfId="13470"/>
    <cellStyle name="Обычный 11 2 2 2 4 8" xfId="13471"/>
    <cellStyle name="Обычный 11 2 2 2 4 9" xfId="13472"/>
    <cellStyle name="Обычный 11 2 2 2 5" xfId="13473"/>
    <cellStyle name="Обычный 11 2 2 2 6" xfId="13474"/>
    <cellStyle name="Обычный 11 2 2 2 7" xfId="13475"/>
    <cellStyle name="Обычный 11 2 2 2 8" xfId="13476"/>
    <cellStyle name="Обычный 11 2 2 2 9" xfId="13477"/>
    <cellStyle name="Обычный 11 2 2 3" xfId="2920"/>
    <cellStyle name="Обычный 11 2 2 3 10" xfId="13478"/>
    <cellStyle name="Обычный 11 2 2 3 11" xfId="13479"/>
    <cellStyle name="Обычный 11 2 2 3 2" xfId="2921"/>
    <cellStyle name="Обычный 11 2 2 3 2 2" xfId="13480"/>
    <cellStyle name="Обычный 11 2 2 3 2 3" xfId="13481"/>
    <cellStyle name="Обычный 11 2 2 3 2 4" xfId="13482"/>
    <cellStyle name="Обычный 11 2 2 3 2 5" xfId="13483"/>
    <cellStyle name="Обычный 11 2 2 3 2 6" xfId="13484"/>
    <cellStyle name="Обычный 11 2 2 3 2 7" xfId="13485"/>
    <cellStyle name="Обычный 11 2 2 3 2 8" xfId="13486"/>
    <cellStyle name="Обычный 11 2 2 3 2 9" xfId="13487"/>
    <cellStyle name="Обычный 11 2 2 3 3" xfId="2922"/>
    <cellStyle name="Обычный 11 2 2 3 3 2" xfId="13488"/>
    <cellStyle name="Обычный 11 2 2 3 3 3" xfId="13489"/>
    <cellStyle name="Обычный 11 2 2 3 3 4" xfId="13490"/>
    <cellStyle name="Обычный 11 2 2 3 3 5" xfId="13491"/>
    <cellStyle name="Обычный 11 2 2 3 3 6" xfId="13492"/>
    <cellStyle name="Обычный 11 2 2 3 3 7" xfId="13493"/>
    <cellStyle name="Обычный 11 2 2 3 3 8" xfId="13494"/>
    <cellStyle name="Обычный 11 2 2 3 3 9" xfId="13495"/>
    <cellStyle name="Обычный 11 2 2 3 4" xfId="13496"/>
    <cellStyle name="Обычный 11 2 2 3 5" xfId="13497"/>
    <cellStyle name="Обычный 11 2 2 3 6" xfId="13498"/>
    <cellStyle name="Обычный 11 2 2 3 7" xfId="13499"/>
    <cellStyle name="Обычный 11 2 2 3 8" xfId="13500"/>
    <cellStyle name="Обычный 11 2 2 3 9" xfId="13501"/>
    <cellStyle name="Обычный 11 2 2 4" xfId="2923"/>
    <cellStyle name="Обычный 11 2 2 4 2" xfId="13502"/>
    <cellStyle name="Обычный 11 2 2 4 3" xfId="13503"/>
    <cellStyle name="Обычный 11 2 2 4 4" xfId="13504"/>
    <cellStyle name="Обычный 11 2 2 4 5" xfId="13505"/>
    <cellStyle name="Обычный 11 2 2 4 6" xfId="13506"/>
    <cellStyle name="Обычный 11 2 2 4 7" xfId="13507"/>
    <cellStyle name="Обычный 11 2 2 4 8" xfId="13508"/>
    <cellStyle name="Обычный 11 2 2 4 9" xfId="13509"/>
    <cellStyle name="Обычный 11 2 2 5" xfId="13510"/>
    <cellStyle name="Обычный 11 2 2 6" xfId="13511"/>
    <cellStyle name="Обычный 11 2 2 7" xfId="13512"/>
    <cellStyle name="Обычный 11 2 2 8" xfId="13513"/>
    <cellStyle name="Обычный 11 2 2 9" xfId="13514"/>
    <cellStyle name="Обычный 11 2 3" xfId="2924"/>
    <cellStyle name="Обычный 11 2 3 2" xfId="2925"/>
    <cellStyle name="Обычный 11 2 3 3" xfId="2926"/>
    <cellStyle name="Обычный 11 2 4" xfId="2927"/>
    <cellStyle name="Обычный 11 2 5" xfId="2928"/>
    <cellStyle name="Обычный 11 3" xfId="2929"/>
    <cellStyle name="Обычный 11 3 2" xfId="2930"/>
    <cellStyle name="Обычный 11 3 2 2" xfId="2931"/>
    <cellStyle name="Обычный 11 3 2 2 2" xfId="13515"/>
    <cellStyle name="Обычный 11 3 2 2 3" xfId="13516"/>
    <cellStyle name="Обычный 11 3 2 2 4" xfId="13517"/>
    <cellStyle name="Обычный 11 3 2 2 5" xfId="13518"/>
    <cellStyle name="Обычный 11 3 2 2 6" xfId="13519"/>
    <cellStyle name="Обычный 11 3 2 3" xfId="2932"/>
    <cellStyle name="Обычный 11 3 2 3 2" xfId="13520"/>
    <cellStyle name="Обычный 11 3 2 3 3" xfId="13521"/>
    <cellStyle name="Обычный 11 3 2 3 4" xfId="13522"/>
    <cellStyle name="Обычный 11 3 2 3 5" xfId="13523"/>
    <cellStyle name="Обычный 11 3 2 3 6" xfId="13524"/>
    <cellStyle name="Обычный 11 3 2 4" xfId="13525"/>
    <cellStyle name="Обычный 11 3 2 5" xfId="13526"/>
    <cellStyle name="Обычный 11 3 2 6" xfId="13527"/>
    <cellStyle name="Обычный 11 3 2 7" xfId="13528"/>
    <cellStyle name="Обычный 11 3 2 8" xfId="13529"/>
    <cellStyle name="Обычный 11 3 3" xfId="2933"/>
    <cellStyle name="Обычный 11 3 3 2" xfId="13530"/>
    <cellStyle name="Обычный 11 3 3 3" xfId="13531"/>
    <cellStyle name="Обычный 11 3 3 4" xfId="13532"/>
    <cellStyle name="Обычный 11 3 3 5" xfId="13533"/>
    <cellStyle name="Обычный 11 3 3 6" xfId="13534"/>
    <cellStyle name="Обычный 11 3 4" xfId="2934"/>
    <cellStyle name="Обычный 11 3 4 2" xfId="13535"/>
    <cellStyle name="Обычный 11 3 4 3" xfId="13536"/>
    <cellStyle name="Обычный 11 3 4 4" xfId="13537"/>
    <cellStyle name="Обычный 11 3 4 5" xfId="13538"/>
    <cellStyle name="Обычный 11 3 5" xfId="13539"/>
    <cellStyle name="Обычный 11 3 6" xfId="13540"/>
    <cellStyle name="Обычный 11 3 7" xfId="13541"/>
    <cellStyle name="Обычный 11 3 8" xfId="13542"/>
    <cellStyle name="Обычный 11 4" xfId="2935"/>
    <cellStyle name="Обычный 11 4 10" xfId="13543"/>
    <cellStyle name="Обычный 11 4 11" xfId="13544"/>
    <cellStyle name="Обычный 11 4 12" xfId="13545"/>
    <cellStyle name="Обычный 11 4 2" xfId="2936"/>
    <cellStyle name="Обычный 11 4 2 10" xfId="13546"/>
    <cellStyle name="Обычный 11 4 2 11" xfId="13547"/>
    <cellStyle name="Обычный 11 4 2 12" xfId="13548"/>
    <cellStyle name="Обычный 11 4 2 2" xfId="2937"/>
    <cellStyle name="Обычный 11 4 2 2 2" xfId="13549"/>
    <cellStyle name="Обычный 11 4 2 2 3" xfId="13550"/>
    <cellStyle name="Обычный 11 4 2 2 4" xfId="13551"/>
    <cellStyle name="Обычный 11 4 2 2 5" xfId="13552"/>
    <cellStyle name="Обычный 11 4 2 2 6" xfId="13553"/>
    <cellStyle name="Обычный 11 4 2 2 7" xfId="13554"/>
    <cellStyle name="Обычный 11 4 2 2 8" xfId="13555"/>
    <cellStyle name="Обычный 11 4 2 2 9" xfId="13556"/>
    <cellStyle name="Обычный 11 4 2 3" xfId="2938"/>
    <cellStyle name="Обычный 11 4 2 3 2" xfId="13557"/>
    <cellStyle name="Обычный 11 4 2 3 3" xfId="13558"/>
    <cellStyle name="Обычный 11 4 2 3 4" xfId="13559"/>
    <cellStyle name="Обычный 11 4 2 3 5" xfId="13560"/>
    <cellStyle name="Обычный 11 4 2 3 6" xfId="13561"/>
    <cellStyle name="Обычный 11 4 2 3 7" xfId="13562"/>
    <cellStyle name="Обычный 11 4 2 3 8" xfId="13563"/>
    <cellStyle name="Обычный 11 4 2 3 9" xfId="13564"/>
    <cellStyle name="Обычный 11 4 2 4" xfId="2939"/>
    <cellStyle name="Обычный 11 4 2 4 2" xfId="13565"/>
    <cellStyle name="Обычный 11 4 2 4 3" xfId="13566"/>
    <cellStyle name="Обычный 11 4 2 4 4" xfId="13567"/>
    <cellStyle name="Обычный 11 4 2 4 5" xfId="13568"/>
    <cellStyle name="Обычный 11 4 2 4 6" xfId="13569"/>
    <cellStyle name="Обычный 11 4 2 4 7" xfId="13570"/>
    <cellStyle name="Обычный 11 4 2 4 8" xfId="13571"/>
    <cellStyle name="Обычный 11 4 2 4 9" xfId="13572"/>
    <cellStyle name="Обычный 11 4 2 5" xfId="13573"/>
    <cellStyle name="Обычный 11 4 2 6" xfId="13574"/>
    <cellStyle name="Обычный 11 4 2 7" xfId="13575"/>
    <cellStyle name="Обычный 11 4 2 8" xfId="13576"/>
    <cellStyle name="Обычный 11 4 2 9" xfId="13577"/>
    <cellStyle name="Обычный 11 4 3" xfId="2940"/>
    <cellStyle name="Обычный 11 4 3 10" xfId="13578"/>
    <cellStyle name="Обычный 11 4 3 11" xfId="13579"/>
    <cellStyle name="Обычный 11 4 3 2" xfId="2941"/>
    <cellStyle name="Обычный 11 4 3 2 2" xfId="13580"/>
    <cellStyle name="Обычный 11 4 3 2 3" xfId="13581"/>
    <cellStyle name="Обычный 11 4 3 2 4" xfId="13582"/>
    <cellStyle name="Обычный 11 4 3 2 5" xfId="13583"/>
    <cellStyle name="Обычный 11 4 3 2 6" xfId="13584"/>
    <cellStyle name="Обычный 11 4 3 2 7" xfId="13585"/>
    <cellStyle name="Обычный 11 4 3 2 8" xfId="13586"/>
    <cellStyle name="Обычный 11 4 3 2 9" xfId="13587"/>
    <cellStyle name="Обычный 11 4 3 3" xfId="2942"/>
    <cellStyle name="Обычный 11 4 3 3 2" xfId="13588"/>
    <cellStyle name="Обычный 11 4 3 3 3" xfId="13589"/>
    <cellStyle name="Обычный 11 4 3 3 4" xfId="13590"/>
    <cellStyle name="Обычный 11 4 3 3 5" xfId="13591"/>
    <cellStyle name="Обычный 11 4 3 3 6" xfId="13592"/>
    <cellStyle name="Обычный 11 4 3 3 7" xfId="13593"/>
    <cellStyle name="Обычный 11 4 3 3 8" xfId="13594"/>
    <cellStyle name="Обычный 11 4 3 3 9" xfId="13595"/>
    <cellStyle name="Обычный 11 4 3 4" xfId="13596"/>
    <cellStyle name="Обычный 11 4 3 5" xfId="13597"/>
    <cellStyle name="Обычный 11 4 3 6" xfId="13598"/>
    <cellStyle name="Обычный 11 4 3 7" xfId="13599"/>
    <cellStyle name="Обычный 11 4 3 8" xfId="13600"/>
    <cellStyle name="Обычный 11 4 3 9" xfId="13601"/>
    <cellStyle name="Обычный 11 4 4" xfId="2943"/>
    <cellStyle name="Обычный 11 4 4 2" xfId="13602"/>
    <cellStyle name="Обычный 11 4 4 3" xfId="13603"/>
    <cellStyle name="Обычный 11 4 4 4" xfId="13604"/>
    <cellStyle name="Обычный 11 4 4 5" xfId="13605"/>
    <cellStyle name="Обычный 11 4 4 6" xfId="13606"/>
    <cellStyle name="Обычный 11 4 4 7" xfId="13607"/>
    <cellStyle name="Обычный 11 4 4 8" xfId="13608"/>
    <cellStyle name="Обычный 11 4 4 9" xfId="13609"/>
    <cellStyle name="Обычный 11 4 5" xfId="13610"/>
    <cellStyle name="Обычный 11 4 6" xfId="13611"/>
    <cellStyle name="Обычный 11 4 7" xfId="13612"/>
    <cellStyle name="Обычный 11 4 8" xfId="13613"/>
    <cellStyle name="Обычный 11 4 9" xfId="13614"/>
    <cellStyle name="Обычный 11 5" xfId="2944"/>
    <cellStyle name="Обычный 11 5 2" xfId="2945"/>
    <cellStyle name="Обычный 11 5 3" xfId="2946"/>
    <cellStyle name="Обычный 11 6" xfId="2947"/>
    <cellStyle name="Обычный 11 7" xfId="2948"/>
    <cellStyle name="Обычный 12" xfId="2949"/>
    <cellStyle name="Обычный 12 10" xfId="2950"/>
    <cellStyle name="Обычный 12 10 2" xfId="13615"/>
    <cellStyle name="Обычный 12 10 3" xfId="13616"/>
    <cellStyle name="Обычный 12 10 4" xfId="13617"/>
    <cellStyle name="Обычный 12 10 5" xfId="13618"/>
    <cellStyle name="Обычный 12 11" xfId="13619"/>
    <cellStyle name="Обычный 12 12" xfId="13620"/>
    <cellStyle name="Обычный 12 13" xfId="13621"/>
    <cellStyle name="Обычный 12 14" xfId="13622"/>
    <cellStyle name="Обычный 12 2" xfId="2951"/>
    <cellStyle name="Обычный 12 2 2" xfId="2952"/>
    <cellStyle name="Обычный 12 2 2 2" xfId="2953"/>
    <cellStyle name="Обычный 12 2 2 2 2" xfId="2954"/>
    <cellStyle name="Обычный 12 2 2 2 2 2" xfId="13623"/>
    <cellStyle name="Обычный 12 2 2 2 2 3" xfId="13624"/>
    <cellStyle name="Обычный 12 2 2 2 2 4" xfId="13625"/>
    <cellStyle name="Обычный 12 2 2 2 2 5" xfId="13626"/>
    <cellStyle name="Обычный 12 2 2 2 2 6" xfId="13627"/>
    <cellStyle name="Обычный 12 2 2 2 3" xfId="2955"/>
    <cellStyle name="Обычный 12 2 2 2 3 2" xfId="13628"/>
    <cellStyle name="Обычный 12 2 2 2 3 3" xfId="13629"/>
    <cellStyle name="Обычный 12 2 2 2 3 4" xfId="13630"/>
    <cellStyle name="Обычный 12 2 2 2 3 5" xfId="13631"/>
    <cellStyle name="Обычный 12 2 2 2 3 6" xfId="13632"/>
    <cellStyle name="Обычный 12 2 2 2 4" xfId="13633"/>
    <cellStyle name="Обычный 12 2 2 2 5" xfId="13634"/>
    <cellStyle name="Обычный 12 2 2 2 6" xfId="13635"/>
    <cellStyle name="Обычный 12 2 2 2 7" xfId="13636"/>
    <cellStyle name="Обычный 12 2 2 2 8" xfId="13637"/>
    <cellStyle name="Обычный 12 2 2 3" xfId="2956"/>
    <cellStyle name="Обычный 12 2 2 3 2" xfId="13638"/>
    <cellStyle name="Обычный 12 2 2 3 3" xfId="13639"/>
    <cellStyle name="Обычный 12 2 2 3 4" xfId="13640"/>
    <cellStyle name="Обычный 12 2 2 3 5" xfId="13641"/>
    <cellStyle name="Обычный 12 2 2 3 6" xfId="13642"/>
    <cellStyle name="Обычный 12 2 2 4" xfId="2957"/>
    <cellStyle name="Обычный 12 2 2 4 2" xfId="13643"/>
    <cellStyle name="Обычный 12 2 2 4 3" xfId="13644"/>
    <cellStyle name="Обычный 12 2 2 4 4" xfId="13645"/>
    <cellStyle name="Обычный 12 2 2 4 5" xfId="13646"/>
    <cellStyle name="Обычный 12 2 2 5" xfId="13647"/>
    <cellStyle name="Обычный 12 2 2 6" xfId="13648"/>
    <cellStyle name="Обычный 12 2 2 7" xfId="13649"/>
    <cellStyle name="Обычный 12 2 2 8" xfId="13650"/>
    <cellStyle name="Обычный 12 2 3" xfId="2958"/>
    <cellStyle name="Обычный 12 2 3 2" xfId="2959"/>
    <cellStyle name="Обычный 12 2 3 2 2" xfId="13651"/>
    <cellStyle name="Обычный 12 2 3 2 3" xfId="13652"/>
    <cellStyle name="Обычный 12 2 3 2 4" xfId="13653"/>
    <cellStyle name="Обычный 12 2 3 2 5" xfId="13654"/>
    <cellStyle name="Обычный 12 2 3 2 6" xfId="13655"/>
    <cellStyle name="Обычный 12 2 3 3" xfId="2960"/>
    <cellStyle name="Обычный 12 2 3 3 2" xfId="13656"/>
    <cellStyle name="Обычный 12 2 3 3 3" xfId="13657"/>
    <cellStyle name="Обычный 12 2 3 3 4" xfId="13658"/>
    <cellStyle name="Обычный 12 2 3 3 5" xfId="13659"/>
    <cellStyle name="Обычный 12 2 3 3 6" xfId="13660"/>
    <cellStyle name="Обычный 12 2 3 4" xfId="13661"/>
    <cellStyle name="Обычный 12 2 3 5" xfId="13662"/>
    <cellStyle name="Обычный 12 2 3 6" xfId="13663"/>
    <cellStyle name="Обычный 12 2 3 7" xfId="13664"/>
    <cellStyle name="Обычный 12 2 3 8" xfId="13665"/>
    <cellStyle name="Обычный 12 2 4" xfId="2961"/>
    <cellStyle name="Обычный 12 2 4 2" xfId="13666"/>
    <cellStyle name="Обычный 12 2 4 3" xfId="13667"/>
    <cellStyle name="Обычный 12 2 4 4" xfId="13668"/>
    <cellStyle name="Обычный 12 2 4 5" xfId="13669"/>
    <cellStyle name="Обычный 12 2 4 6" xfId="13670"/>
    <cellStyle name="Обычный 12 2 5" xfId="2962"/>
    <cellStyle name="Обычный 12 2 5 2" xfId="13671"/>
    <cellStyle name="Обычный 12 2 5 3" xfId="13672"/>
    <cellStyle name="Обычный 12 2 5 4" xfId="13673"/>
    <cellStyle name="Обычный 12 2 5 5" xfId="13674"/>
    <cellStyle name="Обычный 12 2 6" xfId="13675"/>
    <cellStyle name="Обычный 12 2 7" xfId="13676"/>
    <cellStyle name="Обычный 12 2 8" xfId="13677"/>
    <cellStyle name="Обычный 12 2 9" xfId="13678"/>
    <cellStyle name="Обычный 12 3" xfId="2963"/>
    <cellStyle name="Обычный 12 3 2" xfId="2964"/>
    <cellStyle name="Обычный 12 3 2 2" xfId="2965"/>
    <cellStyle name="Обычный 12 3 2 2 2" xfId="13679"/>
    <cellStyle name="Обычный 12 3 2 2 3" xfId="13680"/>
    <cellStyle name="Обычный 12 3 2 2 4" xfId="13681"/>
    <cellStyle name="Обычный 12 3 2 2 5" xfId="13682"/>
    <cellStyle name="Обычный 12 3 2 2 6" xfId="13683"/>
    <cellStyle name="Обычный 12 3 2 3" xfId="2966"/>
    <cellStyle name="Обычный 12 3 2 3 2" xfId="13684"/>
    <cellStyle name="Обычный 12 3 2 3 3" xfId="13685"/>
    <cellStyle name="Обычный 12 3 2 3 4" xfId="13686"/>
    <cellStyle name="Обычный 12 3 2 3 5" xfId="13687"/>
    <cellStyle name="Обычный 12 3 2 3 6" xfId="13688"/>
    <cellStyle name="Обычный 12 3 2 4" xfId="13689"/>
    <cellStyle name="Обычный 12 3 2 5" xfId="13690"/>
    <cellStyle name="Обычный 12 3 2 6" xfId="13691"/>
    <cellStyle name="Обычный 12 3 2 7" xfId="13692"/>
    <cellStyle name="Обычный 12 3 2 8" xfId="13693"/>
    <cellStyle name="Обычный 12 3 3" xfId="2967"/>
    <cellStyle name="Обычный 12 3 3 2" xfId="13694"/>
    <cellStyle name="Обычный 12 3 3 3" xfId="13695"/>
    <cellStyle name="Обычный 12 3 3 4" xfId="13696"/>
    <cellStyle name="Обычный 12 3 3 5" xfId="13697"/>
    <cellStyle name="Обычный 12 3 3 6" xfId="13698"/>
    <cellStyle name="Обычный 12 3 4" xfId="2968"/>
    <cellStyle name="Обычный 12 3 4 2" xfId="13699"/>
    <cellStyle name="Обычный 12 3 4 3" xfId="13700"/>
    <cellStyle name="Обычный 12 3 4 4" xfId="13701"/>
    <cellStyle name="Обычный 12 3 4 5" xfId="13702"/>
    <cellStyle name="Обычный 12 3 5" xfId="13703"/>
    <cellStyle name="Обычный 12 3 6" xfId="13704"/>
    <cellStyle name="Обычный 12 3 7" xfId="13705"/>
    <cellStyle name="Обычный 12 3 8" xfId="13706"/>
    <cellStyle name="Обычный 12 4" xfId="2969"/>
    <cellStyle name="Обычный 12 4 10" xfId="13707"/>
    <cellStyle name="Обычный 12 4 11" xfId="13708"/>
    <cellStyle name="Обычный 12 4 12" xfId="13709"/>
    <cellStyle name="Обычный 12 4 13" xfId="13710"/>
    <cellStyle name="Обычный 12 4 2" xfId="2970"/>
    <cellStyle name="Обычный 12 4 2 2" xfId="2971"/>
    <cellStyle name="Обычный 12 4 2 2 2" xfId="2972"/>
    <cellStyle name="Обычный 12 4 2 2 2 2" xfId="13711"/>
    <cellStyle name="Обычный 12 4 2 2 2 3" xfId="13712"/>
    <cellStyle name="Обычный 12 4 2 2 2 4" xfId="13713"/>
    <cellStyle name="Обычный 12 4 2 2 2 5" xfId="13714"/>
    <cellStyle name="Обычный 12 4 2 2 2 6" xfId="13715"/>
    <cellStyle name="Обычный 12 4 2 2 3" xfId="2973"/>
    <cellStyle name="Обычный 12 4 2 2 3 2" xfId="13716"/>
    <cellStyle name="Обычный 12 4 2 2 3 3" xfId="13717"/>
    <cellStyle name="Обычный 12 4 2 2 3 4" xfId="13718"/>
    <cellStyle name="Обычный 12 4 2 2 3 5" xfId="13719"/>
    <cellStyle name="Обычный 12 4 2 2 3 6" xfId="13720"/>
    <cellStyle name="Обычный 12 4 2 2 4" xfId="13721"/>
    <cellStyle name="Обычный 12 4 2 2 5" xfId="13722"/>
    <cellStyle name="Обычный 12 4 2 2 6" xfId="13723"/>
    <cellStyle name="Обычный 12 4 2 2 7" xfId="13724"/>
    <cellStyle name="Обычный 12 4 2 2 8" xfId="13725"/>
    <cellStyle name="Обычный 12 4 2 3" xfId="2974"/>
    <cellStyle name="Обычный 12 4 2 3 2" xfId="13726"/>
    <cellStyle name="Обычный 12 4 2 3 3" xfId="13727"/>
    <cellStyle name="Обычный 12 4 2 3 4" xfId="13728"/>
    <cellStyle name="Обычный 12 4 2 3 5" xfId="13729"/>
    <cellStyle name="Обычный 12 4 2 3 6" xfId="13730"/>
    <cellStyle name="Обычный 12 4 2 4" xfId="2975"/>
    <cellStyle name="Обычный 12 4 2 4 2" xfId="13731"/>
    <cellStyle name="Обычный 12 4 2 4 3" xfId="13732"/>
    <cellStyle name="Обычный 12 4 2 4 4" xfId="13733"/>
    <cellStyle name="Обычный 12 4 2 4 5" xfId="13734"/>
    <cellStyle name="Обычный 12 4 2 5" xfId="13735"/>
    <cellStyle name="Обычный 12 4 2 6" xfId="13736"/>
    <cellStyle name="Обычный 12 4 2 7" xfId="13737"/>
    <cellStyle name="Обычный 12 4 2 8" xfId="13738"/>
    <cellStyle name="Обычный 12 4 3" xfId="2976"/>
    <cellStyle name="Обычный 12 4 3 10" xfId="13739"/>
    <cellStyle name="Обычный 12 4 3 11" xfId="13740"/>
    <cellStyle name="Обычный 12 4 3 12" xfId="13741"/>
    <cellStyle name="Обычный 12 4 3 2" xfId="2977"/>
    <cellStyle name="Обычный 12 4 3 2 2" xfId="13742"/>
    <cellStyle name="Обычный 12 4 3 2 3" xfId="13743"/>
    <cellStyle name="Обычный 12 4 3 2 4" xfId="13744"/>
    <cellStyle name="Обычный 12 4 3 2 5" xfId="13745"/>
    <cellStyle name="Обычный 12 4 3 2 6" xfId="13746"/>
    <cellStyle name="Обычный 12 4 3 2 7" xfId="13747"/>
    <cellStyle name="Обычный 12 4 3 2 8" xfId="13748"/>
    <cellStyle name="Обычный 12 4 3 2 9" xfId="13749"/>
    <cellStyle name="Обычный 12 4 3 3" xfId="2978"/>
    <cellStyle name="Обычный 12 4 3 3 2" xfId="13750"/>
    <cellStyle name="Обычный 12 4 3 3 3" xfId="13751"/>
    <cellStyle name="Обычный 12 4 3 3 4" xfId="13752"/>
    <cellStyle name="Обычный 12 4 3 3 5" xfId="13753"/>
    <cellStyle name="Обычный 12 4 3 3 6" xfId="13754"/>
    <cellStyle name="Обычный 12 4 3 3 7" xfId="13755"/>
    <cellStyle name="Обычный 12 4 3 3 8" xfId="13756"/>
    <cellStyle name="Обычный 12 4 3 3 9" xfId="13757"/>
    <cellStyle name="Обычный 12 4 3 4" xfId="2979"/>
    <cellStyle name="Обычный 12 4 3 4 2" xfId="13758"/>
    <cellStyle name="Обычный 12 4 3 4 3" xfId="13759"/>
    <cellStyle name="Обычный 12 4 3 4 4" xfId="13760"/>
    <cellStyle name="Обычный 12 4 3 4 5" xfId="13761"/>
    <cellStyle name="Обычный 12 4 3 4 6" xfId="13762"/>
    <cellStyle name="Обычный 12 4 3 4 7" xfId="13763"/>
    <cellStyle name="Обычный 12 4 3 4 8" xfId="13764"/>
    <cellStyle name="Обычный 12 4 3 4 9" xfId="13765"/>
    <cellStyle name="Обычный 12 4 3 5" xfId="13766"/>
    <cellStyle name="Обычный 12 4 3 6" xfId="13767"/>
    <cellStyle name="Обычный 12 4 3 7" xfId="13768"/>
    <cellStyle name="Обычный 12 4 3 8" xfId="13769"/>
    <cellStyle name="Обычный 12 4 3 9" xfId="13770"/>
    <cellStyle name="Обычный 12 4 4" xfId="2980"/>
    <cellStyle name="Обычный 12 4 4 10" xfId="13771"/>
    <cellStyle name="Обычный 12 4 4 11" xfId="13772"/>
    <cellStyle name="Обычный 12 4 4 2" xfId="2981"/>
    <cellStyle name="Обычный 12 4 4 2 2" xfId="13773"/>
    <cellStyle name="Обычный 12 4 4 2 3" xfId="13774"/>
    <cellStyle name="Обычный 12 4 4 2 4" xfId="13775"/>
    <cellStyle name="Обычный 12 4 4 2 5" xfId="13776"/>
    <cellStyle name="Обычный 12 4 4 2 6" xfId="13777"/>
    <cellStyle name="Обычный 12 4 4 2 7" xfId="13778"/>
    <cellStyle name="Обычный 12 4 4 2 8" xfId="13779"/>
    <cellStyle name="Обычный 12 4 4 2 9" xfId="13780"/>
    <cellStyle name="Обычный 12 4 4 3" xfId="2982"/>
    <cellStyle name="Обычный 12 4 4 3 2" xfId="13781"/>
    <cellStyle name="Обычный 12 4 4 3 3" xfId="13782"/>
    <cellStyle name="Обычный 12 4 4 3 4" xfId="13783"/>
    <cellStyle name="Обычный 12 4 4 3 5" xfId="13784"/>
    <cellStyle name="Обычный 12 4 4 3 6" xfId="13785"/>
    <cellStyle name="Обычный 12 4 4 3 7" xfId="13786"/>
    <cellStyle name="Обычный 12 4 4 3 8" xfId="13787"/>
    <cellStyle name="Обычный 12 4 4 3 9" xfId="13788"/>
    <cellStyle name="Обычный 12 4 4 4" xfId="13789"/>
    <cellStyle name="Обычный 12 4 4 5" xfId="13790"/>
    <cellStyle name="Обычный 12 4 4 6" xfId="13791"/>
    <cellStyle name="Обычный 12 4 4 7" xfId="13792"/>
    <cellStyle name="Обычный 12 4 4 8" xfId="13793"/>
    <cellStyle name="Обычный 12 4 4 9" xfId="13794"/>
    <cellStyle name="Обычный 12 4 5" xfId="2983"/>
    <cellStyle name="Обычный 12 4 5 2" xfId="13795"/>
    <cellStyle name="Обычный 12 4 5 3" xfId="13796"/>
    <cellStyle name="Обычный 12 4 5 4" xfId="13797"/>
    <cellStyle name="Обычный 12 4 5 5" xfId="13798"/>
    <cellStyle name="Обычный 12 4 5 6" xfId="13799"/>
    <cellStyle name="Обычный 12 4 5 7" xfId="13800"/>
    <cellStyle name="Обычный 12 4 5 8" xfId="13801"/>
    <cellStyle name="Обычный 12 4 5 9" xfId="13802"/>
    <cellStyle name="Обычный 12 4 6" xfId="13803"/>
    <cellStyle name="Обычный 12 4 7" xfId="13804"/>
    <cellStyle name="Обычный 12 4 8" xfId="13805"/>
    <cellStyle name="Обычный 12 4 9" xfId="13806"/>
    <cellStyle name="Обычный 12 5" xfId="2984"/>
    <cellStyle name="Обычный 12 5 2" xfId="2985"/>
    <cellStyle name="Обычный 12 5 2 2" xfId="2986"/>
    <cellStyle name="Обычный 12 5 2 2 2" xfId="13807"/>
    <cellStyle name="Обычный 12 5 2 2 3" xfId="13808"/>
    <cellStyle name="Обычный 12 5 2 2 4" xfId="13809"/>
    <cellStyle name="Обычный 12 5 2 2 5" xfId="13810"/>
    <cellStyle name="Обычный 12 5 2 2 6" xfId="13811"/>
    <cellStyle name="Обычный 12 5 2 3" xfId="2987"/>
    <cellStyle name="Обычный 12 5 2 3 2" xfId="13812"/>
    <cellStyle name="Обычный 12 5 2 3 3" xfId="13813"/>
    <cellStyle name="Обычный 12 5 2 3 4" xfId="13814"/>
    <cellStyle name="Обычный 12 5 2 3 5" xfId="13815"/>
    <cellStyle name="Обычный 12 5 2 3 6" xfId="13816"/>
    <cellStyle name="Обычный 12 5 2 4" xfId="13817"/>
    <cellStyle name="Обычный 12 5 2 5" xfId="13818"/>
    <cellStyle name="Обычный 12 5 2 6" xfId="13819"/>
    <cellStyle name="Обычный 12 5 2 7" xfId="13820"/>
    <cellStyle name="Обычный 12 5 2 8" xfId="13821"/>
    <cellStyle name="Обычный 12 5 3" xfId="2988"/>
    <cellStyle name="Обычный 12 5 3 2" xfId="13822"/>
    <cellStyle name="Обычный 12 5 3 3" xfId="13823"/>
    <cellStyle name="Обычный 12 5 3 4" xfId="13824"/>
    <cellStyle name="Обычный 12 5 3 5" xfId="13825"/>
    <cellStyle name="Обычный 12 5 3 6" xfId="13826"/>
    <cellStyle name="Обычный 12 5 4" xfId="2989"/>
    <cellStyle name="Обычный 12 5 4 2" xfId="13827"/>
    <cellStyle name="Обычный 12 5 4 3" xfId="13828"/>
    <cellStyle name="Обычный 12 5 4 4" xfId="13829"/>
    <cellStyle name="Обычный 12 5 4 5" xfId="13830"/>
    <cellStyle name="Обычный 12 5 5" xfId="13831"/>
    <cellStyle name="Обычный 12 5 6" xfId="13832"/>
    <cellStyle name="Обычный 12 5 7" xfId="13833"/>
    <cellStyle name="Обычный 12 5 8" xfId="13834"/>
    <cellStyle name="Обычный 12 6" xfId="2990"/>
    <cellStyle name="Обычный 12 6 2" xfId="2991"/>
    <cellStyle name="Обычный 12 6 2 2" xfId="2992"/>
    <cellStyle name="Обычный 12 6 2 3" xfId="2993"/>
    <cellStyle name="Обычный 12 6 3" xfId="2994"/>
    <cellStyle name="Обычный 12 6 4" xfId="2995"/>
    <cellStyle name="Обычный 12 6 4 2" xfId="13835"/>
    <cellStyle name="Обычный 12 6 4 3" xfId="13836"/>
    <cellStyle name="Обычный 12 6 4 4" xfId="13837"/>
    <cellStyle name="Обычный 12 6 4 5" xfId="13838"/>
    <cellStyle name="Обычный 12 6 5" xfId="13839"/>
    <cellStyle name="Обычный 12 6 6" xfId="13840"/>
    <cellStyle name="Обычный 12 6 7" xfId="13841"/>
    <cellStyle name="Обычный 12 6 8" xfId="13842"/>
    <cellStyle name="Обычный 12 7" xfId="2996"/>
    <cellStyle name="Обычный 12 7 10" xfId="13843"/>
    <cellStyle name="Обычный 12 7 11" xfId="13844"/>
    <cellStyle name="Обычный 12 7 12" xfId="13845"/>
    <cellStyle name="Обычный 12 7 2" xfId="2997"/>
    <cellStyle name="Обычный 12 7 2 10" xfId="13846"/>
    <cellStyle name="Обычный 12 7 2 11" xfId="13847"/>
    <cellStyle name="Обычный 12 7 2 12" xfId="13848"/>
    <cellStyle name="Обычный 12 7 2 2" xfId="2998"/>
    <cellStyle name="Обычный 12 7 2 2 2" xfId="13849"/>
    <cellStyle name="Обычный 12 7 2 2 3" xfId="13850"/>
    <cellStyle name="Обычный 12 7 2 2 4" xfId="13851"/>
    <cellStyle name="Обычный 12 7 2 2 5" xfId="13852"/>
    <cellStyle name="Обычный 12 7 2 2 6" xfId="13853"/>
    <cellStyle name="Обычный 12 7 2 2 7" xfId="13854"/>
    <cellStyle name="Обычный 12 7 2 2 8" xfId="13855"/>
    <cellStyle name="Обычный 12 7 2 2 9" xfId="13856"/>
    <cellStyle name="Обычный 12 7 2 3" xfId="2999"/>
    <cellStyle name="Обычный 12 7 2 3 2" xfId="13857"/>
    <cellStyle name="Обычный 12 7 2 3 3" xfId="13858"/>
    <cellStyle name="Обычный 12 7 2 3 4" xfId="13859"/>
    <cellStyle name="Обычный 12 7 2 3 5" xfId="13860"/>
    <cellStyle name="Обычный 12 7 2 3 6" xfId="13861"/>
    <cellStyle name="Обычный 12 7 2 3 7" xfId="13862"/>
    <cellStyle name="Обычный 12 7 2 3 8" xfId="13863"/>
    <cellStyle name="Обычный 12 7 2 3 9" xfId="13864"/>
    <cellStyle name="Обычный 12 7 2 4" xfId="3000"/>
    <cellStyle name="Обычный 12 7 2 4 2" xfId="13865"/>
    <cellStyle name="Обычный 12 7 2 4 3" xfId="13866"/>
    <cellStyle name="Обычный 12 7 2 4 4" xfId="13867"/>
    <cellStyle name="Обычный 12 7 2 4 5" xfId="13868"/>
    <cellStyle name="Обычный 12 7 2 4 6" xfId="13869"/>
    <cellStyle name="Обычный 12 7 2 4 7" xfId="13870"/>
    <cellStyle name="Обычный 12 7 2 4 8" xfId="13871"/>
    <cellStyle name="Обычный 12 7 2 4 9" xfId="13872"/>
    <cellStyle name="Обычный 12 7 2 5" xfId="13873"/>
    <cellStyle name="Обычный 12 7 2 6" xfId="13874"/>
    <cellStyle name="Обычный 12 7 2 7" xfId="13875"/>
    <cellStyle name="Обычный 12 7 2 8" xfId="13876"/>
    <cellStyle name="Обычный 12 7 2 9" xfId="13877"/>
    <cellStyle name="Обычный 12 7 3" xfId="3001"/>
    <cellStyle name="Обычный 12 7 3 10" xfId="13878"/>
    <cellStyle name="Обычный 12 7 3 11" xfId="13879"/>
    <cellStyle name="Обычный 12 7 3 2" xfId="3002"/>
    <cellStyle name="Обычный 12 7 3 2 2" xfId="13880"/>
    <cellStyle name="Обычный 12 7 3 2 3" xfId="13881"/>
    <cellStyle name="Обычный 12 7 3 2 4" xfId="13882"/>
    <cellStyle name="Обычный 12 7 3 2 5" xfId="13883"/>
    <cellStyle name="Обычный 12 7 3 2 6" xfId="13884"/>
    <cellStyle name="Обычный 12 7 3 2 7" xfId="13885"/>
    <cellStyle name="Обычный 12 7 3 2 8" xfId="13886"/>
    <cellStyle name="Обычный 12 7 3 2 9" xfId="13887"/>
    <cellStyle name="Обычный 12 7 3 3" xfId="3003"/>
    <cellStyle name="Обычный 12 7 3 3 2" xfId="13888"/>
    <cellStyle name="Обычный 12 7 3 3 3" xfId="13889"/>
    <cellStyle name="Обычный 12 7 3 3 4" xfId="13890"/>
    <cellStyle name="Обычный 12 7 3 3 5" xfId="13891"/>
    <cellStyle name="Обычный 12 7 3 3 6" xfId="13892"/>
    <cellStyle name="Обычный 12 7 3 3 7" xfId="13893"/>
    <cellStyle name="Обычный 12 7 3 3 8" xfId="13894"/>
    <cellStyle name="Обычный 12 7 3 3 9" xfId="13895"/>
    <cellStyle name="Обычный 12 7 3 4" xfId="13896"/>
    <cellStyle name="Обычный 12 7 3 5" xfId="13897"/>
    <cellStyle name="Обычный 12 7 3 6" xfId="13898"/>
    <cellStyle name="Обычный 12 7 3 7" xfId="13899"/>
    <cellStyle name="Обычный 12 7 3 8" xfId="13900"/>
    <cellStyle name="Обычный 12 7 3 9" xfId="13901"/>
    <cellStyle name="Обычный 12 7 4" xfId="3004"/>
    <cellStyle name="Обычный 12 7 4 2" xfId="13902"/>
    <cellStyle name="Обычный 12 7 4 3" xfId="13903"/>
    <cellStyle name="Обычный 12 7 4 4" xfId="13904"/>
    <cellStyle name="Обычный 12 7 4 5" xfId="13905"/>
    <cellStyle name="Обычный 12 7 4 6" xfId="13906"/>
    <cellStyle name="Обычный 12 7 4 7" xfId="13907"/>
    <cellStyle name="Обычный 12 7 4 8" xfId="13908"/>
    <cellStyle name="Обычный 12 7 4 9" xfId="13909"/>
    <cellStyle name="Обычный 12 7 5" xfId="13910"/>
    <cellStyle name="Обычный 12 7 6" xfId="13911"/>
    <cellStyle name="Обычный 12 7 7" xfId="13912"/>
    <cellStyle name="Обычный 12 7 8" xfId="13913"/>
    <cellStyle name="Обычный 12 7 9" xfId="13914"/>
    <cellStyle name="Обычный 12 8" xfId="3005"/>
    <cellStyle name="Обычный 12 8 2" xfId="3006"/>
    <cellStyle name="Обычный 12 8 2 2" xfId="13915"/>
    <cellStyle name="Обычный 12 8 2 3" xfId="13916"/>
    <cellStyle name="Обычный 12 8 2 4" xfId="13917"/>
    <cellStyle name="Обычный 12 8 2 5" xfId="13918"/>
    <cellStyle name="Обычный 12 8 2 6" xfId="13919"/>
    <cellStyle name="Обычный 12 8 3" xfId="3007"/>
    <cellStyle name="Обычный 12 8 3 2" xfId="13920"/>
    <cellStyle name="Обычный 12 8 3 3" xfId="13921"/>
    <cellStyle name="Обычный 12 8 3 4" xfId="13922"/>
    <cellStyle name="Обычный 12 8 3 5" xfId="13923"/>
    <cellStyle name="Обычный 12 8 3 6" xfId="13924"/>
    <cellStyle name="Обычный 12 8 4" xfId="13925"/>
    <cellStyle name="Обычный 12 8 5" xfId="13926"/>
    <cellStyle name="Обычный 12 8 6" xfId="13927"/>
    <cellStyle name="Обычный 12 8 7" xfId="13928"/>
    <cellStyle name="Обычный 12 8 8" xfId="13929"/>
    <cellStyle name="Обычный 12 9" xfId="3008"/>
    <cellStyle name="Обычный 12 9 2" xfId="13930"/>
    <cellStyle name="Обычный 12 9 3" xfId="13931"/>
    <cellStyle name="Обычный 12 9 4" xfId="13932"/>
    <cellStyle name="Обычный 12 9 5" xfId="13933"/>
    <cellStyle name="Обычный 12 9 6" xfId="13934"/>
    <cellStyle name="Обычный 13" xfId="3009"/>
    <cellStyle name="Обычный 13 2" xfId="3010"/>
    <cellStyle name="Обычный 13 2 2" xfId="3011"/>
    <cellStyle name="Обычный 13 2 3" xfId="3012"/>
    <cellStyle name="Обычный 13 3" xfId="3013"/>
    <cellStyle name="Обычный 13 4" xfId="3014"/>
    <cellStyle name="Обычный 13 4 2" xfId="13935"/>
    <cellStyle name="Обычный 13 4 3" xfId="13936"/>
    <cellStyle name="Обычный 13 4 4" xfId="13937"/>
    <cellStyle name="Обычный 13 4 5" xfId="13938"/>
    <cellStyle name="Обычный 13 5" xfId="13939"/>
    <cellStyle name="Обычный 13 6" xfId="13940"/>
    <cellStyle name="Обычный 13 7" xfId="13941"/>
    <cellStyle name="Обычный 13 8" xfId="13942"/>
    <cellStyle name="Обычный 14" xfId="3015"/>
    <cellStyle name="Обычный 14 10" xfId="13943"/>
    <cellStyle name="Обычный 14 11" xfId="13944"/>
    <cellStyle name="Обычный 14 12" xfId="13945"/>
    <cellStyle name="Обычный 14 13" xfId="13946"/>
    <cellStyle name="Обычный 14 2" xfId="3016"/>
    <cellStyle name="Обычный 14 2 10" xfId="13947"/>
    <cellStyle name="Обычный 14 2 11" xfId="13948"/>
    <cellStyle name="Обычный 14 2 12" xfId="13949"/>
    <cellStyle name="Обычный 14 2 2" xfId="3017"/>
    <cellStyle name="Обычный 14 2 2 10" xfId="13950"/>
    <cellStyle name="Обычный 14 2 2 11" xfId="13951"/>
    <cellStyle name="Обычный 14 2 2 12" xfId="13952"/>
    <cellStyle name="Обычный 14 2 2 2" xfId="3018"/>
    <cellStyle name="Обычный 14 2 2 2 2" xfId="13953"/>
    <cellStyle name="Обычный 14 2 2 2 3" xfId="13954"/>
    <cellStyle name="Обычный 14 2 2 2 4" xfId="13955"/>
    <cellStyle name="Обычный 14 2 2 2 5" xfId="13956"/>
    <cellStyle name="Обычный 14 2 2 2 6" xfId="13957"/>
    <cellStyle name="Обычный 14 2 2 2 7" xfId="13958"/>
    <cellStyle name="Обычный 14 2 2 2 8" xfId="13959"/>
    <cellStyle name="Обычный 14 2 2 2 9" xfId="13960"/>
    <cellStyle name="Обычный 14 2 2 3" xfId="3019"/>
    <cellStyle name="Обычный 14 2 2 3 2" xfId="13961"/>
    <cellStyle name="Обычный 14 2 2 3 3" xfId="13962"/>
    <cellStyle name="Обычный 14 2 2 3 4" xfId="13963"/>
    <cellStyle name="Обычный 14 2 2 3 5" xfId="13964"/>
    <cellStyle name="Обычный 14 2 2 3 6" xfId="13965"/>
    <cellStyle name="Обычный 14 2 2 3 7" xfId="13966"/>
    <cellStyle name="Обычный 14 2 2 3 8" xfId="13967"/>
    <cellStyle name="Обычный 14 2 2 3 9" xfId="13968"/>
    <cellStyle name="Обычный 14 2 2 4" xfId="3020"/>
    <cellStyle name="Обычный 14 2 2 4 2" xfId="13969"/>
    <cellStyle name="Обычный 14 2 2 4 3" xfId="13970"/>
    <cellStyle name="Обычный 14 2 2 4 4" xfId="13971"/>
    <cellStyle name="Обычный 14 2 2 4 5" xfId="13972"/>
    <cellStyle name="Обычный 14 2 2 4 6" xfId="13973"/>
    <cellStyle name="Обычный 14 2 2 4 7" xfId="13974"/>
    <cellStyle name="Обычный 14 2 2 4 8" xfId="13975"/>
    <cellStyle name="Обычный 14 2 2 4 9" xfId="13976"/>
    <cellStyle name="Обычный 14 2 2 5" xfId="13977"/>
    <cellStyle name="Обычный 14 2 2 6" xfId="13978"/>
    <cellStyle name="Обычный 14 2 2 7" xfId="13979"/>
    <cellStyle name="Обычный 14 2 2 8" xfId="13980"/>
    <cellStyle name="Обычный 14 2 2 9" xfId="13981"/>
    <cellStyle name="Обычный 14 2 3" xfId="3021"/>
    <cellStyle name="Обычный 14 2 3 10" xfId="13982"/>
    <cellStyle name="Обычный 14 2 3 11" xfId="13983"/>
    <cellStyle name="Обычный 14 2 3 2" xfId="3022"/>
    <cellStyle name="Обычный 14 2 3 2 2" xfId="13984"/>
    <cellStyle name="Обычный 14 2 3 2 3" xfId="13985"/>
    <cellStyle name="Обычный 14 2 3 2 4" xfId="13986"/>
    <cellStyle name="Обычный 14 2 3 2 5" xfId="13987"/>
    <cellStyle name="Обычный 14 2 3 2 6" xfId="13988"/>
    <cellStyle name="Обычный 14 2 3 2 7" xfId="13989"/>
    <cellStyle name="Обычный 14 2 3 2 8" xfId="13990"/>
    <cellStyle name="Обычный 14 2 3 2 9" xfId="13991"/>
    <cellStyle name="Обычный 14 2 3 3" xfId="3023"/>
    <cellStyle name="Обычный 14 2 3 3 2" xfId="13992"/>
    <cellStyle name="Обычный 14 2 3 3 3" xfId="13993"/>
    <cellStyle name="Обычный 14 2 3 3 4" xfId="13994"/>
    <cellStyle name="Обычный 14 2 3 3 5" xfId="13995"/>
    <cellStyle name="Обычный 14 2 3 3 6" xfId="13996"/>
    <cellStyle name="Обычный 14 2 3 3 7" xfId="13997"/>
    <cellStyle name="Обычный 14 2 3 3 8" xfId="13998"/>
    <cellStyle name="Обычный 14 2 3 3 9" xfId="13999"/>
    <cellStyle name="Обычный 14 2 3 4" xfId="14000"/>
    <cellStyle name="Обычный 14 2 3 5" xfId="14001"/>
    <cellStyle name="Обычный 14 2 3 6" xfId="14002"/>
    <cellStyle name="Обычный 14 2 3 7" xfId="14003"/>
    <cellStyle name="Обычный 14 2 3 8" xfId="14004"/>
    <cellStyle name="Обычный 14 2 3 9" xfId="14005"/>
    <cellStyle name="Обычный 14 2 4" xfId="3024"/>
    <cellStyle name="Обычный 14 2 4 2" xfId="14006"/>
    <cellStyle name="Обычный 14 2 4 3" xfId="14007"/>
    <cellStyle name="Обычный 14 2 4 4" xfId="14008"/>
    <cellStyle name="Обычный 14 2 4 5" xfId="14009"/>
    <cellStyle name="Обычный 14 2 4 6" xfId="14010"/>
    <cellStyle name="Обычный 14 2 4 7" xfId="14011"/>
    <cellStyle name="Обычный 14 2 4 8" xfId="14012"/>
    <cellStyle name="Обычный 14 2 4 9" xfId="14013"/>
    <cellStyle name="Обычный 14 2 5" xfId="14014"/>
    <cellStyle name="Обычный 14 2 6" xfId="14015"/>
    <cellStyle name="Обычный 14 2 7" xfId="14016"/>
    <cellStyle name="Обычный 14 2 8" xfId="14017"/>
    <cellStyle name="Обычный 14 2 9" xfId="14018"/>
    <cellStyle name="Обычный 14 3" xfId="3025"/>
    <cellStyle name="Обычный 14 3 2" xfId="3026"/>
    <cellStyle name="Обычный 14 3 3" xfId="3027"/>
    <cellStyle name="Обычный 14 4" xfId="3028"/>
    <cellStyle name="Обычный 14 5" xfId="3029"/>
    <cellStyle name="Обычный 14 5 2" xfId="14019"/>
    <cellStyle name="Обычный 14 5 3" xfId="14020"/>
    <cellStyle name="Обычный 14 5 4" xfId="14021"/>
    <cellStyle name="Обычный 14 5 5" xfId="14022"/>
    <cellStyle name="Обычный 14 5 6" xfId="14023"/>
    <cellStyle name="Обычный 14 5 7" xfId="14024"/>
    <cellStyle name="Обычный 14 5 8" xfId="14025"/>
    <cellStyle name="Обычный 14 5 9" xfId="14026"/>
    <cellStyle name="Обычный 14 6" xfId="14027"/>
    <cellStyle name="Обычный 14 7" xfId="14028"/>
    <cellStyle name="Обычный 14 8" xfId="14029"/>
    <cellStyle name="Обычный 14 9" xfId="14030"/>
    <cellStyle name="Обычный 15" xfId="3030"/>
    <cellStyle name="Обычный 15 10" xfId="14031"/>
    <cellStyle name="Обычный 15 11" xfId="14032"/>
    <cellStyle name="Обычный 15 12" xfId="14033"/>
    <cellStyle name="Обычный 15 2" xfId="3031"/>
    <cellStyle name="Обычный 15 2 2" xfId="14034"/>
    <cellStyle name="Обычный 15 2 3" xfId="14035"/>
    <cellStyle name="Обычный 15 2 4" xfId="14036"/>
    <cellStyle name="Обычный 15 2 5" xfId="14037"/>
    <cellStyle name="Обычный 15 2 6" xfId="14038"/>
    <cellStyle name="Обычный 15 2 7" xfId="14039"/>
    <cellStyle name="Обычный 15 2 8" xfId="14040"/>
    <cellStyle name="Обычный 15 2 9" xfId="14041"/>
    <cellStyle name="Обычный 15 3" xfId="3032"/>
    <cellStyle name="Обычный 15 3 2" xfId="14042"/>
    <cellStyle name="Обычный 15 3 3" xfId="14043"/>
    <cellStyle name="Обычный 15 3 4" xfId="14044"/>
    <cellStyle name="Обычный 15 3 5" xfId="14045"/>
    <cellStyle name="Обычный 15 3 6" xfId="14046"/>
    <cellStyle name="Обычный 15 3 7" xfId="14047"/>
    <cellStyle name="Обычный 15 3 8" xfId="14048"/>
    <cellStyle name="Обычный 15 3 9" xfId="14049"/>
    <cellStyle name="Обычный 15 4" xfId="3033"/>
    <cellStyle name="Обычный 15 4 2" xfId="14050"/>
    <cellStyle name="Обычный 15 4 3" xfId="14051"/>
    <cellStyle name="Обычный 15 4 4" xfId="14052"/>
    <cellStyle name="Обычный 15 4 5" xfId="14053"/>
    <cellStyle name="Обычный 15 4 6" xfId="14054"/>
    <cellStyle name="Обычный 15 4 7" xfId="14055"/>
    <cellStyle name="Обычный 15 4 8" xfId="14056"/>
    <cellStyle name="Обычный 15 4 9" xfId="14057"/>
    <cellStyle name="Обычный 15 5" xfId="14058"/>
    <cellStyle name="Обычный 15 6" xfId="14059"/>
    <cellStyle name="Обычный 15 7" xfId="14060"/>
    <cellStyle name="Обычный 15 8" xfId="14061"/>
    <cellStyle name="Обычный 15 9" xfId="14062"/>
    <cellStyle name="Обычный 16" xfId="3034"/>
    <cellStyle name="Обычный 16 10" xfId="14063"/>
    <cellStyle name="Обычный 16 11" xfId="14064"/>
    <cellStyle name="Обычный 16 2" xfId="3035"/>
    <cellStyle name="Обычный 16 2 2" xfId="14065"/>
    <cellStyle name="Обычный 16 2 3" xfId="14066"/>
    <cellStyle name="Обычный 16 2 4" xfId="14067"/>
    <cellStyle name="Обычный 16 2 5" xfId="14068"/>
    <cellStyle name="Обычный 16 2 6" xfId="14069"/>
    <cellStyle name="Обычный 16 2 7" xfId="14070"/>
    <cellStyle name="Обычный 16 2 8" xfId="14071"/>
    <cellStyle name="Обычный 16 2 9" xfId="14072"/>
    <cellStyle name="Обычный 16 3" xfId="3036"/>
    <cellStyle name="Обычный 16 3 2" xfId="14073"/>
    <cellStyle name="Обычный 16 3 3" xfId="14074"/>
    <cellStyle name="Обычный 16 3 4" xfId="14075"/>
    <cellStyle name="Обычный 16 3 5" xfId="14076"/>
    <cellStyle name="Обычный 16 3 6" xfId="14077"/>
    <cellStyle name="Обычный 16 3 7" xfId="14078"/>
    <cellStyle name="Обычный 16 3 8" xfId="14079"/>
    <cellStyle name="Обычный 16 3 9" xfId="14080"/>
    <cellStyle name="Обычный 16 4" xfId="14081"/>
    <cellStyle name="Обычный 16 5" xfId="14082"/>
    <cellStyle name="Обычный 16 6" xfId="14083"/>
    <cellStyle name="Обычный 16 7" xfId="14084"/>
    <cellStyle name="Обычный 16 8" xfId="14085"/>
    <cellStyle name="Обычный 16 9" xfId="14086"/>
    <cellStyle name="Обычный 17" xfId="3037"/>
    <cellStyle name="Обычный 17 2" xfId="14087"/>
    <cellStyle name="Обычный 17 3" xfId="14088"/>
    <cellStyle name="Обычный 17 4" xfId="14089"/>
    <cellStyle name="Обычный 17 5" xfId="14090"/>
    <cellStyle name="Обычный 17 6" xfId="14091"/>
    <cellStyle name="Обычный 17 7" xfId="14092"/>
    <cellStyle name="Обычный 17 8" xfId="14093"/>
    <cellStyle name="Обычный 17 9" xfId="14094"/>
    <cellStyle name="Обычный 18" xfId="3038"/>
    <cellStyle name="Обычный 18 2" xfId="14095"/>
    <cellStyle name="Обычный 18 3" xfId="14096"/>
    <cellStyle name="Обычный 18 4" xfId="14097"/>
    <cellStyle name="Обычный 18 5" xfId="14098"/>
    <cellStyle name="Обычный 18 6" xfId="14099"/>
    <cellStyle name="Обычный 18 7" xfId="14100"/>
    <cellStyle name="Обычный 18 8" xfId="14101"/>
    <cellStyle name="Обычный 18 9" xfId="14102"/>
    <cellStyle name="Обычный 19" xfId="5512"/>
    <cellStyle name="Обычный 19 2" xfId="14103"/>
    <cellStyle name="Обычный 19 2 2" xfId="23902"/>
    <cellStyle name="Обычный 2" xfId="2"/>
    <cellStyle name="Обычный 2 10" xfId="3039"/>
    <cellStyle name="Обычный 2 10 2" xfId="3040"/>
    <cellStyle name="Обычный 2 10 2 2" xfId="3041"/>
    <cellStyle name="Обычный 2 10 2 3" xfId="3042"/>
    <cellStyle name="Обычный 2 10 3" xfId="3043"/>
    <cellStyle name="Обычный 2 10 4" xfId="3044"/>
    <cellStyle name="Обычный 2 10 4 2" xfId="14104"/>
    <cellStyle name="Обычный 2 10 4 3" xfId="14105"/>
    <cellStyle name="Обычный 2 10 4 4" xfId="14106"/>
    <cellStyle name="Обычный 2 10 4 5" xfId="14107"/>
    <cellStyle name="Обычный 2 10 5" xfId="14108"/>
    <cellStyle name="Обычный 2 10 6" xfId="14109"/>
    <cellStyle name="Обычный 2 10 7" xfId="14110"/>
    <cellStyle name="Обычный 2 10 8" xfId="14111"/>
    <cellStyle name="Обычный 2 11" xfId="3045"/>
    <cellStyle name="Обычный 2 11 2" xfId="3046"/>
    <cellStyle name="Обычный 2 11 2 2" xfId="3047"/>
    <cellStyle name="Обычный 2 11 2 3" xfId="3048"/>
    <cellStyle name="Обычный 2 11 3" xfId="3049"/>
    <cellStyle name="Обычный 2 11 4" xfId="3050"/>
    <cellStyle name="Обычный 2 11 4 2" xfId="14112"/>
    <cellStyle name="Обычный 2 11 4 3" xfId="14113"/>
    <cellStyle name="Обычный 2 11 4 4" xfId="14114"/>
    <cellStyle name="Обычный 2 11 4 5" xfId="14115"/>
    <cellStyle name="Обычный 2 11 5" xfId="14116"/>
    <cellStyle name="Обычный 2 11 6" xfId="14117"/>
    <cellStyle name="Обычный 2 11 7" xfId="14118"/>
    <cellStyle name="Обычный 2 11 8" xfId="14119"/>
    <cellStyle name="Обычный 2 12" xfId="3051"/>
    <cellStyle name="Обычный 2 12 2" xfId="3052"/>
    <cellStyle name="Обычный 2 12 2 2" xfId="3053"/>
    <cellStyle name="Обычный 2 12 2 3" xfId="3054"/>
    <cellStyle name="Обычный 2 12 3" xfId="3055"/>
    <cellStyle name="Обычный 2 12 4" xfId="3056"/>
    <cellStyle name="Обычный 2 12 4 2" xfId="14120"/>
    <cellStyle name="Обычный 2 12 4 3" xfId="14121"/>
    <cellStyle name="Обычный 2 12 4 4" xfId="14122"/>
    <cellStyle name="Обычный 2 12 4 5" xfId="14123"/>
    <cellStyle name="Обычный 2 12 5" xfId="14124"/>
    <cellStyle name="Обычный 2 12 6" xfId="14125"/>
    <cellStyle name="Обычный 2 12 7" xfId="14126"/>
    <cellStyle name="Обычный 2 12 8" xfId="14127"/>
    <cellStyle name="Обычный 2 13" xfId="3057"/>
    <cellStyle name="Обычный 2 13 2" xfId="3058"/>
    <cellStyle name="Обычный 2 13 2 2" xfId="3059"/>
    <cellStyle name="Обычный 2 13 2 3" xfId="3060"/>
    <cellStyle name="Обычный 2 13 3" xfId="3061"/>
    <cellStyle name="Обычный 2 13 4" xfId="3062"/>
    <cellStyle name="Обычный 2 13 4 2" xfId="14128"/>
    <cellStyle name="Обычный 2 13 4 3" xfId="14129"/>
    <cellStyle name="Обычный 2 13 4 4" xfId="14130"/>
    <cellStyle name="Обычный 2 13 4 5" xfId="14131"/>
    <cellStyle name="Обычный 2 13 5" xfId="14132"/>
    <cellStyle name="Обычный 2 13 6" xfId="14133"/>
    <cellStyle name="Обычный 2 13 7" xfId="14134"/>
    <cellStyle name="Обычный 2 13 8" xfId="14135"/>
    <cellStyle name="Обычный 2 14" xfId="3063"/>
    <cellStyle name="Обычный 2 14 2" xfId="3064"/>
    <cellStyle name="Обычный 2 14 2 2" xfId="3065"/>
    <cellStyle name="Обычный 2 14 2 3" xfId="3066"/>
    <cellStyle name="Обычный 2 14 3" xfId="3067"/>
    <cellStyle name="Обычный 2 14 4" xfId="3068"/>
    <cellStyle name="Обычный 2 14 4 2" xfId="14136"/>
    <cellStyle name="Обычный 2 14 4 3" xfId="14137"/>
    <cellStyle name="Обычный 2 14 4 4" xfId="14138"/>
    <cellStyle name="Обычный 2 14 4 5" xfId="14139"/>
    <cellStyle name="Обычный 2 14 5" xfId="14140"/>
    <cellStyle name="Обычный 2 14 6" xfId="14141"/>
    <cellStyle name="Обычный 2 14 7" xfId="14142"/>
    <cellStyle name="Обычный 2 14 8" xfId="14143"/>
    <cellStyle name="Обычный 2 15" xfId="3069"/>
    <cellStyle name="Обычный 2 15 2" xfId="3070"/>
    <cellStyle name="Обычный 2 15 2 2" xfId="3071"/>
    <cellStyle name="Обычный 2 15 2 3" xfId="3072"/>
    <cellStyle name="Обычный 2 15 3" xfId="3073"/>
    <cellStyle name="Обычный 2 15 4" xfId="3074"/>
    <cellStyle name="Обычный 2 15 4 2" xfId="14144"/>
    <cellStyle name="Обычный 2 15 4 3" xfId="14145"/>
    <cellStyle name="Обычный 2 15 4 4" xfId="14146"/>
    <cellStyle name="Обычный 2 15 4 5" xfId="14147"/>
    <cellStyle name="Обычный 2 15 5" xfId="14148"/>
    <cellStyle name="Обычный 2 15 6" xfId="14149"/>
    <cellStyle name="Обычный 2 15 7" xfId="14150"/>
    <cellStyle name="Обычный 2 15 8" xfId="14151"/>
    <cellStyle name="Обычный 2 16" xfId="3075"/>
    <cellStyle name="Обычный 2 16 2" xfId="3076"/>
    <cellStyle name="Обычный 2 16 2 2" xfId="3077"/>
    <cellStyle name="Обычный 2 16 2 3" xfId="3078"/>
    <cellStyle name="Обычный 2 16 3" xfId="3079"/>
    <cellStyle name="Обычный 2 16 4" xfId="3080"/>
    <cellStyle name="Обычный 2 16 4 2" xfId="14152"/>
    <cellStyle name="Обычный 2 16 4 3" xfId="14153"/>
    <cellStyle name="Обычный 2 16 4 4" xfId="14154"/>
    <cellStyle name="Обычный 2 16 4 5" xfId="14155"/>
    <cellStyle name="Обычный 2 16 5" xfId="14156"/>
    <cellStyle name="Обычный 2 16 6" xfId="14157"/>
    <cellStyle name="Обычный 2 16 7" xfId="14158"/>
    <cellStyle name="Обычный 2 16 8" xfId="14159"/>
    <cellStyle name="Обычный 2 17" xfId="3081"/>
    <cellStyle name="Обычный 2 17 2" xfId="3082"/>
    <cellStyle name="Обычный 2 17 2 2" xfId="14160"/>
    <cellStyle name="Обычный 2 17 2 3" xfId="14161"/>
    <cellStyle name="Обычный 2 17 2 4" xfId="14162"/>
    <cellStyle name="Обычный 2 17 2 5" xfId="14163"/>
    <cellStyle name="Обычный 2 17 3" xfId="3083"/>
    <cellStyle name="Обычный 2 17 3 2" xfId="14164"/>
    <cellStyle name="Обычный 2 17 3 3" xfId="14165"/>
    <cellStyle name="Обычный 2 17 3 4" xfId="14166"/>
    <cellStyle name="Обычный 2 17 3 5" xfId="14167"/>
    <cellStyle name="Обычный 2 17 3 6" xfId="14168"/>
    <cellStyle name="Обычный 2 17 4" xfId="3084"/>
    <cellStyle name="Обычный 2 17 4 2" xfId="14169"/>
    <cellStyle name="Обычный 2 17 4 3" xfId="14170"/>
    <cellStyle name="Обычный 2 17 4 4" xfId="14171"/>
    <cellStyle name="Обычный 2 17 4 5" xfId="14172"/>
    <cellStyle name="Обычный 2 17 4 6" xfId="14173"/>
    <cellStyle name="Обычный 2 17 5" xfId="3085"/>
    <cellStyle name="Обычный 2 17 5 2" xfId="14174"/>
    <cellStyle name="Обычный 2 17 5 3" xfId="14175"/>
    <cellStyle name="Обычный 2 17 5 4" xfId="14176"/>
    <cellStyle name="Обычный 2 17 5 5" xfId="14177"/>
    <cellStyle name="Обычный 2 17 6" xfId="14178"/>
    <cellStyle name="Обычный 2 17 7" xfId="14179"/>
    <cellStyle name="Обычный 2 17 8" xfId="14180"/>
    <cellStyle name="Обычный 2 17 9" xfId="14181"/>
    <cellStyle name="Обычный 2 18" xfId="3086"/>
    <cellStyle name="Обычный 2 18 2" xfId="3087"/>
    <cellStyle name="Обычный 2 18 2 2" xfId="3088"/>
    <cellStyle name="Обычный 2 18 2 3" xfId="3089"/>
    <cellStyle name="Обычный 2 18 3" xfId="3090"/>
    <cellStyle name="Обычный 2 18 4" xfId="3091"/>
    <cellStyle name="Обычный 2 18 4 2" xfId="14182"/>
    <cellStyle name="Обычный 2 18 4 3" xfId="14183"/>
    <cellStyle name="Обычный 2 18 4 4" xfId="14184"/>
    <cellStyle name="Обычный 2 18 4 5" xfId="14185"/>
    <cellStyle name="Обычный 2 18 5" xfId="14186"/>
    <cellStyle name="Обычный 2 18 6" xfId="14187"/>
    <cellStyle name="Обычный 2 18 7" xfId="14188"/>
    <cellStyle name="Обычный 2 18 8" xfId="14189"/>
    <cellStyle name="Обычный 2 19" xfId="3092"/>
    <cellStyle name="Обычный 2 19 2" xfId="3093"/>
    <cellStyle name="Обычный 2 19 2 2" xfId="3094"/>
    <cellStyle name="Обычный 2 19 2 3" xfId="3095"/>
    <cellStyle name="Обычный 2 19 3" xfId="3096"/>
    <cellStyle name="Обычный 2 19 4" xfId="3097"/>
    <cellStyle name="Обычный 2 19 4 2" xfId="14190"/>
    <cellStyle name="Обычный 2 19 4 3" xfId="14191"/>
    <cellStyle name="Обычный 2 19 4 4" xfId="14192"/>
    <cellStyle name="Обычный 2 19 4 5" xfId="14193"/>
    <cellStyle name="Обычный 2 19 5" xfId="14194"/>
    <cellStyle name="Обычный 2 19 6" xfId="14195"/>
    <cellStyle name="Обычный 2 19 7" xfId="14196"/>
    <cellStyle name="Обычный 2 19 8" xfId="14197"/>
    <cellStyle name="Обычный 2 2" xfId="39"/>
    <cellStyle name="Обычный 2 2 10" xfId="3098"/>
    <cellStyle name="Обычный 2 2 10 10" xfId="14198"/>
    <cellStyle name="Обычный 2 2 10 11" xfId="14199"/>
    <cellStyle name="Обычный 2 2 10 12" xfId="14200"/>
    <cellStyle name="Обычный 2 2 10 2" xfId="3099"/>
    <cellStyle name="Обычный 2 2 10 2 10" xfId="14201"/>
    <cellStyle name="Обычный 2 2 10 2 11" xfId="14202"/>
    <cellStyle name="Обычный 2 2 10 2 12" xfId="14203"/>
    <cellStyle name="Обычный 2 2 10 2 2" xfId="3100"/>
    <cellStyle name="Обычный 2 2 10 2 2 2" xfId="14204"/>
    <cellStyle name="Обычный 2 2 10 2 2 3" xfId="14205"/>
    <cellStyle name="Обычный 2 2 10 2 2 4" xfId="14206"/>
    <cellStyle name="Обычный 2 2 10 2 2 5" xfId="14207"/>
    <cellStyle name="Обычный 2 2 10 2 2 6" xfId="14208"/>
    <cellStyle name="Обычный 2 2 10 2 2 7" xfId="14209"/>
    <cellStyle name="Обычный 2 2 10 2 2 8" xfId="14210"/>
    <cellStyle name="Обычный 2 2 10 2 2 9" xfId="14211"/>
    <cellStyle name="Обычный 2 2 10 2 3" xfId="3101"/>
    <cellStyle name="Обычный 2 2 10 2 3 2" xfId="14212"/>
    <cellStyle name="Обычный 2 2 10 2 3 3" xfId="14213"/>
    <cellStyle name="Обычный 2 2 10 2 3 4" xfId="14214"/>
    <cellStyle name="Обычный 2 2 10 2 3 5" xfId="14215"/>
    <cellStyle name="Обычный 2 2 10 2 3 6" xfId="14216"/>
    <cellStyle name="Обычный 2 2 10 2 3 7" xfId="14217"/>
    <cellStyle name="Обычный 2 2 10 2 3 8" xfId="14218"/>
    <cellStyle name="Обычный 2 2 10 2 3 9" xfId="14219"/>
    <cellStyle name="Обычный 2 2 10 2 4" xfId="3102"/>
    <cellStyle name="Обычный 2 2 10 2 4 2" xfId="14220"/>
    <cellStyle name="Обычный 2 2 10 2 4 3" xfId="14221"/>
    <cellStyle name="Обычный 2 2 10 2 4 4" xfId="14222"/>
    <cellStyle name="Обычный 2 2 10 2 4 5" xfId="14223"/>
    <cellStyle name="Обычный 2 2 10 2 4 6" xfId="14224"/>
    <cellStyle name="Обычный 2 2 10 2 4 7" xfId="14225"/>
    <cellStyle name="Обычный 2 2 10 2 4 8" xfId="14226"/>
    <cellStyle name="Обычный 2 2 10 2 4 9" xfId="14227"/>
    <cellStyle name="Обычный 2 2 10 2 5" xfId="14228"/>
    <cellStyle name="Обычный 2 2 10 2 6" xfId="14229"/>
    <cellStyle name="Обычный 2 2 10 2 7" xfId="14230"/>
    <cellStyle name="Обычный 2 2 10 2 8" xfId="14231"/>
    <cellStyle name="Обычный 2 2 10 2 9" xfId="14232"/>
    <cellStyle name="Обычный 2 2 10 3" xfId="3103"/>
    <cellStyle name="Обычный 2 2 10 3 10" xfId="14233"/>
    <cellStyle name="Обычный 2 2 10 3 11" xfId="14234"/>
    <cellStyle name="Обычный 2 2 10 3 2" xfId="3104"/>
    <cellStyle name="Обычный 2 2 10 3 2 2" xfId="14235"/>
    <cellStyle name="Обычный 2 2 10 3 2 3" xfId="14236"/>
    <cellStyle name="Обычный 2 2 10 3 2 4" xfId="14237"/>
    <cellStyle name="Обычный 2 2 10 3 2 5" xfId="14238"/>
    <cellStyle name="Обычный 2 2 10 3 2 6" xfId="14239"/>
    <cellStyle name="Обычный 2 2 10 3 2 7" xfId="14240"/>
    <cellStyle name="Обычный 2 2 10 3 2 8" xfId="14241"/>
    <cellStyle name="Обычный 2 2 10 3 2 9" xfId="14242"/>
    <cellStyle name="Обычный 2 2 10 3 3" xfId="3105"/>
    <cellStyle name="Обычный 2 2 10 3 3 2" xfId="14243"/>
    <cellStyle name="Обычный 2 2 10 3 3 3" xfId="14244"/>
    <cellStyle name="Обычный 2 2 10 3 3 4" xfId="14245"/>
    <cellStyle name="Обычный 2 2 10 3 3 5" xfId="14246"/>
    <cellStyle name="Обычный 2 2 10 3 3 6" xfId="14247"/>
    <cellStyle name="Обычный 2 2 10 3 3 7" xfId="14248"/>
    <cellStyle name="Обычный 2 2 10 3 3 8" xfId="14249"/>
    <cellStyle name="Обычный 2 2 10 3 3 9" xfId="14250"/>
    <cellStyle name="Обычный 2 2 10 3 4" xfId="14251"/>
    <cellStyle name="Обычный 2 2 10 3 5" xfId="14252"/>
    <cellStyle name="Обычный 2 2 10 3 6" xfId="14253"/>
    <cellStyle name="Обычный 2 2 10 3 7" xfId="14254"/>
    <cellStyle name="Обычный 2 2 10 3 8" xfId="14255"/>
    <cellStyle name="Обычный 2 2 10 3 9" xfId="14256"/>
    <cellStyle name="Обычный 2 2 10 4" xfId="3106"/>
    <cellStyle name="Обычный 2 2 10 4 2" xfId="14257"/>
    <cellStyle name="Обычный 2 2 10 4 3" xfId="14258"/>
    <cellStyle name="Обычный 2 2 10 4 4" xfId="14259"/>
    <cellStyle name="Обычный 2 2 10 4 5" xfId="14260"/>
    <cellStyle name="Обычный 2 2 10 4 6" xfId="14261"/>
    <cellStyle name="Обычный 2 2 10 4 7" xfId="14262"/>
    <cellStyle name="Обычный 2 2 10 4 8" xfId="14263"/>
    <cellStyle name="Обычный 2 2 10 4 9" xfId="14264"/>
    <cellStyle name="Обычный 2 2 10 5" xfId="14265"/>
    <cellStyle name="Обычный 2 2 10 6" xfId="14266"/>
    <cellStyle name="Обычный 2 2 10 7" xfId="14267"/>
    <cellStyle name="Обычный 2 2 10 8" xfId="14268"/>
    <cellStyle name="Обычный 2 2 10 9" xfId="14269"/>
    <cellStyle name="Обычный 2 2 11" xfId="3107"/>
    <cellStyle name="Обычный 2 2 11 10" xfId="14270"/>
    <cellStyle name="Обычный 2 2 11 11" xfId="14271"/>
    <cellStyle name="Обычный 2 2 11 12" xfId="14272"/>
    <cellStyle name="Обычный 2 2 11 2" xfId="3108"/>
    <cellStyle name="Обычный 2 2 11 2 10" xfId="14273"/>
    <cellStyle name="Обычный 2 2 11 2 11" xfId="14274"/>
    <cellStyle name="Обычный 2 2 11 2 12" xfId="14275"/>
    <cellStyle name="Обычный 2 2 11 2 2" xfId="3109"/>
    <cellStyle name="Обычный 2 2 11 2 2 2" xfId="14276"/>
    <cellStyle name="Обычный 2 2 11 2 2 3" xfId="14277"/>
    <cellStyle name="Обычный 2 2 11 2 2 4" xfId="14278"/>
    <cellStyle name="Обычный 2 2 11 2 2 5" xfId="14279"/>
    <cellStyle name="Обычный 2 2 11 2 2 6" xfId="14280"/>
    <cellStyle name="Обычный 2 2 11 2 2 7" xfId="14281"/>
    <cellStyle name="Обычный 2 2 11 2 2 8" xfId="14282"/>
    <cellStyle name="Обычный 2 2 11 2 2 9" xfId="14283"/>
    <cellStyle name="Обычный 2 2 11 2 3" xfId="3110"/>
    <cellStyle name="Обычный 2 2 11 2 3 2" xfId="14284"/>
    <cellStyle name="Обычный 2 2 11 2 3 3" xfId="14285"/>
    <cellStyle name="Обычный 2 2 11 2 3 4" xfId="14286"/>
    <cellStyle name="Обычный 2 2 11 2 3 5" xfId="14287"/>
    <cellStyle name="Обычный 2 2 11 2 3 6" xfId="14288"/>
    <cellStyle name="Обычный 2 2 11 2 3 7" xfId="14289"/>
    <cellStyle name="Обычный 2 2 11 2 3 8" xfId="14290"/>
    <cellStyle name="Обычный 2 2 11 2 3 9" xfId="14291"/>
    <cellStyle name="Обычный 2 2 11 2 4" xfId="3111"/>
    <cellStyle name="Обычный 2 2 11 2 4 2" xfId="14292"/>
    <cellStyle name="Обычный 2 2 11 2 4 3" xfId="14293"/>
    <cellStyle name="Обычный 2 2 11 2 4 4" xfId="14294"/>
    <cellStyle name="Обычный 2 2 11 2 4 5" xfId="14295"/>
    <cellStyle name="Обычный 2 2 11 2 4 6" xfId="14296"/>
    <cellStyle name="Обычный 2 2 11 2 4 7" xfId="14297"/>
    <cellStyle name="Обычный 2 2 11 2 4 8" xfId="14298"/>
    <cellStyle name="Обычный 2 2 11 2 4 9" xfId="14299"/>
    <cellStyle name="Обычный 2 2 11 2 5" xfId="14300"/>
    <cellStyle name="Обычный 2 2 11 2 6" xfId="14301"/>
    <cellStyle name="Обычный 2 2 11 2 7" xfId="14302"/>
    <cellStyle name="Обычный 2 2 11 2 8" xfId="14303"/>
    <cellStyle name="Обычный 2 2 11 2 9" xfId="14304"/>
    <cellStyle name="Обычный 2 2 11 3" xfId="3112"/>
    <cellStyle name="Обычный 2 2 11 3 10" xfId="14305"/>
    <cellStyle name="Обычный 2 2 11 3 11" xfId="14306"/>
    <cellStyle name="Обычный 2 2 11 3 2" xfId="3113"/>
    <cellStyle name="Обычный 2 2 11 3 2 2" xfId="14307"/>
    <cellStyle name="Обычный 2 2 11 3 2 3" xfId="14308"/>
    <cellStyle name="Обычный 2 2 11 3 2 4" xfId="14309"/>
    <cellStyle name="Обычный 2 2 11 3 2 5" xfId="14310"/>
    <cellStyle name="Обычный 2 2 11 3 2 6" xfId="14311"/>
    <cellStyle name="Обычный 2 2 11 3 2 7" xfId="14312"/>
    <cellStyle name="Обычный 2 2 11 3 2 8" xfId="14313"/>
    <cellStyle name="Обычный 2 2 11 3 2 9" xfId="14314"/>
    <cellStyle name="Обычный 2 2 11 3 3" xfId="3114"/>
    <cellStyle name="Обычный 2 2 11 3 3 2" xfId="14315"/>
    <cellStyle name="Обычный 2 2 11 3 3 3" xfId="14316"/>
    <cellStyle name="Обычный 2 2 11 3 3 4" xfId="14317"/>
    <cellStyle name="Обычный 2 2 11 3 3 5" xfId="14318"/>
    <cellStyle name="Обычный 2 2 11 3 3 6" xfId="14319"/>
    <cellStyle name="Обычный 2 2 11 3 3 7" xfId="14320"/>
    <cellStyle name="Обычный 2 2 11 3 3 8" xfId="14321"/>
    <cellStyle name="Обычный 2 2 11 3 3 9" xfId="14322"/>
    <cellStyle name="Обычный 2 2 11 3 4" xfId="14323"/>
    <cellStyle name="Обычный 2 2 11 3 5" xfId="14324"/>
    <cellStyle name="Обычный 2 2 11 3 6" xfId="14325"/>
    <cellStyle name="Обычный 2 2 11 3 7" xfId="14326"/>
    <cellStyle name="Обычный 2 2 11 3 8" xfId="14327"/>
    <cellStyle name="Обычный 2 2 11 3 9" xfId="14328"/>
    <cellStyle name="Обычный 2 2 11 4" xfId="3115"/>
    <cellStyle name="Обычный 2 2 11 4 2" xfId="14329"/>
    <cellStyle name="Обычный 2 2 11 4 3" xfId="14330"/>
    <cellStyle name="Обычный 2 2 11 4 4" xfId="14331"/>
    <cellStyle name="Обычный 2 2 11 4 5" xfId="14332"/>
    <cellStyle name="Обычный 2 2 11 4 6" xfId="14333"/>
    <cellStyle name="Обычный 2 2 11 4 7" xfId="14334"/>
    <cellStyle name="Обычный 2 2 11 4 8" xfId="14335"/>
    <cellStyle name="Обычный 2 2 11 4 9" xfId="14336"/>
    <cellStyle name="Обычный 2 2 11 5" xfId="14337"/>
    <cellStyle name="Обычный 2 2 11 6" xfId="14338"/>
    <cellStyle name="Обычный 2 2 11 7" xfId="14339"/>
    <cellStyle name="Обычный 2 2 11 8" xfId="14340"/>
    <cellStyle name="Обычный 2 2 11 9" xfId="14341"/>
    <cellStyle name="Обычный 2 2 12" xfId="3116"/>
    <cellStyle name="Обычный 2 2 12 2" xfId="3117"/>
    <cellStyle name="Обычный 2 2 12 2 2" xfId="14342"/>
    <cellStyle name="Обычный 2 2 12 2 3" xfId="14343"/>
    <cellStyle name="Обычный 2 2 12 2 4" xfId="14344"/>
    <cellStyle name="Обычный 2 2 12 2 5" xfId="14345"/>
    <cellStyle name="Обычный 2 2 12 3" xfId="3118"/>
    <cellStyle name="Обычный 2 2 12 4" xfId="3119"/>
    <cellStyle name="Обычный 2 2 12 5" xfId="3120"/>
    <cellStyle name="Обычный 2 2 12 5 2" xfId="14346"/>
    <cellStyle name="Обычный 2 2 12 5 3" xfId="14347"/>
    <cellStyle name="Обычный 2 2 12 5 4" xfId="14348"/>
    <cellStyle name="Обычный 2 2 12 5 5" xfId="14349"/>
    <cellStyle name="Обычный 2 2 12 6" xfId="14350"/>
    <cellStyle name="Обычный 2 2 12 7" xfId="14351"/>
    <cellStyle name="Обычный 2 2 12 8" xfId="14352"/>
    <cellStyle name="Обычный 2 2 12 9" xfId="14353"/>
    <cellStyle name="Обычный 2 2 13" xfId="3121"/>
    <cellStyle name="Обычный 2 2 13 10" xfId="14354"/>
    <cellStyle name="Обычный 2 2 13 11" xfId="14355"/>
    <cellStyle name="Обычный 2 2 13 12" xfId="14356"/>
    <cellStyle name="Обычный 2 2 13 2" xfId="3122"/>
    <cellStyle name="Обычный 2 2 13 2 10" xfId="14357"/>
    <cellStyle name="Обычный 2 2 13 2 11" xfId="14358"/>
    <cellStyle name="Обычный 2 2 13 2 12" xfId="14359"/>
    <cellStyle name="Обычный 2 2 13 2 2" xfId="3123"/>
    <cellStyle name="Обычный 2 2 13 2 2 2" xfId="14360"/>
    <cellStyle name="Обычный 2 2 13 2 2 3" xfId="14361"/>
    <cellStyle name="Обычный 2 2 13 2 2 4" xfId="14362"/>
    <cellStyle name="Обычный 2 2 13 2 2 5" xfId="14363"/>
    <cellStyle name="Обычный 2 2 13 2 2 6" xfId="14364"/>
    <cellStyle name="Обычный 2 2 13 2 2 7" xfId="14365"/>
    <cellStyle name="Обычный 2 2 13 2 2 8" xfId="14366"/>
    <cellStyle name="Обычный 2 2 13 2 2 9" xfId="14367"/>
    <cellStyle name="Обычный 2 2 13 2 3" xfId="3124"/>
    <cellStyle name="Обычный 2 2 13 2 3 2" xfId="14368"/>
    <cellStyle name="Обычный 2 2 13 2 3 3" xfId="14369"/>
    <cellStyle name="Обычный 2 2 13 2 3 4" xfId="14370"/>
    <cellStyle name="Обычный 2 2 13 2 3 5" xfId="14371"/>
    <cellStyle name="Обычный 2 2 13 2 3 6" xfId="14372"/>
    <cellStyle name="Обычный 2 2 13 2 3 7" xfId="14373"/>
    <cellStyle name="Обычный 2 2 13 2 3 8" xfId="14374"/>
    <cellStyle name="Обычный 2 2 13 2 3 9" xfId="14375"/>
    <cellStyle name="Обычный 2 2 13 2 4" xfId="3125"/>
    <cellStyle name="Обычный 2 2 13 2 4 2" xfId="14376"/>
    <cellStyle name="Обычный 2 2 13 2 4 3" xfId="14377"/>
    <cellStyle name="Обычный 2 2 13 2 4 4" xfId="14378"/>
    <cellStyle name="Обычный 2 2 13 2 4 5" xfId="14379"/>
    <cellStyle name="Обычный 2 2 13 2 4 6" xfId="14380"/>
    <cellStyle name="Обычный 2 2 13 2 4 7" xfId="14381"/>
    <cellStyle name="Обычный 2 2 13 2 4 8" xfId="14382"/>
    <cellStyle name="Обычный 2 2 13 2 4 9" xfId="14383"/>
    <cellStyle name="Обычный 2 2 13 2 5" xfId="14384"/>
    <cellStyle name="Обычный 2 2 13 2 6" xfId="14385"/>
    <cellStyle name="Обычный 2 2 13 2 7" xfId="14386"/>
    <cellStyle name="Обычный 2 2 13 2 8" xfId="14387"/>
    <cellStyle name="Обычный 2 2 13 2 9" xfId="14388"/>
    <cellStyle name="Обычный 2 2 13 3" xfId="3126"/>
    <cellStyle name="Обычный 2 2 13 3 10" xfId="14389"/>
    <cellStyle name="Обычный 2 2 13 3 11" xfId="14390"/>
    <cellStyle name="Обычный 2 2 13 3 2" xfId="3127"/>
    <cellStyle name="Обычный 2 2 13 3 2 2" xfId="14391"/>
    <cellStyle name="Обычный 2 2 13 3 2 3" xfId="14392"/>
    <cellStyle name="Обычный 2 2 13 3 2 4" xfId="14393"/>
    <cellStyle name="Обычный 2 2 13 3 2 5" xfId="14394"/>
    <cellStyle name="Обычный 2 2 13 3 2 6" xfId="14395"/>
    <cellStyle name="Обычный 2 2 13 3 2 7" xfId="14396"/>
    <cellStyle name="Обычный 2 2 13 3 2 8" xfId="14397"/>
    <cellStyle name="Обычный 2 2 13 3 2 9" xfId="14398"/>
    <cellStyle name="Обычный 2 2 13 3 3" xfId="3128"/>
    <cellStyle name="Обычный 2 2 13 3 3 2" xfId="14399"/>
    <cellStyle name="Обычный 2 2 13 3 3 3" xfId="14400"/>
    <cellStyle name="Обычный 2 2 13 3 3 4" xfId="14401"/>
    <cellStyle name="Обычный 2 2 13 3 3 5" xfId="14402"/>
    <cellStyle name="Обычный 2 2 13 3 3 6" xfId="14403"/>
    <cellStyle name="Обычный 2 2 13 3 3 7" xfId="14404"/>
    <cellStyle name="Обычный 2 2 13 3 3 8" xfId="14405"/>
    <cellStyle name="Обычный 2 2 13 3 3 9" xfId="14406"/>
    <cellStyle name="Обычный 2 2 13 3 4" xfId="14407"/>
    <cellStyle name="Обычный 2 2 13 3 5" xfId="14408"/>
    <cellStyle name="Обычный 2 2 13 3 6" xfId="14409"/>
    <cellStyle name="Обычный 2 2 13 3 7" xfId="14410"/>
    <cellStyle name="Обычный 2 2 13 3 8" xfId="14411"/>
    <cellStyle name="Обычный 2 2 13 3 9" xfId="14412"/>
    <cellStyle name="Обычный 2 2 13 4" xfId="3129"/>
    <cellStyle name="Обычный 2 2 13 4 2" xfId="14413"/>
    <cellStyle name="Обычный 2 2 13 4 3" xfId="14414"/>
    <cellStyle name="Обычный 2 2 13 4 4" xfId="14415"/>
    <cellStyle name="Обычный 2 2 13 4 5" xfId="14416"/>
    <cellStyle name="Обычный 2 2 13 4 6" xfId="14417"/>
    <cellStyle name="Обычный 2 2 13 4 7" xfId="14418"/>
    <cellStyle name="Обычный 2 2 13 4 8" xfId="14419"/>
    <cellStyle name="Обычный 2 2 13 4 9" xfId="14420"/>
    <cellStyle name="Обычный 2 2 13 5" xfId="14421"/>
    <cellStyle name="Обычный 2 2 13 6" xfId="14422"/>
    <cellStyle name="Обычный 2 2 13 7" xfId="14423"/>
    <cellStyle name="Обычный 2 2 13 8" xfId="14424"/>
    <cellStyle name="Обычный 2 2 13 9" xfId="14425"/>
    <cellStyle name="Обычный 2 2 14" xfId="3130"/>
    <cellStyle name="Обычный 2 2 14 10" xfId="14426"/>
    <cellStyle name="Обычный 2 2 14 11" xfId="14427"/>
    <cellStyle name="Обычный 2 2 14 12" xfId="14428"/>
    <cellStyle name="Обычный 2 2 14 2" xfId="3131"/>
    <cellStyle name="Обычный 2 2 14 2 10" xfId="14429"/>
    <cellStyle name="Обычный 2 2 14 2 11" xfId="14430"/>
    <cellStyle name="Обычный 2 2 14 2 12" xfId="14431"/>
    <cellStyle name="Обычный 2 2 14 2 2" xfId="3132"/>
    <cellStyle name="Обычный 2 2 14 2 2 2" xfId="14432"/>
    <cellStyle name="Обычный 2 2 14 2 2 3" xfId="14433"/>
    <cellStyle name="Обычный 2 2 14 2 2 4" xfId="14434"/>
    <cellStyle name="Обычный 2 2 14 2 2 5" xfId="14435"/>
    <cellStyle name="Обычный 2 2 14 2 2 6" xfId="14436"/>
    <cellStyle name="Обычный 2 2 14 2 2 7" xfId="14437"/>
    <cellStyle name="Обычный 2 2 14 2 2 8" xfId="14438"/>
    <cellStyle name="Обычный 2 2 14 2 2 9" xfId="14439"/>
    <cellStyle name="Обычный 2 2 14 2 3" xfId="3133"/>
    <cellStyle name="Обычный 2 2 14 2 3 2" xfId="14440"/>
    <cellStyle name="Обычный 2 2 14 2 3 3" xfId="14441"/>
    <cellStyle name="Обычный 2 2 14 2 3 4" xfId="14442"/>
    <cellStyle name="Обычный 2 2 14 2 3 5" xfId="14443"/>
    <cellStyle name="Обычный 2 2 14 2 3 6" xfId="14444"/>
    <cellStyle name="Обычный 2 2 14 2 3 7" xfId="14445"/>
    <cellStyle name="Обычный 2 2 14 2 3 8" xfId="14446"/>
    <cellStyle name="Обычный 2 2 14 2 3 9" xfId="14447"/>
    <cellStyle name="Обычный 2 2 14 2 4" xfId="3134"/>
    <cellStyle name="Обычный 2 2 14 2 4 2" xfId="14448"/>
    <cellStyle name="Обычный 2 2 14 2 4 3" xfId="14449"/>
    <cellStyle name="Обычный 2 2 14 2 4 4" xfId="14450"/>
    <cellStyle name="Обычный 2 2 14 2 4 5" xfId="14451"/>
    <cellStyle name="Обычный 2 2 14 2 4 6" xfId="14452"/>
    <cellStyle name="Обычный 2 2 14 2 4 7" xfId="14453"/>
    <cellStyle name="Обычный 2 2 14 2 4 8" xfId="14454"/>
    <cellStyle name="Обычный 2 2 14 2 4 9" xfId="14455"/>
    <cellStyle name="Обычный 2 2 14 2 5" xfId="14456"/>
    <cellStyle name="Обычный 2 2 14 2 6" xfId="14457"/>
    <cellStyle name="Обычный 2 2 14 2 7" xfId="14458"/>
    <cellStyle name="Обычный 2 2 14 2 8" xfId="14459"/>
    <cellStyle name="Обычный 2 2 14 2 9" xfId="14460"/>
    <cellStyle name="Обычный 2 2 14 3" xfId="3135"/>
    <cellStyle name="Обычный 2 2 14 3 10" xfId="14461"/>
    <cellStyle name="Обычный 2 2 14 3 11" xfId="14462"/>
    <cellStyle name="Обычный 2 2 14 3 2" xfId="3136"/>
    <cellStyle name="Обычный 2 2 14 3 2 2" xfId="14463"/>
    <cellStyle name="Обычный 2 2 14 3 2 3" xfId="14464"/>
    <cellStyle name="Обычный 2 2 14 3 2 4" xfId="14465"/>
    <cellStyle name="Обычный 2 2 14 3 2 5" xfId="14466"/>
    <cellStyle name="Обычный 2 2 14 3 2 6" xfId="14467"/>
    <cellStyle name="Обычный 2 2 14 3 2 7" xfId="14468"/>
    <cellStyle name="Обычный 2 2 14 3 2 8" xfId="14469"/>
    <cellStyle name="Обычный 2 2 14 3 2 9" xfId="14470"/>
    <cellStyle name="Обычный 2 2 14 3 3" xfId="3137"/>
    <cellStyle name="Обычный 2 2 14 3 3 2" xfId="14471"/>
    <cellStyle name="Обычный 2 2 14 3 3 3" xfId="14472"/>
    <cellStyle name="Обычный 2 2 14 3 3 4" xfId="14473"/>
    <cellStyle name="Обычный 2 2 14 3 3 5" xfId="14474"/>
    <cellStyle name="Обычный 2 2 14 3 3 6" xfId="14475"/>
    <cellStyle name="Обычный 2 2 14 3 3 7" xfId="14476"/>
    <cellStyle name="Обычный 2 2 14 3 3 8" xfId="14477"/>
    <cellStyle name="Обычный 2 2 14 3 3 9" xfId="14478"/>
    <cellStyle name="Обычный 2 2 14 3 4" xfId="14479"/>
    <cellStyle name="Обычный 2 2 14 3 5" xfId="14480"/>
    <cellStyle name="Обычный 2 2 14 3 6" xfId="14481"/>
    <cellStyle name="Обычный 2 2 14 3 7" xfId="14482"/>
    <cellStyle name="Обычный 2 2 14 3 8" xfId="14483"/>
    <cellStyle name="Обычный 2 2 14 3 9" xfId="14484"/>
    <cellStyle name="Обычный 2 2 14 4" xfId="3138"/>
    <cellStyle name="Обычный 2 2 14 4 2" xfId="14485"/>
    <cellStyle name="Обычный 2 2 14 4 3" xfId="14486"/>
    <cellStyle name="Обычный 2 2 14 4 4" xfId="14487"/>
    <cellStyle name="Обычный 2 2 14 4 5" xfId="14488"/>
    <cellStyle name="Обычный 2 2 14 4 6" xfId="14489"/>
    <cellStyle name="Обычный 2 2 14 4 7" xfId="14490"/>
    <cellStyle name="Обычный 2 2 14 4 8" xfId="14491"/>
    <cellStyle name="Обычный 2 2 14 4 9" xfId="14492"/>
    <cellStyle name="Обычный 2 2 14 5" xfId="14493"/>
    <cellStyle name="Обычный 2 2 14 6" xfId="14494"/>
    <cellStyle name="Обычный 2 2 14 7" xfId="14495"/>
    <cellStyle name="Обычный 2 2 14 8" xfId="14496"/>
    <cellStyle name="Обычный 2 2 14 9" xfId="14497"/>
    <cellStyle name="Обычный 2 2 15" xfId="3139"/>
    <cellStyle name="Обычный 2 2 15 10" xfId="14498"/>
    <cellStyle name="Обычный 2 2 15 11" xfId="14499"/>
    <cellStyle name="Обычный 2 2 15 12" xfId="14500"/>
    <cellStyle name="Обычный 2 2 15 2" xfId="3140"/>
    <cellStyle name="Обычный 2 2 15 2 10" xfId="14501"/>
    <cellStyle name="Обычный 2 2 15 2 11" xfId="14502"/>
    <cellStyle name="Обычный 2 2 15 2 12" xfId="14503"/>
    <cellStyle name="Обычный 2 2 15 2 2" xfId="3141"/>
    <cellStyle name="Обычный 2 2 15 2 2 2" xfId="14504"/>
    <cellStyle name="Обычный 2 2 15 2 2 3" xfId="14505"/>
    <cellStyle name="Обычный 2 2 15 2 2 4" xfId="14506"/>
    <cellStyle name="Обычный 2 2 15 2 2 5" xfId="14507"/>
    <cellStyle name="Обычный 2 2 15 2 2 6" xfId="14508"/>
    <cellStyle name="Обычный 2 2 15 2 2 7" xfId="14509"/>
    <cellStyle name="Обычный 2 2 15 2 2 8" xfId="14510"/>
    <cellStyle name="Обычный 2 2 15 2 2 9" xfId="14511"/>
    <cellStyle name="Обычный 2 2 15 2 3" xfId="3142"/>
    <cellStyle name="Обычный 2 2 15 2 3 2" xfId="14512"/>
    <cellStyle name="Обычный 2 2 15 2 3 3" xfId="14513"/>
    <cellStyle name="Обычный 2 2 15 2 3 4" xfId="14514"/>
    <cellStyle name="Обычный 2 2 15 2 3 5" xfId="14515"/>
    <cellStyle name="Обычный 2 2 15 2 3 6" xfId="14516"/>
    <cellStyle name="Обычный 2 2 15 2 3 7" xfId="14517"/>
    <cellStyle name="Обычный 2 2 15 2 3 8" xfId="14518"/>
    <cellStyle name="Обычный 2 2 15 2 3 9" xfId="14519"/>
    <cellStyle name="Обычный 2 2 15 2 4" xfId="3143"/>
    <cellStyle name="Обычный 2 2 15 2 4 2" xfId="14520"/>
    <cellStyle name="Обычный 2 2 15 2 4 3" xfId="14521"/>
    <cellStyle name="Обычный 2 2 15 2 4 4" xfId="14522"/>
    <cellStyle name="Обычный 2 2 15 2 4 5" xfId="14523"/>
    <cellStyle name="Обычный 2 2 15 2 4 6" xfId="14524"/>
    <cellStyle name="Обычный 2 2 15 2 4 7" xfId="14525"/>
    <cellStyle name="Обычный 2 2 15 2 4 8" xfId="14526"/>
    <cellStyle name="Обычный 2 2 15 2 4 9" xfId="14527"/>
    <cellStyle name="Обычный 2 2 15 2 5" xfId="14528"/>
    <cellStyle name="Обычный 2 2 15 2 6" xfId="14529"/>
    <cellStyle name="Обычный 2 2 15 2 7" xfId="14530"/>
    <cellStyle name="Обычный 2 2 15 2 8" xfId="14531"/>
    <cellStyle name="Обычный 2 2 15 2 9" xfId="14532"/>
    <cellStyle name="Обычный 2 2 15 3" xfId="3144"/>
    <cellStyle name="Обычный 2 2 15 3 10" xfId="14533"/>
    <cellStyle name="Обычный 2 2 15 3 11" xfId="14534"/>
    <cellStyle name="Обычный 2 2 15 3 2" xfId="3145"/>
    <cellStyle name="Обычный 2 2 15 3 2 2" xfId="14535"/>
    <cellStyle name="Обычный 2 2 15 3 2 3" xfId="14536"/>
    <cellStyle name="Обычный 2 2 15 3 2 4" xfId="14537"/>
    <cellStyle name="Обычный 2 2 15 3 2 5" xfId="14538"/>
    <cellStyle name="Обычный 2 2 15 3 2 6" xfId="14539"/>
    <cellStyle name="Обычный 2 2 15 3 2 7" xfId="14540"/>
    <cellStyle name="Обычный 2 2 15 3 2 8" xfId="14541"/>
    <cellStyle name="Обычный 2 2 15 3 2 9" xfId="14542"/>
    <cellStyle name="Обычный 2 2 15 3 3" xfId="3146"/>
    <cellStyle name="Обычный 2 2 15 3 3 2" xfId="14543"/>
    <cellStyle name="Обычный 2 2 15 3 3 3" xfId="14544"/>
    <cellStyle name="Обычный 2 2 15 3 3 4" xfId="14545"/>
    <cellStyle name="Обычный 2 2 15 3 3 5" xfId="14546"/>
    <cellStyle name="Обычный 2 2 15 3 3 6" xfId="14547"/>
    <cellStyle name="Обычный 2 2 15 3 3 7" xfId="14548"/>
    <cellStyle name="Обычный 2 2 15 3 3 8" xfId="14549"/>
    <cellStyle name="Обычный 2 2 15 3 3 9" xfId="14550"/>
    <cellStyle name="Обычный 2 2 15 3 4" xfId="14551"/>
    <cellStyle name="Обычный 2 2 15 3 5" xfId="14552"/>
    <cellStyle name="Обычный 2 2 15 3 6" xfId="14553"/>
    <cellStyle name="Обычный 2 2 15 3 7" xfId="14554"/>
    <cellStyle name="Обычный 2 2 15 3 8" xfId="14555"/>
    <cellStyle name="Обычный 2 2 15 3 9" xfId="14556"/>
    <cellStyle name="Обычный 2 2 15 4" xfId="3147"/>
    <cellStyle name="Обычный 2 2 15 4 2" xfId="14557"/>
    <cellStyle name="Обычный 2 2 15 4 3" xfId="14558"/>
    <cellStyle name="Обычный 2 2 15 4 4" xfId="14559"/>
    <cellStyle name="Обычный 2 2 15 4 5" xfId="14560"/>
    <cellStyle name="Обычный 2 2 15 4 6" xfId="14561"/>
    <cellStyle name="Обычный 2 2 15 4 7" xfId="14562"/>
    <cellStyle name="Обычный 2 2 15 4 8" xfId="14563"/>
    <cellStyle name="Обычный 2 2 15 4 9" xfId="14564"/>
    <cellStyle name="Обычный 2 2 15 5" xfId="14565"/>
    <cellStyle name="Обычный 2 2 15 6" xfId="14566"/>
    <cellStyle name="Обычный 2 2 15 7" xfId="14567"/>
    <cellStyle name="Обычный 2 2 15 8" xfId="14568"/>
    <cellStyle name="Обычный 2 2 15 9" xfId="14569"/>
    <cellStyle name="Обычный 2 2 16" xfId="3148"/>
    <cellStyle name="Обычный 2 2 16 10" xfId="14570"/>
    <cellStyle name="Обычный 2 2 16 11" xfId="14571"/>
    <cellStyle name="Обычный 2 2 16 12" xfId="14572"/>
    <cellStyle name="Обычный 2 2 16 2" xfId="3149"/>
    <cellStyle name="Обычный 2 2 16 2 10" xfId="14573"/>
    <cellStyle name="Обычный 2 2 16 2 11" xfId="14574"/>
    <cellStyle name="Обычный 2 2 16 2 12" xfId="14575"/>
    <cellStyle name="Обычный 2 2 16 2 2" xfId="3150"/>
    <cellStyle name="Обычный 2 2 16 2 2 2" xfId="14576"/>
    <cellStyle name="Обычный 2 2 16 2 2 3" xfId="14577"/>
    <cellStyle name="Обычный 2 2 16 2 2 4" xfId="14578"/>
    <cellStyle name="Обычный 2 2 16 2 2 5" xfId="14579"/>
    <cellStyle name="Обычный 2 2 16 2 2 6" xfId="14580"/>
    <cellStyle name="Обычный 2 2 16 2 2 7" xfId="14581"/>
    <cellStyle name="Обычный 2 2 16 2 2 8" xfId="14582"/>
    <cellStyle name="Обычный 2 2 16 2 2 9" xfId="14583"/>
    <cellStyle name="Обычный 2 2 16 2 3" xfId="3151"/>
    <cellStyle name="Обычный 2 2 16 2 3 2" xfId="14584"/>
    <cellStyle name="Обычный 2 2 16 2 3 3" xfId="14585"/>
    <cellStyle name="Обычный 2 2 16 2 3 4" xfId="14586"/>
    <cellStyle name="Обычный 2 2 16 2 3 5" xfId="14587"/>
    <cellStyle name="Обычный 2 2 16 2 3 6" xfId="14588"/>
    <cellStyle name="Обычный 2 2 16 2 3 7" xfId="14589"/>
    <cellStyle name="Обычный 2 2 16 2 3 8" xfId="14590"/>
    <cellStyle name="Обычный 2 2 16 2 3 9" xfId="14591"/>
    <cellStyle name="Обычный 2 2 16 2 4" xfId="3152"/>
    <cellStyle name="Обычный 2 2 16 2 4 2" xfId="14592"/>
    <cellStyle name="Обычный 2 2 16 2 4 3" xfId="14593"/>
    <cellStyle name="Обычный 2 2 16 2 4 4" xfId="14594"/>
    <cellStyle name="Обычный 2 2 16 2 4 5" xfId="14595"/>
    <cellStyle name="Обычный 2 2 16 2 4 6" xfId="14596"/>
    <cellStyle name="Обычный 2 2 16 2 4 7" xfId="14597"/>
    <cellStyle name="Обычный 2 2 16 2 4 8" xfId="14598"/>
    <cellStyle name="Обычный 2 2 16 2 4 9" xfId="14599"/>
    <cellStyle name="Обычный 2 2 16 2 5" xfId="14600"/>
    <cellStyle name="Обычный 2 2 16 2 6" xfId="14601"/>
    <cellStyle name="Обычный 2 2 16 2 7" xfId="14602"/>
    <cellStyle name="Обычный 2 2 16 2 8" xfId="14603"/>
    <cellStyle name="Обычный 2 2 16 2 9" xfId="14604"/>
    <cellStyle name="Обычный 2 2 16 3" xfId="3153"/>
    <cellStyle name="Обычный 2 2 16 3 10" xfId="14605"/>
    <cellStyle name="Обычный 2 2 16 3 11" xfId="14606"/>
    <cellStyle name="Обычный 2 2 16 3 2" xfId="3154"/>
    <cellStyle name="Обычный 2 2 16 3 2 2" xfId="14607"/>
    <cellStyle name="Обычный 2 2 16 3 2 3" xfId="14608"/>
    <cellStyle name="Обычный 2 2 16 3 2 4" xfId="14609"/>
    <cellStyle name="Обычный 2 2 16 3 2 5" xfId="14610"/>
    <cellStyle name="Обычный 2 2 16 3 2 6" xfId="14611"/>
    <cellStyle name="Обычный 2 2 16 3 2 7" xfId="14612"/>
    <cellStyle name="Обычный 2 2 16 3 2 8" xfId="14613"/>
    <cellStyle name="Обычный 2 2 16 3 2 9" xfId="14614"/>
    <cellStyle name="Обычный 2 2 16 3 3" xfId="3155"/>
    <cellStyle name="Обычный 2 2 16 3 3 2" xfId="14615"/>
    <cellStyle name="Обычный 2 2 16 3 3 3" xfId="14616"/>
    <cellStyle name="Обычный 2 2 16 3 3 4" xfId="14617"/>
    <cellStyle name="Обычный 2 2 16 3 3 5" xfId="14618"/>
    <cellStyle name="Обычный 2 2 16 3 3 6" xfId="14619"/>
    <cellStyle name="Обычный 2 2 16 3 3 7" xfId="14620"/>
    <cellStyle name="Обычный 2 2 16 3 3 8" xfId="14621"/>
    <cellStyle name="Обычный 2 2 16 3 3 9" xfId="14622"/>
    <cellStyle name="Обычный 2 2 16 3 4" xfId="14623"/>
    <cellStyle name="Обычный 2 2 16 3 5" xfId="14624"/>
    <cellStyle name="Обычный 2 2 16 3 6" xfId="14625"/>
    <cellStyle name="Обычный 2 2 16 3 7" xfId="14626"/>
    <cellStyle name="Обычный 2 2 16 3 8" xfId="14627"/>
    <cellStyle name="Обычный 2 2 16 3 9" xfId="14628"/>
    <cellStyle name="Обычный 2 2 16 4" xfId="3156"/>
    <cellStyle name="Обычный 2 2 16 4 2" xfId="14629"/>
    <cellStyle name="Обычный 2 2 16 4 3" xfId="14630"/>
    <cellStyle name="Обычный 2 2 16 4 4" xfId="14631"/>
    <cellStyle name="Обычный 2 2 16 4 5" xfId="14632"/>
    <cellStyle name="Обычный 2 2 16 4 6" xfId="14633"/>
    <cellStyle name="Обычный 2 2 16 4 7" xfId="14634"/>
    <cellStyle name="Обычный 2 2 16 4 8" xfId="14635"/>
    <cellStyle name="Обычный 2 2 16 4 9" xfId="14636"/>
    <cellStyle name="Обычный 2 2 16 5" xfId="14637"/>
    <cellStyle name="Обычный 2 2 16 6" xfId="14638"/>
    <cellStyle name="Обычный 2 2 16 7" xfId="14639"/>
    <cellStyle name="Обычный 2 2 16 8" xfId="14640"/>
    <cellStyle name="Обычный 2 2 16 9" xfId="14641"/>
    <cellStyle name="Обычный 2 2 17" xfId="3157"/>
    <cellStyle name="Обычный 2 2 17 2" xfId="3158"/>
    <cellStyle name="Обычный 2 2 17 2 2" xfId="3159"/>
    <cellStyle name="Обычный 2 2 17 2 3" xfId="3160"/>
    <cellStyle name="Обычный 2 2 17 3" xfId="3161"/>
    <cellStyle name="Обычный 2 2 17 4" xfId="3162"/>
    <cellStyle name="Обычный 2 2 18" xfId="3163"/>
    <cellStyle name="Обычный 2 2 18 2" xfId="3164"/>
    <cellStyle name="Обычный 2 2 18 2 2" xfId="3165"/>
    <cellStyle name="Обычный 2 2 18 2 3" xfId="3166"/>
    <cellStyle name="Обычный 2 2 18 3" xfId="3167"/>
    <cellStyle name="Обычный 2 2 18 4" xfId="3168"/>
    <cellStyle name="Обычный 2 2 19" xfId="3169"/>
    <cellStyle name="Обычный 2 2 19 2" xfId="3170"/>
    <cellStyle name="Обычный 2 2 19 2 2" xfId="3171"/>
    <cellStyle name="Обычный 2 2 19 2 3" xfId="3172"/>
    <cellStyle name="Обычный 2 2 19 3" xfId="3173"/>
    <cellStyle name="Обычный 2 2 19 4" xfId="3174"/>
    <cellStyle name="Обычный 2 2 2" xfId="3175"/>
    <cellStyle name="Обычный 2 2 2 10" xfId="3176"/>
    <cellStyle name="Обычный 2 2 2 10 2" xfId="3177"/>
    <cellStyle name="Обычный 2 2 2 10 2 2" xfId="3178"/>
    <cellStyle name="Обычный 2 2 2 10 2 3" xfId="3179"/>
    <cellStyle name="Обычный 2 2 2 10 3" xfId="3180"/>
    <cellStyle name="Обычный 2 2 2 10 4" xfId="3181"/>
    <cellStyle name="Обычный 2 2 2 11" xfId="3182"/>
    <cellStyle name="Обычный 2 2 2 11 10" xfId="14642"/>
    <cellStyle name="Обычный 2 2 2 11 11" xfId="14643"/>
    <cellStyle name="Обычный 2 2 2 11 12" xfId="14644"/>
    <cellStyle name="Обычный 2 2 2 11 13" xfId="14645"/>
    <cellStyle name="Обычный 2 2 2 11 2" xfId="3183"/>
    <cellStyle name="Обычный 2 2 2 11 2 2" xfId="14646"/>
    <cellStyle name="Обычный 2 2 2 11 2 3" xfId="14647"/>
    <cellStyle name="Обычный 2 2 2 11 2 4" xfId="14648"/>
    <cellStyle name="Обычный 2 2 2 11 2 5" xfId="14649"/>
    <cellStyle name="Обычный 2 2 2 11 2 6" xfId="14650"/>
    <cellStyle name="Обычный 2 2 2 11 2 7" xfId="14651"/>
    <cellStyle name="Обычный 2 2 2 11 2 8" xfId="14652"/>
    <cellStyle name="Обычный 2 2 2 11 2 9" xfId="14653"/>
    <cellStyle name="Обычный 2 2 2 11 3" xfId="3184"/>
    <cellStyle name="Обычный 2 2 2 11 3 10" xfId="14654"/>
    <cellStyle name="Обычный 2 2 2 11 3 11" xfId="14655"/>
    <cellStyle name="Обычный 2 2 2 11 3 2" xfId="3185"/>
    <cellStyle name="Обычный 2 2 2 11 3 2 2" xfId="14656"/>
    <cellStyle name="Обычный 2 2 2 11 3 2 3" xfId="14657"/>
    <cellStyle name="Обычный 2 2 2 11 3 2 4" xfId="14658"/>
    <cellStyle name="Обычный 2 2 2 11 3 2 5" xfId="14659"/>
    <cellStyle name="Обычный 2 2 2 11 3 2 6" xfId="14660"/>
    <cellStyle name="Обычный 2 2 2 11 3 2 7" xfId="14661"/>
    <cellStyle name="Обычный 2 2 2 11 3 2 8" xfId="14662"/>
    <cellStyle name="Обычный 2 2 2 11 3 2 9" xfId="14663"/>
    <cellStyle name="Обычный 2 2 2 11 3 3" xfId="3186"/>
    <cellStyle name="Обычный 2 2 2 11 3 3 2" xfId="14664"/>
    <cellStyle name="Обычный 2 2 2 11 3 3 3" xfId="14665"/>
    <cellStyle name="Обычный 2 2 2 11 3 3 4" xfId="14666"/>
    <cellStyle name="Обычный 2 2 2 11 3 3 5" xfId="14667"/>
    <cellStyle name="Обычный 2 2 2 11 3 3 6" xfId="14668"/>
    <cellStyle name="Обычный 2 2 2 11 3 3 7" xfId="14669"/>
    <cellStyle name="Обычный 2 2 2 11 3 3 8" xfId="14670"/>
    <cellStyle name="Обычный 2 2 2 11 3 3 9" xfId="14671"/>
    <cellStyle name="Обычный 2 2 2 11 3 4" xfId="14672"/>
    <cellStyle name="Обычный 2 2 2 11 3 5" xfId="14673"/>
    <cellStyle name="Обычный 2 2 2 11 3 6" xfId="14674"/>
    <cellStyle name="Обычный 2 2 2 11 3 7" xfId="14675"/>
    <cellStyle name="Обычный 2 2 2 11 3 8" xfId="14676"/>
    <cellStyle name="Обычный 2 2 2 11 3 9" xfId="14677"/>
    <cellStyle name="Обычный 2 2 2 11 4" xfId="3187"/>
    <cellStyle name="Обычный 2 2 2 11 4 10" xfId="14678"/>
    <cellStyle name="Обычный 2 2 2 11 4 11" xfId="14679"/>
    <cellStyle name="Обычный 2 2 2 11 4 2" xfId="3188"/>
    <cellStyle name="Обычный 2 2 2 11 4 2 2" xfId="14680"/>
    <cellStyle name="Обычный 2 2 2 11 4 2 3" xfId="14681"/>
    <cellStyle name="Обычный 2 2 2 11 4 2 4" xfId="14682"/>
    <cellStyle name="Обычный 2 2 2 11 4 2 5" xfId="14683"/>
    <cellStyle name="Обычный 2 2 2 11 4 2 6" xfId="14684"/>
    <cellStyle name="Обычный 2 2 2 11 4 2 7" xfId="14685"/>
    <cellStyle name="Обычный 2 2 2 11 4 2 8" xfId="14686"/>
    <cellStyle name="Обычный 2 2 2 11 4 2 9" xfId="14687"/>
    <cellStyle name="Обычный 2 2 2 11 4 3" xfId="3189"/>
    <cellStyle name="Обычный 2 2 2 11 4 3 2" xfId="14688"/>
    <cellStyle name="Обычный 2 2 2 11 4 3 3" xfId="14689"/>
    <cellStyle name="Обычный 2 2 2 11 4 3 4" xfId="14690"/>
    <cellStyle name="Обычный 2 2 2 11 4 3 5" xfId="14691"/>
    <cellStyle name="Обычный 2 2 2 11 4 3 6" xfId="14692"/>
    <cellStyle name="Обычный 2 2 2 11 4 3 7" xfId="14693"/>
    <cellStyle name="Обычный 2 2 2 11 4 3 8" xfId="14694"/>
    <cellStyle name="Обычный 2 2 2 11 4 3 9" xfId="14695"/>
    <cellStyle name="Обычный 2 2 2 11 4 4" xfId="14696"/>
    <cellStyle name="Обычный 2 2 2 11 4 5" xfId="14697"/>
    <cellStyle name="Обычный 2 2 2 11 4 6" xfId="14698"/>
    <cellStyle name="Обычный 2 2 2 11 4 7" xfId="14699"/>
    <cellStyle name="Обычный 2 2 2 11 4 8" xfId="14700"/>
    <cellStyle name="Обычный 2 2 2 11 4 9" xfId="14701"/>
    <cellStyle name="Обычный 2 2 2 11 5" xfId="3190"/>
    <cellStyle name="Обычный 2 2 2 11 5 2" xfId="14702"/>
    <cellStyle name="Обычный 2 2 2 11 5 3" xfId="14703"/>
    <cellStyle name="Обычный 2 2 2 11 5 4" xfId="14704"/>
    <cellStyle name="Обычный 2 2 2 11 5 5" xfId="14705"/>
    <cellStyle name="Обычный 2 2 2 11 5 6" xfId="14706"/>
    <cellStyle name="Обычный 2 2 2 11 5 7" xfId="14707"/>
    <cellStyle name="Обычный 2 2 2 11 5 8" xfId="14708"/>
    <cellStyle name="Обычный 2 2 2 11 5 9" xfId="14709"/>
    <cellStyle name="Обычный 2 2 2 11 6" xfId="14710"/>
    <cellStyle name="Обычный 2 2 2 11 7" xfId="14711"/>
    <cellStyle name="Обычный 2 2 2 11 8" xfId="14712"/>
    <cellStyle name="Обычный 2 2 2 11 9" xfId="14713"/>
    <cellStyle name="Обычный 2 2 2 12" xfId="3191"/>
    <cellStyle name="Обычный 2 2 2 12 10" xfId="14714"/>
    <cellStyle name="Обычный 2 2 2 12 11" xfId="14715"/>
    <cellStyle name="Обычный 2 2 2 12 12" xfId="14716"/>
    <cellStyle name="Обычный 2 2 2 12 2" xfId="3192"/>
    <cellStyle name="Обычный 2 2 2 12 2 10" xfId="14717"/>
    <cellStyle name="Обычный 2 2 2 12 2 11" xfId="14718"/>
    <cellStyle name="Обычный 2 2 2 12 2 12" xfId="14719"/>
    <cellStyle name="Обычный 2 2 2 12 2 2" xfId="3193"/>
    <cellStyle name="Обычный 2 2 2 12 2 2 2" xfId="14720"/>
    <cellStyle name="Обычный 2 2 2 12 2 2 3" xfId="14721"/>
    <cellStyle name="Обычный 2 2 2 12 2 2 4" xfId="14722"/>
    <cellStyle name="Обычный 2 2 2 12 2 2 5" xfId="14723"/>
    <cellStyle name="Обычный 2 2 2 12 2 2 6" xfId="14724"/>
    <cellStyle name="Обычный 2 2 2 12 2 2 7" xfId="14725"/>
    <cellStyle name="Обычный 2 2 2 12 2 2 8" xfId="14726"/>
    <cellStyle name="Обычный 2 2 2 12 2 2 9" xfId="14727"/>
    <cellStyle name="Обычный 2 2 2 12 2 3" xfId="3194"/>
    <cellStyle name="Обычный 2 2 2 12 2 3 2" xfId="14728"/>
    <cellStyle name="Обычный 2 2 2 12 2 3 3" xfId="14729"/>
    <cellStyle name="Обычный 2 2 2 12 2 3 4" xfId="14730"/>
    <cellStyle name="Обычный 2 2 2 12 2 3 5" xfId="14731"/>
    <cellStyle name="Обычный 2 2 2 12 2 3 6" xfId="14732"/>
    <cellStyle name="Обычный 2 2 2 12 2 3 7" xfId="14733"/>
    <cellStyle name="Обычный 2 2 2 12 2 3 8" xfId="14734"/>
    <cellStyle name="Обычный 2 2 2 12 2 3 9" xfId="14735"/>
    <cellStyle name="Обычный 2 2 2 12 2 4" xfId="3195"/>
    <cellStyle name="Обычный 2 2 2 12 2 4 2" xfId="14736"/>
    <cellStyle name="Обычный 2 2 2 12 2 4 3" xfId="14737"/>
    <cellStyle name="Обычный 2 2 2 12 2 4 4" xfId="14738"/>
    <cellStyle name="Обычный 2 2 2 12 2 4 5" xfId="14739"/>
    <cellStyle name="Обычный 2 2 2 12 2 4 6" xfId="14740"/>
    <cellStyle name="Обычный 2 2 2 12 2 4 7" xfId="14741"/>
    <cellStyle name="Обычный 2 2 2 12 2 4 8" xfId="14742"/>
    <cellStyle name="Обычный 2 2 2 12 2 4 9" xfId="14743"/>
    <cellStyle name="Обычный 2 2 2 12 2 5" xfId="14744"/>
    <cellStyle name="Обычный 2 2 2 12 2 6" xfId="14745"/>
    <cellStyle name="Обычный 2 2 2 12 2 7" xfId="14746"/>
    <cellStyle name="Обычный 2 2 2 12 2 8" xfId="14747"/>
    <cellStyle name="Обычный 2 2 2 12 2 9" xfId="14748"/>
    <cellStyle name="Обычный 2 2 2 12 3" xfId="3196"/>
    <cellStyle name="Обычный 2 2 2 12 3 10" xfId="14749"/>
    <cellStyle name="Обычный 2 2 2 12 3 11" xfId="14750"/>
    <cellStyle name="Обычный 2 2 2 12 3 2" xfId="3197"/>
    <cellStyle name="Обычный 2 2 2 12 3 2 2" xfId="14751"/>
    <cellStyle name="Обычный 2 2 2 12 3 2 3" xfId="14752"/>
    <cellStyle name="Обычный 2 2 2 12 3 2 4" xfId="14753"/>
    <cellStyle name="Обычный 2 2 2 12 3 2 5" xfId="14754"/>
    <cellStyle name="Обычный 2 2 2 12 3 2 6" xfId="14755"/>
    <cellStyle name="Обычный 2 2 2 12 3 2 7" xfId="14756"/>
    <cellStyle name="Обычный 2 2 2 12 3 2 8" xfId="14757"/>
    <cellStyle name="Обычный 2 2 2 12 3 2 9" xfId="14758"/>
    <cellStyle name="Обычный 2 2 2 12 3 3" xfId="3198"/>
    <cellStyle name="Обычный 2 2 2 12 3 3 2" xfId="14759"/>
    <cellStyle name="Обычный 2 2 2 12 3 3 3" xfId="14760"/>
    <cellStyle name="Обычный 2 2 2 12 3 3 4" xfId="14761"/>
    <cellStyle name="Обычный 2 2 2 12 3 3 5" xfId="14762"/>
    <cellStyle name="Обычный 2 2 2 12 3 3 6" xfId="14763"/>
    <cellStyle name="Обычный 2 2 2 12 3 3 7" xfId="14764"/>
    <cellStyle name="Обычный 2 2 2 12 3 3 8" xfId="14765"/>
    <cellStyle name="Обычный 2 2 2 12 3 3 9" xfId="14766"/>
    <cellStyle name="Обычный 2 2 2 12 3 4" xfId="14767"/>
    <cellStyle name="Обычный 2 2 2 12 3 5" xfId="14768"/>
    <cellStyle name="Обычный 2 2 2 12 3 6" xfId="14769"/>
    <cellStyle name="Обычный 2 2 2 12 3 7" xfId="14770"/>
    <cellStyle name="Обычный 2 2 2 12 3 8" xfId="14771"/>
    <cellStyle name="Обычный 2 2 2 12 3 9" xfId="14772"/>
    <cellStyle name="Обычный 2 2 2 12 4" xfId="3199"/>
    <cellStyle name="Обычный 2 2 2 12 4 2" xfId="14773"/>
    <cellStyle name="Обычный 2 2 2 12 4 3" xfId="14774"/>
    <cellStyle name="Обычный 2 2 2 12 4 4" xfId="14775"/>
    <cellStyle name="Обычный 2 2 2 12 4 5" xfId="14776"/>
    <cellStyle name="Обычный 2 2 2 12 4 6" xfId="14777"/>
    <cellStyle name="Обычный 2 2 2 12 4 7" xfId="14778"/>
    <cellStyle name="Обычный 2 2 2 12 4 8" xfId="14779"/>
    <cellStyle name="Обычный 2 2 2 12 4 9" xfId="14780"/>
    <cellStyle name="Обычный 2 2 2 12 5" xfId="14781"/>
    <cellStyle name="Обычный 2 2 2 12 6" xfId="14782"/>
    <cellStyle name="Обычный 2 2 2 12 7" xfId="14783"/>
    <cellStyle name="Обычный 2 2 2 12 8" xfId="14784"/>
    <cellStyle name="Обычный 2 2 2 12 9" xfId="14785"/>
    <cellStyle name="Обычный 2 2 2 13" xfId="3200"/>
    <cellStyle name="Обычный 2 2 2 13 10" xfId="14786"/>
    <cellStyle name="Обычный 2 2 2 13 11" xfId="14787"/>
    <cellStyle name="Обычный 2 2 2 13 12" xfId="14788"/>
    <cellStyle name="Обычный 2 2 2 13 2" xfId="3201"/>
    <cellStyle name="Обычный 2 2 2 13 2 10" xfId="14789"/>
    <cellStyle name="Обычный 2 2 2 13 2 11" xfId="14790"/>
    <cellStyle name="Обычный 2 2 2 13 2 12" xfId="14791"/>
    <cellStyle name="Обычный 2 2 2 13 2 2" xfId="3202"/>
    <cellStyle name="Обычный 2 2 2 13 2 2 2" xfId="14792"/>
    <cellStyle name="Обычный 2 2 2 13 2 2 3" xfId="14793"/>
    <cellStyle name="Обычный 2 2 2 13 2 2 4" xfId="14794"/>
    <cellStyle name="Обычный 2 2 2 13 2 2 5" xfId="14795"/>
    <cellStyle name="Обычный 2 2 2 13 2 2 6" xfId="14796"/>
    <cellStyle name="Обычный 2 2 2 13 2 2 7" xfId="14797"/>
    <cellStyle name="Обычный 2 2 2 13 2 2 8" xfId="14798"/>
    <cellStyle name="Обычный 2 2 2 13 2 2 9" xfId="14799"/>
    <cellStyle name="Обычный 2 2 2 13 2 3" xfId="3203"/>
    <cellStyle name="Обычный 2 2 2 13 2 3 2" xfId="14800"/>
    <cellStyle name="Обычный 2 2 2 13 2 3 3" xfId="14801"/>
    <cellStyle name="Обычный 2 2 2 13 2 3 4" xfId="14802"/>
    <cellStyle name="Обычный 2 2 2 13 2 3 5" xfId="14803"/>
    <cellStyle name="Обычный 2 2 2 13 2 3 6" xfId="14804"/>
    <cellStyle name="Обычный 2 2 2 13 2 3 7" xfId="14805"/>
    <cellStyle name="Обычный 2 2 2 13 2 3 8" xfId="14806"/>
    <cellStyle name="Обычный 2 2 2 13 2 3 9" xfId="14807"/>
    <cellStyle name="Обычный 2 2 2 13 2 4" xfId="3204"/>
    <cellStyle name="Обычный 2 2 2 13 2 4 2" xfId="14808"/>
    <cellStyle name="Обычный 2 2 2 13 2 4 3" xfId="14809"/>
    <cellStyle name="Обычный 2 2 2 13 2 4 4" xfId="14810"/>
    <cellStyle name="Обычный 2 2 2 13 2 4 5" xfId="14811"/>
    <cellStyle name="Обычный 2 2 2 13 2 4 6" xfId="14812"/>
    <cellStyle name="Обычный 2 2 2 13 2 4 7" xfId="14813"/>
    <cellStyle name="Обычный 2 2 2 13 2 4 8" xfId="14814"/>
    <cellStyle name="Обычный 2 2 2 13 2 4 9" xfId="14815"/>
    <cellStyle name="Обычный 2 2 2 13 2 5" xfId="14816"/>
    <cellStyle name="Обычный 2 2 2 13 2 6" xfId="14817"/>
    <cellStyle name="Обычный 2 2 2 13 2 7" xfId="14818"/>
    <cellStyle name="Обычный 2 2 2 13 2 8" xfId="14819"/>
    <cellStyle name="Обычный 2 2 2 13 2 9" xfId="14820"/>
    <cellStyle name="Обычный 2 2 2 13 3" xfId="3205"/>
    <cellStyle name="Обычный 2 2 2 13 3 10" xfId="14821"/>
    <cellStyle name="Обычный 2 2 2 13 3 11" xfId="14822"/>
    <cellStyle name="Обычный 2 2 2 13 3 2" xfId="3206"/>
    <cellStyle name="Обычный 2 2 2 13 3 2 2" xfId="14823"/>
    <cellStyle name="Обычный 2 2 2 13 3 2 3" xfId="14824"/>
    <cellStyle name="Обычный 2 2 2 13 3 2 4" xfId="14825"/>
    <cellStyle name="Обычный 2 2 2 13 3 2 5" xfId="14826"/>
    <cellStyle name="Обычный 2 2 2 13 3 2 6" xfId="14827"/>
    <cellStyle name="Обычный 2 2 2 13 3 2 7" xfId="14828"/>
    <cellStyle name="Обычный 2 2 2 13 3 2 8" xfId="14829"/>
    <cellStyle name="Обычный 2 2 2 13 3 2 9" xfId="14830"/>
    <cellStyle name="Обычный 2 2 2 13 3 3" xfId="3207"/>
    <cellStyle name="Обычный 2 2 2 13 3 3 2" xfId="14831"/>
    <cellStyle name="Обычный 2 2 2 13 3 3 3" xfId="14832"/>
    <cellStyle name="Обычный 2 2 2 13 3 3 4" xfId="14833"/>
    <cellStyle name="Обычный 2 2 2 13 3 3 5" xfId="14834"/>
    <cellStyle name="Обычный 2 2 2 13 3 3 6" xfId="14835"/>
    <cellStyle name="Обычный 2 2 2 13 3 3 7" xfId="14836"/>
    <cellStyle name="Обычный 2 2 2 13 3 3 8" xfId="14837"/>
    <cellStyle name="Обычный 2 2 2 13 3 3 9" xfId="14838"/>
    <cellStyle name="Обычный 2 2 2 13 3 4" xfId="14839"/>
    <cellStyle name="Обычный 2 2 2 13 3 5" xfId="14840"/>
    <cellStyle name="Обычный 2 2 2 13 3 6" xfId="14841"/>
    <cellStyle name="Обычный 2 2 2 13 3 7" xfId="14842"/>
    <cellStyle name="Обычный 2 2 2 13 3 8" xfId="14843"/>
    <cellStyle name="Обычный 2 2 2 13 3 9" xfId="14844"/>
    <cellStyle name="Обычный 2 2 2 13 4" xfId="3208"/>
    <cellStyle name="Обычный 2 2 2 13 4 2" xfId="14845"/>
    <cellStyle name="Обычный 2 2 2 13 4 3" xfId="14846"/>
    <cellStyle name="Обычный 2 2 2 13 4 4" xfId="14847"/>
    <cellStyle name="Обычный 2 2 2 13 4 5" xfId="14848"/>
    <cellStyle name="Обычный 2 2 2 13 4 6" xfId="14849"/>
    <cellStyle name="Обычный 2 2 2 13 4 7" xfId="14850"/>
    <cellStyle name="Обычный 2 2 2 13 4 8" xfId="14851"/>
    <cellStyle name="Обычный 2 2 2 13 4 9" xfId="14852"/>
    <cellStyle name="Обычный 2 2 2 13 5" xfId="14853"/>
    <cellStyle name="Обычный 2 2 2 13 6" xfId="14854"/>
    <cellStyle name="Обычный 2 2 2 13 7" xfId="14855"/>
    <cellStyle name="Обычный 2 2 2 13 8" xfId="14856"/>
    <cellStyle name="Обычный 2 2 2 13 9" xfId="14857"/>
    <cellStyle name="Обычный 2 2 2 14" xfId="3209"/>
    <cellStyle name="Обычный 2 2 2 14 10" xfId="14858"/>
    <cellStyle name="Обычный 2 2 2 14 11" xfId="14859"/>
    <cellStyle name="Обычный 2 2 2 14 12" xfId="14860"/>
    <cellStyle name="Обычный 2 2 2 14 2" xfId="3210"/>
    <cellStyle name="Обычный 2 2 2 14 2 10" xfId="14861"/>
    <cellStyle name="Обычный 2 2 2 14 2 11" xfId="14862"/>
    <cellStyle name="Обычный 2 2 2 14 2 12" xfId="14863"/>
    <cellStyle name="Обычный 2 2 2 14 2 2" xfId="3211"/>
    <cellStyle name="Обычный 2 2 2 14 2 2 2" xfId="14864"/>
    <cellStyle name="Обычный 2 2 2 14 2 2 3" xfId="14865"/>
    <cellStyle name="Обычный 2 2 2 14 2 2 4" xfId="14866"/>
    <cellStyle name="Обычный 2 2 2 14 2 2 5" xfId="14867"/>
    <cellStyle name="Обычный 2 2 2 14 2 2 6" xfId="14868"/>
    <cellStyle name="Обычный 2 2 2 14 2 2 7" xfId="14869"/>
    <cellStyle name="Обычный 2 2 2 14 2 2 8" xfId="14870"/>
    <cellStyle name="Обычный 2 2 2 14 2 2 9" xfId="14871"/>
    <cellStyle name="Обычный 2 2 2 14 2 3" xfId="3212"/>
    <cellStyle name="Обычный 2 2 2 14 2 3 2" xfId="14872"/>
    <cellStyle name="Обычный 2 2 2 14 2 3 3" xfId="14873"/>
    <cellStyle name="Обычный 2 2 2 14 2 3 4" xfId="14874"/>
    <cellStyle name="Обычный 2 2 2 14 2 3 5" xfId="14875"/>
    <cellStyle name="Обычный 2 2 2 14 2 3 6" xfId="14876"/>
    <cellStyle name="Обычный 2 2 2 14 2 3 7" xfId="14877"/>
    <cellStyle name="Обычный 2 2 2 14 2 3 8" xfId="14878"/>
    <cellStyle name="Обычный 2 2 2 14 2 3 9" xfId="14879"/>
    <cellStyle name="Обычный 2 2 2 14 2 4" xfId="3213"/>
    <cellStyle name="Обычный 2 2 2 14 2 4 2" xfId="14880"/>
    <cellStyle name="Обычный 2 2 2 14 2 4 3" xfId="14881"/>
    <cellStyle name="Обычный 2 2 2 14 2 4 4" xfId="14882"/>
    <cellStyle name="Обычный 2 2 2 14 2 4 5" xfId="14883"/>
    <cellStyle name="Обычный 2 2 2 14 2 4 6" xfId="14884"/>
    <cellStyle name="Обычный 2 2 2 14 2 4 7" xfId="14885"/>
    <cellStyle name="Обычный 2 2 2 14 2 4 8" xfId="14886"/>
    <cellStyle name="Обычный 2 2 2 14 2 4 9" xfId="14887"/>
    <cellStyle name="Обычный 2 2 2 14 2 5" xfId="14888"/>
    <cellStyle name="Обычный 2 2 2 14 2 6" xfId="14889"/>
    <cellStyle name="Обычный 2 2 2 14 2 7" xfId="14890"/>
    <cellStyle name="Обычный 2 2 2 14 2 8" xfId="14891"/>
    <cellStyle name="Обычный 2 2 2 14 2 9" xfId="14892"/>
    <cellStyle name="Обычный 2 2 2 14 3" xfId="3214"/>
    <cellStyle name="Обычный 2 2 2 14 3 10" xfId="14893"/>
    <cellStyle name="Обычный 2 2 2 14 3 11" xfId="14894"/>
    <cellStyle name="Обычный 2 2 2 14 3 2" xfId="3215"/>
    <cellStyle name="Обычный 2 2 2 14 3 2 2" xfId="14895"/>
    <cellStyle name="Обычный 2 2 2 14 3 2 3" xfId="14896"/>
    <cellStyle name="Обычный 2 2 2 14 3 2 4" xfId="14897"/>
    <cellStyle name="Обычный 2 2 2 14 3 2 5" xfId="14898"/>
    <cellStyle name="Обычный 2 2 2 14 3 2 6" xfId="14899"/>
    <cellStyle name="Обычный 2 2 2 14 3 2 7" xfId="14900"/>
    <cellStyle name="Обычный 2 2 2 14 3 2 8" xfId="14901"/>
    <cellStyle name="Обычный 2 2 2 14 3 2 9" xfId="14902"/>
    <cellStyle name="Обычный 2 2 2 14 3 3" xfId="3216"/>
    <cellStyle name="Обычный 2 2 2 14 3 3 2" xfId="14903"/>
    <cellStyle name="Обычный 2 2 2 14 3 3 3" xfId="14904"/>
    <cellStyle name="Обычный 2 2 2 14 3 3 4" xfId="14905"/>
    <cellStyle name="Обычный 2 2 2 14 3 3 5" xfId="14906"/>
    <cellStyle name="Обычный 2 2 2 14 3 3 6" xfId="14907"/>
    <cellStyle name="Обычный 2 2 2 14 3 3 7" xfId="14908"/>
    <cellStyle name="Обычный 2 2 2 14 3 3 8" xfId="14909"/>
    <cellStyle name="Обычный 2 2 2 14 3 3 9" xfId="14910"/>
    <cellStyle name="Обычный 2 2 2 14 3 4" xfId="14911"/>
    <cellStyle name="Обычный 2 2 2 14 3 5" xfId="14912"/>
    <cellStyle name="Обычный 2 2 2 14 3 6" xfId="14913"/>
    <cellStyle name="Обычный 2 2 2 14 3 7" xfId="14914"/>
    <cellStyle name="Обычный 2 2 2 14 3 8" xfId="14915"/>
    <cellStyle name="Обычный 2 2 2 14 3 9" xfId="14916"/>
    <cellStyle name="Обычный 2 2 2 14 4" xfId="3217"/>
    <cellStyle name="Обычный 2 2 2 14 4 2" xfId="14917"/>
    <cellStyle name="Обычный 2 2 2 14 4 3" xfId="14918"/>
    <cellStyle name="Обычный 2 2 2 14 4 4" xfId="14919"/>
    <cellStyle name="Обычный 2 2 2 14 4 5" xfId="14920"/>
    <cellStyle name="Обычный 2 2 2 14 4 6" xfId="14921"/>
    <cellStyle name="Обычный 2 2 2 14 4 7" xfId="14922"/>
    <cellStyle name="Обычный 2 2 2 14 4 8" xfId="14923"/>
    <cellStyle name="Обычный 2 2 2 14 4 9" xfId="14924"/>
    <cellStyle name="Обычный 2 2 2 14 5" xfId="14925"/>
    <cellStyle name="Обычный 2 2 2 14 6" xfId="14926"/>
    <cellStyle name="Обычный 2 2 2 14 7" xfId="14927"/>
    <cellStyle name="Обычный 2 2 2 14 8" xfId="14928"/>
    <cellStyle name="Обычный 2 2 2 14 9" xfId="14929"/>
    <cellStyle name="Обычный 2 2 2 15" xfId="3218"/>
    <cellStyle name="Обычный 2 2 2 15 10" xfId="14930"/>
    <cellStyle name="Обычный 2 2 2 15 11" xfId="14931"/>
    <cellStyle name="Обычный 2 2 2 15 12" xfId="14932"/>
    <cellStyle name="Обычный 2 2 2 15 2" xfId="3219"/>
    <cellStyle name="Обычный 2 2 2 15 2 10" xfId="14933"/>
    <cellStyle name="Обычный 2 2 2 15 2 11" xfId="14934"/>
    <cellStyle name="Обычный 2 2 2 15 2 12" xfId="14935"/>
    <cellStyle name="Обычный 2 2 2 15 2 2" xfId="3220"/>
    <cellStyle name="Обычный 2 2 2 15 2 2 2" xfId="14936"/>
    <cellStyle name="Обычный 2 2 2 15 2 2 3" xfId="14937"/>
    <cellStyle name="Обычный 2 2 2 15 2 2 4" xfId="14938"/>
    <cellStyle name="Обычный 2 2 2 15 2 2 5" xfId="14939"/>
    <cellStyle name="Обычный 2 2 2 15 2 2 6" xfId="14940"/>
    <cellStyle name="Обычный 2 2 2 15 2 2 7" xfId="14941"/>
    <cellStyle name="Обычный 2 2 2 15 2 2 8" xfId="14942"/>
    <cellStyle name="Обычный 2 2 2 15 2 2 9" xfId="14943"/>
    <cellStyle name="Обычный 2 2 2 15 2 3" xfId="3221"/>
    <cellStyle name="Обычный 2 2 2 15 2 3 2" xfId="14944"/>
    <cellStyle name="Обычный 2 2 2 15 2 3 3" xfId="14945"/>
    <cellStyle name="Обычный 2 2 2 15 2 3 4" xfId="14946"/>
    <cellStyle name="Обычный 2 2 2 15 2 3 5" xfId="14947"/>
    <cellStyle name="Обычный 2 2 2 15 2 3 6" xfId="14948"/>
    <cellStyle name="Обычный 2 2 2 15 2 3 7" xfId="14949"/>
    <cellStyle name="Обычный 2 2 2 15 2 3 8" xfId="14950"/>
    <cellStyle name="Обычный 2 2 2 15 2 3 9" xfId="14951"/>
    <cellStyle name="Обычный 2 2 2 15 2 4" xfId="3222"/>
    <cellStyle name="Обычный 2 2 2 15 2 4 2" xfId="14952"/>
    <cellStyle name="Обычный 2 2 2 15 2 4 3" xfId="14953"/>
    <cellStyle name="Обычный 2 2 2 15 2 4 4" xfId="14954"/>
    <cellStyle name="Обычный 2 2 2 15 2 4 5" xfId="14955"/>
    <cellStyle name="Обычный 2 2 2 15 2 4 6" xfId="14956"/>
    <cellStyle name="Обычный 2 2 2 15 2 4 7" xfId="14957"/>
    <cellStyle name="Обычный 2 2 2 15 2 4 8" xfId="14958"/>
    <cellStyle name="Обычный 2 2 2 15 2 4 9" xfId="14959"/>
    <cellStyle name="Обычный 2 2 2 15 2 5" xfId="14960"/>
    <cellStyle name="Обычный 2 2 2 15 2 6" xfId="14961"/>
    <cellStyle name="Обычный 2 2 2 15 2 7" xfId="14962"/>
    <cellStyle name="Обычный 2 2 2 15 2 8" xfId="14963"/>
    <cellStyle name="Обычный 2 2 2 15 2 9" xfId="14964"/>
    <cellStyle name="Обычный 2 2 2 15 3" xfId="3223"/>
    <cellStyle name="Обычный 2 2 2 15 3 10" xfId="14965"/>
    <cellStyle name="Обычный 2 2 2 15 3 11" xfId="14966"/>
    <cellStyle name="Обычный 2 2 2 15 3 2" xfId="3224"/>
    <cellStyle name="Обычный 2 2 2 15 3 2 2" xfId="14967"/>
    <cellStyle name="Обычный 2 2 2 15 3 2 3" xfId="14968"/>
    <cellStyle name="Обычный 2 2 2 15 3 2 4" xfId="14969"/>
    <cellStyle name="Обычный 2 2 2 15 3 2 5" xfId="14970"/>
    <cellStyle name="Обычный 2 2 2 15 3 2 6" xfId="14971"/>
    <cellStyle name="Обычный 2 2 2 15 3 2 7" xfId="14972"/>
    <cellStyle name="Обычный 2 2 2 15 3 2 8" xfId="14973"/>
    <cellStyle name="Обычный 2 2 2 15 3 2 9" xfId="14974"/>
    <cellStyle name="Обычный 2 2 2 15 3 3" xfId="3225"/>
    <cellStyle name="Обычный 2 2 2 15 3 3 2" xfId="14975"/>
    <cellStyle name="Обычный 2 2 2 15 3 3 3" xfId="14976"/>
    <cellStyle name="Обычный 2 2 2 15 3 3 4" xfId="14977"/>
    <cellStyle name="Обычный 2 2 2 15 3 3 5" xfId="14978"/>
    <cellStyle name="Обычный 2 2 2 15 3 3 6" xfId="14979"/>
    <cellStyle name="Обычный 2 2 2 15 3 3 7" xfId="14980"/>
    <cellStyle name="Обычный 2 2 2 15 3 3 8" xfId="14981"/>
    <cellStyle name="Обычный 2 2 2 15 3 3 9" xfId="14982"/>
    <cellStyle name="Обычный 2 2 2 15 3 4" xfId="14983"/>
    <cellStyle name="Обычный 2 2 2 15 3 5" xfId="14984"/>
    <cellStyle name="Обычный 2 2 2 15 3 6" xfId="14985"/>
    <cellStyle name="Обычный 2 2 2 15 3 7" xfId="14986"/>
    <cellStyle name="Обычный 2 2 2 15 3 8" xfId="14987"/>
    <cellStyle name="Обычный 2 2 2 15 3 9" xfId="14988"/>
    <cellStyle name="Обычный 2 2 2 15 4" xfId="3226"/>
    <cellStyle name="Обычный 2 2 2 15 4 2" xfId="14989"/>
    <cellStyle name="Обычный 2 2 2 15 4 3" xfId="14990"/>
    <cellStyle name="Обычный 2 2 2 15 4 4" xfId="14991"/>
    <cellStyle name="Обычный 2 2 2 15 4 5" xfId="14992"/>
    <cellStyle name="Обычный 2 2 2 15 4 6" xfId="14993"/>
    <cellStyle name="Обычный 2 2 2 15 4 7" xfId="14994"/>
    <cellStyle name="Обычный 2 2 2 15 4 8" xfId="14995"/>
    <cellStyle name="Обычный 2 2 2 15 4 9" xfId="14996"/>
    <cellStyle name="Обычный 2 2 2 15 5" xfId="14997"/>
    <cellStyle name="Обычный 2 2 2 15 6" xfId="14998"/>
    <cellStyle name="Обычный 2 2 2 15 7" xfId="14999"/>
    <cellStyle name="Обычный 2 2 2 15 8" xfId="15000"/>
    <cellStyle name="Обычный 2 2 2 15 9" xfId="15001"/>
    <cellStyle name="Обычный 2 2 2 16" xfId="3227"/>
    <cellStyle name="Обычный 2 2 2 16 10" xfId="15002"/>
    <cellStyle name="Обычный 2 2 2 16 11" xfId="15003"/>
    <cellStyle name="Обычный 2 2 2 16 2" xfId="3228"/>
    <cellStyle name="Обычный 2 2 2 16 2 2" xfId="15004"/>
    <cellStyle name="Обычный 2 2 2 16 2 3" xfId="15005"/>
    <cellStyle name="Обычный 2 2 2 16 2 4" xfId="15006"/>
    <cellStyle name="Обычный 2 2 2 16 2 5" xfId="15007"/>
    <cellStyle name="Обычный 2 2 2 16 2 6" xfId="15008"/>
    <cellStyle name="Обычный 2 2 2 16 2 7" xfId="15009"/>
    <cellStyle name="Обычный 2 2 2 16 2 8" xfId="15010"/>
    <cellStyle name="Обычный 2 2 2 16 2 9" xfId="15011"/>
    <cellStyle name="Обычный 2 2 2 16 3" xfId="3229"/>
    <cellStyle name="Обычный 2 2 2 16 3 2" xfId="15012"/>
    <cellStyle name="Обычный 2 2 2 16 3 3" xfId="15013"/>
    <cellStyle name="Обычный 2 2 2 16 3 4" xfId="15014"/>
    <cellStyle name="Обычный 2 2 2 16 3 5" xfId="15015"/>
    <cellStyle name="Обычный 2 2 2 16 3 6" xfId="15016"/>
    <cellStyle name="Обычный 2 2 2 16 3 7" xfId="15017"/>
    <cellStyle name="Обычный 2 2 2 16 3 8" xfId="15018"/>
    <cellStyle name="Обычный 2 2 2 16 3 9" xfId="15019"/>
    <cellStyle name="Обычный 2 2 2 16 4" xfId="15020"/>
    <cellStyle name="Обычный 2 2 2 16 5" xfId="15021"/>
    <cellStyle name="Обычный 2 2 2 16 6" xfId="15022"/>
    <cellStyle name="Обычный 2 2 2 16 7" xfId="15023"/>
    <cellStyle name="Обычный 2 2 2 16 8" xfId="15024"/>
    <cellStyle name="Обычный 2 2 2 16 9" xfId="15025"/>
    <cellStyle name="Обычный 2 2 2 17" xfId="3230"/>
    <cellStyle name="Обычный 2 2 2 17 2" xfId="15026"/>
    <cellStyle name="Обычный 2 2 2 17 3" xfId="15027"/>
    <cellStyle name="Обычный 2 2 2 17 4" xfId="15028"/>
    <cellStyle name="Обычный 2 2 2 17 5" xfId="15029"/>
    <cellStyle name="Обычный 2 2 2 17 6" xfId="15030"/>
    <cellStyle name="Обычный 2 2 2 17 7" xfId="15031"/>
    <cellStyle name="Обычный 2 2 2 17 8" xfId="15032"/>
    <cellStyle name="Обычный 2 2 2 17 9" xfId="15033"/>
    <cellStyle name="Обычный 2 2 2 18" xfId="3231"/>
    <cellStyle name="Обычный 2 2 2 18 2" xfId="15034"/>
    <cellStyle name="Обычный 2 2 2 18 3" xfId="15035"/>
    <cellStyle name="Обычный 2 2 2 18 4" xfId="15036"/>
    <cellStyle name="Обычный 2 2 2 18 5" xfId="15037"/>
    <cellStyle name="Обычный 2 2 2 18 6" xfId="15038"/>
    <cellStyle name="Обычный 2 2 2 18 7" xfId="15039"/>
    <cellStyle name="Обычный 2 2 2 18 8" xfId="15040"/>
    <cellStyle name="Обычный 2 2 2 18 9" xfId="15041"/>
    <cellStyle name="Обычный 2 2 2 19" xfId="3232"/>
    <cellStyle name="Обычный 2 2 2 19 2" xfId="15042"/>
    <cellStyle name="Обычный 2 2 2 19 3" xfId="15043"/>
    <cellStyle name="Обычный 2 2 2 19 4" xfId="15044"/>
    <cellStyle name="Обычный 2 2 2 19 5" xfId="15045"/>
    <cellStyle name="Обычный 2 2 2 19 6" xfId="15046"/>
    <cellStyle name="Обычный 2 2 2 19 7" xfId="15047"/>
    <cellStyle name="Обычный 2 2 2 19 8" xfId="15048"/>
    <cellStyle name="Обычный 2 2 2 19 9" xfId="15049"/>
    <cellStyle name="Обычный 2 2 2 2" xfId="3233"/>
    <cellStyle name="Обычный 2 2 2 2 10" xfId="3234"/>
    <cellStyle name="Обычный 2 2 2 2 10 10" xfId="15050"/>
    <cellStyle name="Обычный 2 2 2 2 10 11" xfId="15051"/>
    <cellStyle name="Обычный 2 2 2 2 10 2" xfId="3235"/>
    <cellStyle name="Обычный 2 2 2 2 10 2 2" xfId="15052"/>
    <cellStyle name="Обычный 2 2 2 2 10 2 3" xfId="15053"/>
    <cellStyle name="Обычный 2 2 2 2 10 2 4" xfId="15054"/>
    <cellStyle name="Обычный 2 2 2 2 10 2 5" xfId="15055"/>
    <cellStyle name="Обычный 2 2 2 2 10 2 6" xfId="15056"/>
    <cellStyle name="Обычный 2 2 2 2 10 2 7" xfId="15057"/>
    <cellStyle name="Обычный 2 2 2 2 10 2 8" xfId="15058"/>
    <cellStyle name="Обычный 2 2 2 2 10 2 9" xfId="15059"/>
    <cellStyle name="Обычный 2 2 2 2 10 3" xfId="3236"/>
    <cellStyle name="Обычный 2 2 2 2 10 3 2" xfId="15060"/>
    <cellStyle name="Обычный 2 2 2 2 10 3 3" xfId="15061"/>
    <cellStyle name="Обычный 2 2 2 2 10 3 4" xfId="15062"/>
    <cellStyle name="Обычный 2 2 2 2 10 3 5" xfId="15063"/>
    <cellStyle name="Обычный 2 2 2 2 10 3 6" xfId="15064"/>
    <cellStyle name="Обычный 2 2 2 2 10 3 7" xfId="15065"/>
    <cellStyle name="Обычный 2 2 2 2 10 3 8" xfId="15066"/>
    <cellStyle name="Обычный 2 2 2 2 10 3 9" xfId="15067"/>
    <cellStyle name="Обычный 2 2 2 2 10 4" xfId="15068"/>
    <cellStyle name="Обычный 2 2 2 2 10 5" xfId="15069"/>
    <cellStyle name="Обычный 2 2 2 2 10 6" xfId="15070"/>
    <cellStyle name="Обычный 2 2 2 2 10 7" xfId="15071"/>
    <cellStyle name="Обычный 2 2 2 2 10 8" xfId="15072"/>
    <cellStyle name="Обычный 2 2 2 2 10 9" xfId="15073"/>
    <cellStyle name="Обычный 2 2 2 2 11" xfId="3237"/>
    <cellStyle name="Обычный 2 2 2 2 11 10" xfId="15074"/>
    <cellStyle name="Обычный 2 2 2 2 11 11" xfId="15075"/>
    <cellStyle name="Обычный 2 2 2 2 11 2" xfId="3238"/>
    <cellStyle name="Обычный 2 2 2 2 11 2 2" xfId="15076"/>
    <cellStyle name="Обычный 2 2 2 2 11 2 3" xfId="15077"/>
    <cellStyle name="Обычный 2 2 2 2 11 2 4" xfId="15078"/>
    <cellStyle name="Обычный 2 2 2 2 11 2 5" xfId="15079"/>
    <cellStyle name="Обычный 2 2 2 2 11 2 6" xfId="15080"/>
    <cellStyle name="Обычный 2 2 2 2 11 2 7" xfId="15081"/>
    <cellStyle name="Обычный 2 2 2 2 11 2 8" xfId="15082"/>
    <cellStyle name="Обычный 2 2 2 2 11 2 9" xfId="15083"/>
    <cellStyle name="Обычный 2 2 2 2 11 3" xfId="3239"/>
    <cellStyle name="Обычный 2 2 2 2 11 3 2" xfId="15084"/>
    <cellStyle name="Обычный 2 2 2 2 11 3 3" xfId="15085"/>
    <cellStyle name="Обычный 2 2 2 2 11 3 4" xfId="15086"/>
    <cellStyle name="Обычный 2 2 2 2 11 3 5" xfId="15087"/>
    <cellStyle name="Обычный 2 2 2 2 11 3 6" xfId="15088"/>
    <cellStyle name="Обычный 2 2 2 2 11 3 7" xfId="15089"/>
    <cellStyle name="Обычный 2 2 2 2 11 3 8" xfId="15090"/>
    <cellStyle name="Обычный 2 2 2 2 11 3 9" xfId="15091"/>
    <cellStyle name="Обычный 2 2 2 2 11 4" xfId="15092"/>
    <cellStyle name="Обычный 2 2 2 2 11 5" xfId="15093"/>
    <cellStyle name="Обычный 2 2 2 2 11 6" xfId="15094"/>
    <cellStyle name="Обычный 2 2 2 2 11 7" xfId="15095"/>
    <cellStyle name="Обычный 2 2 2 2 11 8" xfId="15096"/>
    <cellStyle name="Обычный 2 2 2 2 11 9" xfId="15097"/>
    <cellStyle name="Обычный 2 2 2 2 12" xfId="3240"/>
    <cellStyle name="Обычный 2 2 2 2 12 2" xfId="3241"/>
    <cellStyle name="Обычный 2 2 2 2 12 2 2" xfId="15098"/>
    <cellStyle name="Обычный 2 2 2 2 12 2 3" xfId="15099"/>
    <cellStyle name="Обычный 2 2 2 2 12 2 4" xfId="15100"/>
    <cellStyle name="Обычный 2 2 2 2 12 2 5" xfId="15101"/>
    <cellStyle name="Обычный 2 2 2 2 12 2 6" xfId="15102"/>
    <cellStyle name="Обычный 2 2 2 2 12 2 7" xfId="15103"/>
    <cellStyle name="Обычный 2 2 2 2 12 2 8" xfId="15104"/>
    <cellStyle name="Обычный 2 2 2 2 12 2 9" xfId="15105"/>
    <cellStyle name="Обычный 2 2 2 2 12 3" xfId="3242"/>
    <cellStyle name="Обычный 2 2 2 2 12 3 2" xfId="15106"/>
    <cellStyle name="Обычный 2 2 2 2 12 3 3" xfId="15107"/>
    <cellStyle name="Обычный 2 2 2 2 12 3 4" xfId="15108"/>
    <cellStyle name="Обычный 2 2 2 2 12 3 5" xfId="15109"/>
    <cellStyle name="Обычный 2 2 2 2 12 3 6" xfId="15110"/>
    <cellStyle name="Обычный 2 2 2 2 12 3 7" xfId="15111"/>
    <cellStyle name="Обычный 2 2 2 2 12 3 8" xfId="15112"/>
    <cellStyle name="Обычный 2 2 2 2 12 3 9" xfId="15113"/>
    <cellStyle name="Обычный 2 2 2 2 12 4" xfId="15114"/>
    <cellStyle name="Обычный 2 2 2 2 12 5" xfId="15115"/>
    <cellStyle name="Обычный 2 2 2 2 12 6" xfId="15116"/>
    <cellStyle name="Обычный 2 2 2 2 12 7" xfId="15117"/>
    <cellStyle name="Обычный 2 2 2 2 13" xfId="3243"/>
    <cellStyle name="Обычный 2 2 2 2 13 2" xfId="15118"/>
    <cellStyle name="Обычный 2 2 2 2 13 3" xfId="15119"/>
    <cellStyle name="Обычный 2 2 2 2 13 4" xfId="15120"/>
    <cellStyle name="Обычный 2 2 2 2 13 5" xfId="15121"/>
    <cellStyle name="Обычный 2 2 2 2 14" xfId="3244"/>
    <cellStyle name="Обычный 2 2 2 2 14 2" xfId="15122"/>
    <cellStyle name="Обычный 2 2 2 2 14 3" xfId="15123"/>
    <cellStyle name="Обычный 2 2 2 2 14 4" xfId="15124"/>
    <cellStyle name="Обычный 2 2 2 2 14 5" xfId="15125"/>
    <cellStyle name="Обычный 2 2 2 2 14 6" xfId="15126"/>
    <cellStyle name="Обычный 2 2 2 2 14 7" xfId="15127"/>
    <cellStyle name="Обычный 2 2 2 2 14 8" xfId="15128"/>
    <cellStyle name="Обычный 2 2 2 2 14 9" xfId="15129"/>
    <cellStyle name="Обычный 2 2 2 2 15" xfId="15130"/>
    <cellStyle name="Обычный 2 2 2 2 15 2" xfId="15131"/>
    <cellStyle name="Обычный 2 2 2 2 15 3" xfId="15132"/>
    <cellStyle name="Обычный 2 2 2 2 15 4" xfId="15133"/>
    <cellStyle name="Обычный 2 2 2 2 15 5" xfId="15134"/>
    <cellStyle name="Обычный 2 2 2 2 16" xfId="15135"/>
    <cellStyle name="Обычный 2 2 2 2 16 2" xfId="15136"/>
    <cellStyle name="Обычный 2 2 2 2 16 2 2" xfId="15137"/>
    <cellStyle name="Обычный 2 2 2 2 16 2 2 2" xfId="15138"/>
    <cellStyle name="Обычный 2 2 2 2 16 2 2 2 2" xfId="15139"/>
    <cellStyle name="Обычный 2 2 2 2 16 2 3" xfId="15140"/>
    <cellStyle name="Обычный 2 2 2 2 16 3" xfId="15141"/>
    <cellStyle name="Обычный 2 2 2 2 16 3 2" xfId="15142"/>
    <cellStyle name="Обычный 2 2 2 2 17" xfId="15143"/>
    <cellStyle name="Обычный 2 2 2 2 17 2" xfId="15144"/>
    <cellStyle name="Обычный 2 2 2 2 17 2 2" xfId="15145"/>
    <cellStyle name="Обычный 2 2 2 2 18" xfId="15146"/>
    <cellStyle name="Обычный 2 2 2 2 19" xfId="15147"/>
    <cellStyle name="Обычный 2 2 2 2 2" xfId="3245"/>
    <cellStyle name="Обычный 2 2 2 2 2 10" xfId="15148"/>
    <cellStyle name="Обычный 2 2 2 2 2 10 2" xfId="15149"/>
    <cellStyle name="Обычный 2 2 2 2 2 10 2 2" xfId="15150"/>
    <cellStyle name="Обычный 2 2 2 2 2 11" xfId="15151"/>
    <cellStyle name="Обычный 2 2 2 2 2 2" xfId="3246"/>
    <cellStyle name="Обычный 2 2 2 2 2 3" xfId="3247"/>
    <cellStyle name="Обычный 2 2 2 2 2 4" xfId="3248"/>
    <cellStyle name="Обычный 2 2 2 2 2 5" xfId="3249"/>
    <cellStyle name="Обычный 2 2 2 2 2 5 10" xfId="15152"/>
    <cellStyle name="Обычный 2 2 2 2 2 5 11" xfId="15153"/>
    <cellStyle name="Обычный 2 2 2 2 2 5 2" xfId="3250"/>
    <cellStyle name="Обычный 2 2 2 2 2 5 3" xfId="3251"/>
    <cellStyle name="Обычный 2 2 2 2 2 5 4" xfId="15154"/>
    <cellStyle name="Обычный 2 2 2 2 2 5 5" xfId="15155"/>
    <cellStyle name="Обычный 2 2 2 2 2 5 6" xfId="15156"/>
    <cellStyle name="Обычный 2 2 2 2 2 5 7" xfId="15157"/>
    <cellStyle name="Обычный 2 2 2 2 2 5 8" xfId="15158"/>
    <cellStyle name="Обычный 2 2 2 2 2 5 9" xfId="15159"/>
    <cellStyle name="Обычный 2 2 2 2 2 6" xfId="3252"/>
    <cellStyle name="Обычный 2 2 2 2 2 6 2" xfId="15160"/>
    <cellStyle name="Обычный 2 2 2 2 2 6 3" xfId="15161"/>
    <cellStyle name="Обычный 2 2 2 2 2 6 4" xfId="15162"/>
    <cellStyle name="Обычный 2 2 2 2 2 6 5" xfId="15163"/>
    <cellStyle name="Обычный 2 2 2 2 2 6 6" xfId="15164"/>
    <cellStyle name="Обычный 2 2 2 2 2 6 7" xfId="15165"/>
    <cellStyle name="Обычный 2 2 2 2 2 6 8" xfId="15166"/>
    <cellStyle name="Обычный 2 2 2 2 2 6 9" xfId="15167"/>
    <cellStyle name="Обычный 2 2 2 2 2 7" xfId="3253"/>
    <cellStyle name="Обычный 2 2 2 2 2 8" xfId="15168"/>
    <cellStyle name="Обычный 2 2 2 2 2 9" xfId="15169"/>
    <cellStyle name="Обычный 2 2 2 2 2 9 2" xfId="15170"/>
    <cellStyle name="Обычный 2 2 2 2 2 9 2 2" xfId="15171"/>
    <cellStyle name="Обычный 2 2 2 2 2 9 2 2 2" xfId="15172"/>
    <cellStyle name="Обычный 2 2 2 2 2 9 2 2 2 2" xfId="15173"/>
    <cellStyle name="Обычный 2 2 2 2 2 9 2 3" xfId="15174"/>
    <cellStyle name="Обычный 2 2 2 2 2 9 3" xfId="15175"/>
    <cellStyle name="Обычный 2 2 2 2 2 9 3 2" xfId="15176"/>
    <cellStyle name="Обычный 2 2 2 2 20" xfId="15177"/>
    <cellStyle name="Обычный 2 2 2 2 21" xfId="15178"/>
    <cellStyle name="Обычный 2 2 2 2 22" xfId="15179"/>
    <cellStyle name="Обычный 2 2 2 2 3" xfId="3254"/>
    <cellStyle name="Обычный 2 2 2 2 3 2" xfId="3255"/>
    <cellStyle name="Обычный 2 2 2 2 3 2 2" xfId="3256"/>
    <cellStyle name="Обычный 2 2 2 2 3 2 3" xfId="3257"/>
    <cellStyle name="Обычный 2 2 2 2 3 3" xfId="3258"/>
    <cellStyle name="Обычный 2 2 2 2 3 4" xfId="3259"/>
    <cellStyle name="Обычный 2 2 2 2 4" xfId="3260"/>
    <cellStyle name="Обычный 2 2 2 2 4 2" xfId="3261"/>
    <cellStyle name="Обычный 2 2 2 2 4 3" xfId="3262"/>
    <cellStyle name="Обычный 2 2 2 2 5" xfId="3263"/>
    <cellStyle name="Обычный 2 2 2 2 6" xfId="3264"/>
    <cellStyle name="Обычный 2 2 2 2 7" xfId="3265"/>
    <cellStyle name="Обычный 2 2 2 2 8" xfId="3266"/>
    <cellStyle name="Обычный 2 2 2 2 9" xfId="3267"/>
    <cellStyle name="Обычный 2 2 2 20" xfId="3268"/>
    <cellStyle name="Обычный 2 2 2 20 2" xfId="15180"/>
    <cellStyle name="Обычный 2 2 2 20 3" xfId="15181"/>
    <cellStyle name="Обычный 2 2 2 20 4" xfId="15182"/>
    <cellStyle name="Обычный 2 2 2 20 5" xfId="15183"/>
    <cellStyle name="Обычный 2 2 2 20 6" xfId="15184"/>
    <cellStyle name="Обычный 2 2 2 20 7" xfId="15185"/>
    <cellStyle name="Обычный 2 2 2 20 8" xfId="15186"/>
    <cellStyle name="Обычный 2 2 2 20 9" xfId="15187"/>
    <cellStyle name="Обычный 2 2 2 21" xfId="3269"/>
    <cellStyle name="Обычный 2 2 2 21 2" xfId="15188"/>
    <cellStyle name="Обычный 2 2 2 21 3" xfId="15189"/>
    <cellStyle name="Обычный 2 2 2 21 4" xfId="15190"/>
    <cellStyle name="Обычный 2 2 2 21 5" xfId="15191"/>
    <cellStyle name="Обычный 2 2 2 21 6" xfId="15192"/>
    <cellStyle name="Обычный 2 2 2 21 7" xfId="15193"/>
    <cellStyle name="Обычный 2 2 2 21 8" xfId="15194"/>
    <cellStyle name="Обычный 2 2 2 21 9" xfId="15195"/>
    <cellStyle name="Обычный 2 2 2 22" xfId="3270"/>
    <cellStyle name="Обычный 2 2 2 22 2" xfId="15196"/>
    <cellStyle name="Обычный 2 2 2 22 3" xfId="15197"/>
    <cellStyle name="Обычный 2 2 2 22 4" xfId="15198"/>
    <cellStyle name="Обычный 2 2 2 22 5" xfId="15199"/>
    <cellStyle name="Обычный 2 2 2 22 6" xfId="15200"/>
    <cellStyle name="Обычный 2 2 2 22 7" xfId="15201"/>
    <cellStyle name="Обычный 2 2 2 22 8" xfId="15202"/>
    <cellStyle name="Обычный 2 2 2 22 9" xfId="15203"/>
    <cellStyle name="Обычный 2 2 2 23" xfId="3271"/>
    <cellStyle name="Обычный 2 2 2 23 2" xfId="15204"/>
    <cellStyle name="Обычный 2 2 2 23 3" xfId="15205"/>
    <cellStyle name="Обычный 2 2 2 23 4" xfId="15206"/>
    <cellStyle name="Обычный 2 2 2 23 5" xfId="15207"/>
    <cellStyle name="Обычный 2 2 2 23 6" xfId="15208"/>
    <cellStyle name="Обычный 2 2 2 23 7" xfId="15209"/>
    <cellStyle name="Обычный 2 2 2 23 8" xfId="15210"/>
    <cellStyle name="Обычный 2 2 2 23 9" xfId="15211"/>
    <cellStyle name="Обычный 2 2 2 24" xfId="3272"/>
    <cellStyle name="Обычный 2 2 2 25" xfId="3273"/>
    <cellStyle name="Обычный 2 2 2 26" xfId="3274"/>
    <cellStyle name="Обычный 2 2 2 26 2" xfId="3275"/>
    <cellStyle name="Обычный 2 2 2 26 2 2" xfId="15212"/>
    <cellStyle name="Обычный 2 2 2 26 2 3" xfId="15213"/>
    <cellStyle name="Обычный 2 2 2 26 2 4" xfId="15214"/>
    <cellStyle name="Обычный 2 2 2 26 2 5" xfId="15215"/>
    <cellStyle name="Обычный 2 2 2 26 3" xfId="3276"/>
    <cellStyle name="Обычный 2 2 2 26 3 2" xfId="15216"/>
    <cellStyle name="Обычный 2 2 2 26 3 3" xfId="15217"/>
    <cellStyle name="Обычный 2 2 2 26 3 4" xfId="15218"/>
    <cellStyle name="Обычный 2 2 2 26 3 5" xfId="15219"/>
    <cellStyle name="Обычный 2 2 2 27" xfId="3277"/>
    <cellStyle name="Обычный 2 2 2 28" xfId="3278"/>
    <cellStyle name="Обычный 2 2 2 28 2" xfId="15220"/>
    <cellStyle name="Обычный 2 2 2 28 3" xfId="15221"/>
    <cellStyle name="Обычный 2 2 2 28 4" xfId="15222"/>
    <cellStyle name="Обычный 2 2 2 28 5" xfId="15223"/>
    <cellStyle name="Обычный 2 2 2 29" xfId="15224"/>
    <cellStyle name="Обычный 2 2 2 29 2" xfId="15225"/>
    <cellStyle name="Обычный 2 2 2 29 3" xfId="15226"/>
    <cellStyle name="Обычный 2 2 2 29 4" xfId="15227"/>
    <cellStyle name="Обычный 2 2 2 29 5" xfId="15228"/>
    <cellStyle name="Обычный 2 2 2 3" xfId="3279"/>
    <cellStyle name="Обычный 2 2 2 3 2" xfId="3280"/>
    <cellStyle name="Обычный 2 2 2 3 2 2" xfId="3281"/>
    <cellStyle name="Обычный 2 2 2 3 2 3" xfId="3282"/>
    <cellStyle name="Обычный 2 2 2 3 3" xfId="3283"/>
    <cellStyle name="Обычный 2 2 2 3 4" xfId="3284"/>
    <cellStyle name="Обычный 2 2 2 30" xfId="15229"/>
    <cellStyle name="Обычный 2 2 2 30 2" xfId="15230"/>
    <cellStyle name="Обычный 2 2 2 30 2 2" xfId="15231"/>
    <cellStyle name="Обычный 2 2 2 30 2 2 2" xfId="15232"/>
    <cellStyle name="Обычный 2 2 2 30 2 2 2 2" xfId="15233"/>
    <cellStyle name="Обычный 2 2 2 30 2 3" xfId="15234"/>
    <cellStyle name="Обычный 2 2 2 30 3" xfId="15235"/>
    <cellStyle name="Обычный 2 2 2 30 3 2" xfId="15236"/>
    <cellStyle name="Обычный 2 2 2 31" xfId="15237"/>
    <cellStyle name="Обычный 2 2 2 31 2" xfId="15238"/>
    <cellStyle name="Обычный 2 2 2 31 2 2" xfId="15239"/>
    <cellStyle name="Обычный 2 2 2 32" xfId="15240"/>
    <cellStyle name="Обычный 2 2 2 33" xfId="15241"/>
    <cellStyle name="Обычный 2 2 2 34" xfId="15242"/>
    <cellStyle name="Обычный 2 2 2 35" xfId="15243"/>
    <cellStyle name="Обычный 2 2 2 4" xfId="3285"/>
    <cellStyle name="Обычный 2 2 2 4 2" xfId="3286"/>
    <cellStyle name="Обычный 2 2 2 4 2 2" xfId="3287"/>
    <cellStyle name="Обычный 2 2 2 4 2 3" xfId="3288"/>
    <cellStyle name="Обычный 2 2 2 4 3" xfId="3289"/>
    <cellStyle name="Обычный 2 2 2 4 4" xfId="3290"/>
    <cellStyle name="Обычный 2 2 2 5" xfId="3291"/>
    <cellStyle name="Обычный 2 2 2 5 2" xfId="3292"/>
    <cellStyle name="Обычный 2 2 2 5 2 2" xfId="3293"/>
    <cellStyle name="Обычный 2 2 2 5 2 3" xfId="3294"/>
    <cellStyle name="Обычный 2 2 2 5 3" xfId="3295"/>
    <cellStyle name="Обычный 2 2 2 5 4" xfId="3296"/>
    <cellStyle name="Обычный 2 2 2 6" xfId="3297"/>
    <cellStyle name="Обычный 2 2 2 6 2" xfId="3298"/>
    <cellStyle name="Обычный 2 2 2 6 2 2" xfId="3299"/>
    <cellStyle name="Обычный 2 2 2 6 2 3" xfId="3300"/>
    <cellStyle name="Обычный 2 2 2 6 3" xfId="3301"/>
    <cellStyle name="Обычный 2 2 2 6 4" xfId="3302"/>
    <cellStyle name="Обычный 2 2 2 7" xfId="3303"/>
    <cellStyle name="Обычный 2 2 2 7 2" xfId="3304"/>
    <cellStyle name="Обычный 2 2 2 7 2 2" xfId="3305"/>
    <cellStyle name="Обычный 2 2 2 7 2 3" xfId="3306"/>
    <cellStyle name="Обычный 2 2 2 7 3" xfId="3307"/>
    <cellStyle name="Обычный 2 2 2 7 4" xfId="3308"/>
    <cellStyle name="Обычный 2 2 2 8" xfId="3309"/>
    <cellStyle name="Обычный 2 2 2 8 2" xfId="3310"/>
    <cellStyle name="Обычный 2 2 2 8 2 2" xfId="3311"/>
    <cellStyle name="Обычный 2 2 2 8 2 3" xfId="3312"/>
    <cellStyle name="Обычный 2 2 2 8 3" xfId="3313"/>
    <cellStyle name="Обычный 2 2 2 8 4" xfId="3314"/>
    <cellStyle name="Обычный 2 2 2 9" xfId="3315"/>
    <cellStyle name="Обычный 2 2 2 9 2" xfId="3316"/>
    <cellStyle name="Обычный 2 2 2 9 2 2" xfId="3317"/>
    <cellStyle name="Обычный 2 2 2 9 2 3" xfId="3318"/>
    <cellStyle name="Обычный 2 2 2 9 3" xfId="3319"/>
    <cellStyle name="Обычный 2 2 2 9 4" xfId="3320"/>
    <cellStyle name="Обычный 2 2 20" xfId="3321"/>
    <cellStyle name="Обычный 2 2 20 2" xfId="3322"/>
    <cellStyle name="Обычный 2 2 20 2 2" xfId="3323"/>
    <cellStyle name="Обычный 2 2 20 2 3" xfId="3324"/>
    <cellStyle name="Обычный 2 2 20 3" xfId="3325"/>
    <cellStyle name="Обычный 2 2 20 4" xfId="3326"/>
    <cellStyle name="Обычный 2 2 21" xfId="3327"/>
    <cellStyle name="Обычный 2 2 21 2" xfId="3328"/>
    <cellStyle name="Обычный 2 2 21 2 2" xfId="3329"/>
    <cellStyle name="Обычный 2 2 21 2 3" xfId="3330"/>
    <cellStyle name="Обычный 2 2 21 3" xfId="3331"/>
    <cellStyle name="Обычный 2 2 21 4" xfId="3332"/>
    <cellStyle name="Обычный 2 2 22" xfId="3333"/>
    <cellStyle name="Обычный 2 2 22 10" xfId="15244"/>
    <cellStyle name="Обычный 2 2 22 2" xfId="3334"/>
    <cellStyle name="Обычный 2 2 22 2 2" xfId="3335"/>
    <cellStyle name="Обычный 2 2 22 2 2 2" xfId="3336"/>
    <cellStyle name="Обычный 2 2 22 2 2 3" xfId="3337"/>
    <cellStyle name="Обычный 2 2 22 2 3" xfId="3338"/>
    <cellStyle name="Обычный 2 2 22 2 4" xfId="3339"/>
    <cellStyle name="Обычный 2 2 22 2 4 2" xfId="15245"/>
    <cellStyle name="Обычный 2 2 22 2 4 3" xfId="15246"/>
    <cellStyle name="Обычный 2 2 22 2 4 4" xfId="15247"/>
    <cellStyle name="Обычный 2 2 22 2 4 5" xfId="15248"/>
    <cellStyle name="Обычный 2 2 22 2 5" xfId="15249"/>
    <cellStyle name="Обычный 2 2 22 2 6" xfId="15250"/>
    <cellStyle name="Обычный 2 2 22 2 7" xfId="15251"/>
    <cellStyle name="Обычный 2 2 22 2 8" xfId="15252"/>
    <cellStyle name="Обычный 2 2 22 3" xfId="3340"/>
    <cellStyle name="Обычный 2 2 22 3 2" xfId="3341"/>
    <cellStyle name="Обычный 2 2 22 3 2 2" xfId="3342"/>
    <cellStyle name="Обычный 2 2 22 3 2 3" xfId="3343"/>
    <cellStyle name="Обычный 2 2 22 3 3" xfId="3344"/>
    <cellStyle name="Обычный 2 2 22 3 4" xfId="3345"/>
    <cellStyle name="Обычный 2 2 22 3 4 2" xfId="15253"/>
    <cellStyle name="Обычный 2 2 22 3 4 3" xfId="15254"/>
    <cellStyle name="Обычный 2 2 22 3 4 4" xfId="15255"/>
    <cellStyle name="Обычный 2 2 22 3 4 5" xfId="15256"/>
    <cellStyle name="Обычный 2 2 22 3 5" xfId="15257"/>
    <cellStyle name="Обычный 2 2 22 3 6" xfId="15258"/>
    <cellStyle name="Обычный 2 2 22 3 7" xfId="15259"/>
    <cellStyle name="Обычный 2 2 22 3 8" xfId="15260"/>
    <cellStyle name="Обычный 2 2 22 4" xfId="3346"/>
    <cellStyle name="Обычный 2 2 22 4 2" xfId="3347"/>
    <cellStyle name="Обычный 2 2 22 4 2 2" xfId="15261"/>
    <cellStyle name="Обычный 2 2 22 4 2 3" xfId="15262"/>
    <cellStyle name="Обычный 2 2 22 4 2 4" xfId="15263"/>
    <cellStyle name="Обычный 2 2 22 4 2 5" xfId="15264"/>
    <cellStyle name="Обычный 2 2 22 4 2 6" xfId="15265"/>
    <cellStyle name="Обычный 2 2 22 4 3" xfId="3348"/>
    <cellStyle name="Обычный 2 2 22 4 3 2" xfId="15266"/>
    <cellStyle name="Обычный 2 2 22 4 3 3" xfId="15267"/>
    <cellStyle name="Обычный 2 2 22 4 3 4" xfId="15268"/>
    <cellStyle name="Обычный 2 2 22 4 3 5" xfId="15269"/>
    <cellStyle name="Обычный 2 2 22 4 3 6" xfId="15270"/>
    <cellStyle name="Обычный 2 2 22 4 4" xfId="15271"/>
    <cellStyle name="Обычный 2 2 22 4 5" xfId="15272"/>
    <cellStyle name="Обычный 2 2 22 4 6" xfId="15273"/>
    <cellStyle name="Обычный 2 2 22 4 7" xfId="15274"/>
    <cellStyle name="Обычный 2 2 22 4 8" xfId="15275"/>
    <cellStyle name="Обычный 2 2 22 5" xfId="3349"/>
    <cellStyle name="Обычный 2 2 22 5 2" xfId="15276"/>
    <cellStyle name="Обычный 2 2 22 5 3" xfId="15277"/>
    <cellStyle name="Обычный 2 2 22 5 4" xfId="15278"/>
    <cellStyle name="Обычный 2 2 22 5 5" xfId="15279"/>
    <cellStyle name="Обычный 2 2 22 5 6" xfId="15280"/>
    <cellStyle name="Обычный 2 2 22 6" xfId="3350"/>
    <cellStyle name="Обычный 2 2 22 6 2" xfId="15281"/>
    <cellStyle name="Обычный 2 2 22 6 3" xfId="15282"/>
    <cellStyle name="Обычный 2 2 22 6 4" xfId="15283"/>
    <cellStyle name="Обычный 2 2 22 6 5" xfId="15284"/>
    <cellStyle name="Обычный 2 2 22 7" xfId="15285"/>
    <cellStyle name="Обычный 2 2 22 8" xfId="15286"/>
    <cellStyle name="Обычный 2 2 22 9" xfId="15287"/>
    <cellStyle name="Обычный 2 2 23" xfId="3351"/>
    <cellStyle name="Обычный 2 2 23 2" xfId="3352"/>
    <cellStyle name="Обычный 2 2 23 2 2" xfId="3353"/>
    <cellStyle name="Обычный 2 2 23 2 2 2" xfId="15288"/>
    <cellStyle name="Обычный 2 2 23 2 2 3" xfId="15289"/>
    <cellStyle name="Обычный 2 2 23 2 2 4" xfId="15290"/>
    <cellStyle name="Обычный 2 2 23 2 2 5" xfId="15291"/>
    <cellStyle name="Обычный 2 2 23 2 2 6" xfId="15292"/>
    <cellStyle name="Обычный 2 2 23 2 3" xfId="3354"/>
    <cellStyle name="Обычный 2 2 23 2 3 2" xfId="15293"/>
    <cellStyle name="Обычный 2 2 23 2 3 3" xfId="15294"/>
    <cellStyle name="Обычный 2 2 23 2 3 4" xfId="15295"/>
    <cellStyle name="Обычный 2 2 23 2 3 5" xfId="15296"/>
    <cellStyle name="Обычный 2 2 23 2 3 6" xfId="15297"/>
    <cellStyle name="Обычный 2 2 23 2 4" xfId="15298"/>
    <cellStyle name="Обычный 2 2 23 2 5" xfId="15299"/>
    <cellStyle name="Обычный 2 2 23 2 6" xfId="15300"/>
    <cellStyle name="Обычный 2 2 23 2 7" xfId="15301"/>
    <cellStyle name="Обычный 2 2 23 2 8" xfId="15302"/>
    <cellStyle name="Обычный 2 2 23 3" xfId="3355"/>
    <cellStyle name="Обычный 2 2 23 3 2" xfId="15303"/>
    <cellStyle name="Обычный 2 2 23 3 3" xfId="15304"/>
    <cellStyle name="Обычный 2 2 23 3 4" xfId="15305"/>
    <cellStyle name="Обычный 2 2 23 3 5" xfId="15306"/>
    <cellStyle name="Обычный 2 2 23 3 6" xfId="15307"/>
    <cellStyle name="Обычный 2 2 23 4" xfId="3356"/>
    <cellStyle name="Обычный 2 2 23 4 2" xfId="15308"/>
    <cellStyle name="Обычный 2 2 23 4 3" xfId="15309"/>
    <cellStyle name="Обычный 2 2 23 4 4" xfId="15310"/>
    <cellStyle name="Обычный 2 2 23 4 5" xfId="15311"/>
    <cellStyle name="Обычный 2 2 23 5" xfId="15312"/>
    <cellStyle name="Обычный 2 2 23 6" xfId="15313"/>
    <cellStyle name="Обычный 2 2 23 7" xfId="15314"/>
    <cellStyle name="Обычный 2 2 23 8" xfId="15315"/>
    <cellStyle name="Обычный 2 2 24" xfId="3357"/>
    <cellStyle name="Обычный 2 2 24 2" xfId="3358"/>
    <cellStyle name="Обычный 2 2 24 2 2" xfId="15316"/>
    <cellStyle name="Обычный 2 2 24 2 3" xfId="15317"/>
    <cellStyle name="Обычный 2 2 24 2 4" xfId="15318"/>
    <cellStyle name="Обычный 2 2 24 2 5" xfId="15319"/>
    <cellStyle name="Обычный 2 2 24 3" xfId="3359"/>
    <cellStyle name="Обычный 2 2 24 3 2" xfId="15320"/>
    <cellStyle name="Обычный 2 2 24 3 3" xfId="15321"/>
    <cellStyle name="Обычный 2 2 24 3 4" xfId="15322"/>
    <cellStyle name="Обычный 2 2 24 3 5" xfId="15323"/>
    <cellStyle name="Обычный 2 2 24 4" xfId="15324"/>
    <cellStyle name="Обычный 2 2 24 5" xfId="15325"/>
    <cellStyle name="Обычный 2 2 24 6" xfId="15326"/>
    <cellStyle name="Обычный 2 2 24 7" xfId="15327"/>
    <cellStyle name="Обычный 2 2 25" xfId="3360"/>
    <cellStyle name="Обычный 2 2 25 2" xfId="15328"/>
    <cellStyle name="Обычный 2 2 25 3" xfId="15329"/>
    <cellStyle name="Обычный 2 2 25 4" xfId="15330"/>
    <cellStyle name="Обычный 2 2 25 5" xfId="15331"/>
    <cellStyle name="Обычный 2 2 26" xfId="3361"/>
    <cellStyle name="Обычный 2 2 26 2" xfId="15332"/>
    <cellStyle name="Обычный 2 2 26 3" xfId="15333"/>
    <cellStyle name="Обычный 2 2 26 4" xfId="15334"/>
    <cellStyle name="Обычный 2 2 26 5" xfId="15335"/>
    <cellStyle name="Обычный 2 2 27" xfId="3362"/>
    <cellStyle name="Обычный 2 2 27 2" xfId="15336"/>
    <cellStyle name="Обычный 2 2 27 3" xfId="15337"/>
    <cellStyle name="Обычный 2 2 27 4" xfId="15338"/>
    <cellStyle name="Обычный 2 2 27 5" xfId="15339"/>
    <cellStyle name="Обычный 2 2 28" xfId="3363"/>
    <cellStyle name="Обычный 2 2 29" xfId="3364"/>
    <cellStyle name="Обычный 2 2 3" xfId="3365"/>
    <cellStyle name="Обычный 2 2 3 10" xfId="15340"/>
    <cellStyle name="Обычный 2 2 3 11" xfId="15341"/>
    <cellStyle name="Обычный 2 2 3 12" xfId="15342"/>
    <cellStyle name="Обычный 2 2 3 13" xfId="15343"/>
    <cellStyle name="Обычный 2 2 3 2" xfId="3366"/>
    <cellStyle name="Обычный 2 2 3 2 10" xfId="15344"/>
    <cellStyle name="Обычный 2 2 3 2 11" xfId="15345"/>
    <cellStyle name="Обычный 2 2 3 2 12" xfId="15346"/>
    <cellStyle name="Обычный 2 2 3 2 2" xfId="3367"/>
    <cellStyle name="Обычный 2 2 3 2 2 10" xfId="15347"/>
    <cellStyle name="Обычный 2 2 3 2 2 11" xfId="15348"/>
    <cellStyle name="Обычный 2 2 3 2 2 12" xfId="15349"/>
    <cellStyle name="Обычный 2 2 3 2 2 2" xfId="3368"/>
    <cellStyle name="Обычный 2 2 3 2 2 2 2" xfId="15350"/>
    <cellStyle name="Обычный 2 2 3 2 2 2 3" xfId="15351"/>
    <cellStyle name="Обычный 2 2 3 2 2 2 4" xfId="15352"/>
    <cellStyle name="Обычный 2 2 3 2 2 2 5" xfId="15353"/>
    <cellStyle name="Обычный 2 2 3 2 2 2 6" xfId="15354"/>
    <cellStyle name="Обычный 2 2 3 2 2 2 7" xfId="15355"/>
    <cellStyle name="Обычный 2 2 3 2 2 2 8" xfId="15356"/>
    <cellStyle name="Обычный 2 2 3 2 2 2 9" xfId="15357"/>
    <cellStyle name="Обычный 2 2 3 2 2 3" xfId="3369"/>
    <cellStyle name="Обычный 2 2 3 2 2 3 2" xfId="15358"/>
    <cellStyle name="Обычный 2 2 3 2 2 3 3" xfId="15359"/>
    <cellStyle name="Обычный 2 2 3 2 2 3 4" xfId="15360"/>
    <cellStyle name="Обычный 2 2 3 2 2 3 5" xfId="15361"/>
    <cellStyle name="Обычный 2 2 3 2 2 3 6" xfId="15362"/>
    <cellStyle name="Обычный 2 2 3 2 2 3 7" xfId="15363"/>
    <cellStyle name="Обычный 2 2 3 2 2 3 8" xfId="15364"/>
    <cellStyle name="Обычный 2 2 3 2 2 3 9" xfId="15365"/>
    <cellStyle name="Обычный 2 2 3 2 2 4" xfId="3370"/>
    <cellStyle name="Обычный 2 2 3 2 2 4 2" xfId="15366"/>
    <cellStyle name="Обычный 2 2 3 2 2 4 3" xfId="15367"/>
    <cellStyle name="Обычный 2 2 3 2 2 4 4" xfId="15368"/>
    <cellStyle name="Обычный 2 2 3 2 2 4 5" xfId="15369"/>
    <cellStyle name="Обычный 2 2 3 2 2 4 6" xfId="15370"/>
    <cellStyle name="Обычный 2 2 3 2 2 4 7" xfId="15371"/>
    <cellStyle name="Обычный 2 2 3 2 2 4 8" xfId="15372"/>
    <cellStyle name="Обычный 2 2 3 2 2 4 9" xfId="15373"/>
    <cellStyle name="Обычный 2 2 3 2 2 5" xfId="15374"/>
    <cellStyle name="Обычный 2 2 3 2 2 6" xfId="15375"/>
    <cellStyle name="Обычный 2 2 3 2 2 7" xfId="15376"/>
    <cellStyle name="Обычный 2 2 3 2 2 8" xfId="15377"/>
    <cellStyle name="Обычный 2 2 3 2 2 9" xfId="15378"/>
    <cellStyle name="Обычный 2 2 3 2 3" xfId="3371"/>
    <cellStyle name="Обычный 2 2 3 2 3 10" xfId="15379"/>
    <cellStyle name="Обычный 2 2 3 2 3 11" xfId="15380"/>
    <cellStyle name="Обычный 2 2 3 2 3 2" xfId="3372"/>
    <cellStyle name="Обычный 2 2 3 2 3 2 2" xfId="15381"/>
    <cellStyle name="Обычный 2 2 3 2 3 2 3" xfId="15382"/>
    <cellStyle name="Обычный 2 2 3 2 3 2 4" xfId="15383"/>
    <cellStyle name="Обычный 2 2 3 2 3 2 5" xfId="15384"/>
    <cellStyle name="Обычный 2 2 3 2 3 2 6" xfId="15385"/>
    <cellStyle name="Обычный 2 2 3 2 3 2 7" xfId="15386"/>
    <cellStyle name="Обычный 2 2 3 2 3 2 8" xfId="15387"/>
    <cellStyle name="Обычный 2 2 3 2 3 2 9" xfId="15388"/>
    <cellStyle name="Обычный 2 2 3 2 3 3" xfId="3373"/>
    <cellStyle name="Обычный 2 2 3 2 3 3 2" xfId="15389"/>
    <cellStyle name="Обычный 2 2 3 2 3 3 3" xfId="15390"/>
    <cellStyle name="Обычный 2 2 3 2 3 3 4" xfId="15391"/>
    <cellStyle name="Обычный 2 2 3 2 3 3 5" xfId="15392"/>
    <cellStyle name="Обычный 2 2 3 2 3 3 6" xfId="15393"/>
    <cellStyle name="Обычный 2 2 3 2 3 3 7" xfId="15394"/>
    <cellStyle name="Обычный 2 2 3 2 3 3 8" xfId="15395"/>
    <cellStyle name="Обычный 2 2 3 2 3 3 9" xfId="15396"/>
    <cellStyle name="Обычный 2 2 3 2 3 4" xfId="15397"/>
    <cellStyle name="Обычный 2 2 3 2 3 5" xfId="15398"/>
    <cellStyle name="Обычный 2 2 3 2 3 6" xfId="15399"/>
    <cellStyle name="Обычный 2 2 3 2 3 7" xfId="15400"/>
    <cellStyle name="Обычный 2 2 3 2 3 8" xfId="15401"/>
    <cellStyle name="Обычный 2 2 3 2 3 9" xfId="15402"/>
    <cellStyle name="Обычный 2 2 3 2 4" xfId="3374"/>
    <cellStyle name="Обычный 2 2 3 2 4 2" xfId="15403"/>
    <cellStyle name="Обычный 2 2 3 2 4 3" xfId="15404"/>
    <cellStyle name="Обычный 2 2 3 2 4 4" xfId="15405"/>
    <cellStyle name="Обычный 2 2 3 2 4 5" xfId="15406"/>
    <cellStyle name="Обычный 2 2 3 2 4 6" xfId="15407"/>
    <cellStyle name="Обычный 2 2 3 2 4 7" xfId="15408"/>
    <cellStyle name="Обычный 2 2 3 2 4 8" xfId="15409"/>
    <cellStyle name="Обычный 2 2 3 2 4 9" xfId="15410"/>
    <cellStyle name="Обычный 2 2 3 2 5" xfId="15411"/>
    <cellStyle name="Обычный 2 2 3 2 6" xfId="15412"/>
    <cellStyle name="Обычный 2 2 3 2 7" xfId="15413"/>
    <cellStyle name="Обычный 2 2 3 2 8" xfId="15414"/>
    <cellStyle name="Обычный 2 2 3 2 9" xfId="15415"/>
    <cellStyle name="Обычный 2 2 3 3" xfId="3375"/>
    <cellStyle name="Обычный 2 2 3 3 10" xfId="15416"/>
    <cellStyle name="Обычный 2 2 3 3 11" xfId="15417"/>
    <cellStyle name="Обычный 2 2 3 3 12" xfId="15418"/>
    <cellStyle name="Обычный 2 2 3 3 2" xfId="3376"/>
    <cellStyle name="Обычный 2 2 3 3 2 2" xfId="15419"/>
    <cellStyle name="Обычный 2 2 3 3 2 3" xfId="15420"/>
    <cellStyle name="Обычный 2 2 3 3 2 4" xfId="15421"/>
    <cellStyle name="Обычный 2 2 3 3 2 5" xfId="15422"/>
    <cellStyle name="Обычный 2 2 3 3 2 6" xfId="15423"/>
    <cellStyle name="Обычный 2 2 3 3 2 7" xfId="15424"/>
    <cellStyle name="Обычный 2 2 3 3 2 8" xfId="15425"/>
    <cellStyle name="Обычный 2 2 3 3 2 9" xfId="15426"/>
    <cellStyle name="Обычный 2 2 3 3 3" xfId="3377"/>
    <cellStyle name="Обычный 2 2 3 3 3 2" xfId="15427"/>
    <cellStyle name="Обычный 2 2 3 3 3 3" xfId="15428"/>
    <cellStyle name="Обычный 2 2 3 3 3 4" xfId="15429"/>
    <cellStyle name="Обычный 2 2 3 3 3 5" xfId="15430"/>
    <cellStyle name="Обычный 2 2 3 3 3 6" xfId="15431"/>
    <cellStyle name="Обычный 2 2 3 3 3 7" xfId="15432"/>
    <cellStyle name="Обычный 2 2 3 3 3 8" xfId="15433"/>
    <cellStyle name="Обычный 2 2 3 3 3 9" xfId="15434"/>
    <cellStyle name="Обычный 2 2 3 3 4" xfId="3378"/>
    <cellStyle name="Обычный 2 2 3 3 4 2" xfId="15435"/>
    <cellStyle name="Обычный 2 2 3 3 4 3" xfId="15436"/>
    <cellStyle name="Обычный 2 2 3 3 4 4" xfId="15437"/>
    <cellStyle name="Обычный 2 2 3 3 4 5" xfId="15438"/>
    <cellStyle name="Обычный 2 2 3 3 4 6" xfId="15439"/>
    <cellStyle name="Обычный 2 2 3 3 4 7" xfId="15440"/>
    <cellStyle name="Обычный 2 2 3 3 4 8" xfId="15441"/>
    <cellStyle name="Обычный 2 2 3 3 4 9" xfId="15442"/>
    <cellStyle name="Обычный 2 2 3 3 5" xfId="15443"/>
    <cellStyle name="Обычный 2 2 3 3 6" xfId="15444"/>
    <cellStyle name="Обычный 2 2 3 3 7" xfId="15445"/>
    <cellStyle name="Обычный 2 2 3 3 8" xfId="15446"/>
    <cellStyle name="Обычный 2 2 3 3 9" xfId="15447"/>
    <cellStyle name="Обычный 2 2 3 4" xfId="3379"/>
    <cellStyle name="Обычный 2 2 3 4 10" xfId="15448"/>
    <cellStyle name="Обычный 2 2 3 4 11" xfId="15449"/>
    <cellStyle name="Обычный 2 2 3 4 2" xfId="3380"/>
    <cellStyle name="Обычный 2 2 3 4 2 2" xfId="15450"/>
    <cellStyle name="Обычный 2 2 3 4 2 3" xfId="15451"/>
    <cellStyle name="Обычный 2 2 3 4 2 4" xfId="15452"/>
    <cellStyle name="Обычный 2 2 3 4 2 5" xfId="15453"/>
    <cellStyle name="Обычный 2 2 3 4 2 6" xfId="15454"/>
    <cellStyle name="Обычный 2 2 3 4 2 7" xfId="15455"/>
    <cellStyle name="Обычный 2 2 3 4 2 8" xfId="15456"/>
    <cellStyle name="Обычный 2 2 3 4 2 9" xfId="15457"/>
    <cellStyle name="Обычный 2 2 3 4 3" xfId="3381"/>
    <cellStyle name="Обычный 2 2 3 4 3 2" xfId="15458"/>
    <cellStyle name="Обычный 2 2 3 4 3 3" xfId="15459"/>
    <cellStyle name="Обычный 2 2 3 4 3 4" xfId="15460"/>
    <cellStyle name="Обычный 2 2 3 4 3 5" xfId="15461"/>
    <cellStyle name="Обычный 2 2 3 4 3 6" xfId="15462"/>
    <cellStyle name="Обычный 2 2 3 4 3 7" xfId="15463"/>
    <cellStyle name="Обычный 2 2 3 4 3 8" xfId="15464"/>
    <cellStyle name="Обычный 2 2 3 4 3 9" xfId="15465"/>
    <cellStyle name="Обычный 2 2 3 4 4" xfId="15466"/>
    <cellStyle name="Обычный 2 2 3 4 5" xfId="15467"/>
    <cellStyle name="Обычный 2 2 3 4 6" xfId="15468"/>
    <cellStyle name="Обычный 2 2 3 4 7" xfId="15469"/>
    <cellStyle name="Обычный 2 2 3 4 8" xfId="15470"/>
    <cellStyle name="Обычный 2 2 3 4 9" xfId="15471"/>
    <cellStyle name="Обычный 2 2 3 5" xfId="3382"/>
    <cellStyle name="Обычный 2 2 3 5 2" xfId="15472"/>
    <cellStyle name="Обычный 2 2 3 5 3" xfId="15473"/>
    <cellStyle name="Обычный 2 2 3 5 4" xfId="15474"/>
    <cellStyle name="Обычный 2 2 3 5 5" xfId="15475"/>
    <cellStyle name="Обычный 2 2 3 5 6" xfId="15476"/>
    <cellStyle name="Обычный 2 2 3 5 7" xfId="15477"/>
    <cellStyle name="Обычный 2 2 3 5 8" xfId="15478"/>
    <cellStyle name="Обычный 2 2 3 5 9" xfId="15479"/>
    <cellStyle name="Обычный 2 2 3 6" xfId="15480"/>
    <cellStyle name="Обычный 2 2 3 7" xfId="15481"/>
    <cellStyle name="Обычный 2 2 3 8" xfId="15482"/>
    <cellStyle name="Обычный 2 2 3 9" xfId="15483"/>
    <cellStyle name="Обычный 2 2 30" xfId="3383"/>
    <cellStyle name="Обычный 2 2 30 2" xfId="3384"/>
    <cellStyle name="Обычный 2 2 30 3" xfId="3385"/>
    <cellStyle name="Обычный 2 2 30 4" xfId="15484"/>
    <cellStyle name="Обычный 2 2 30 5" xfId="15485"/>
    <cellStyle name="Обычный 2 2 30 6" xfId="15486"/>
    <cellStyle name="Обычный 2 2 30 7" xfId="15487"/>
    <cellStyle name="Обычный 2 2 31" xfId="3386"/>
    <cellStyle name="Обычный 2 2 31 2" xfId="15488"/>
    <cellStyle name="Обычный 2 2 31 3" xfId="15489"/>
    <cellStyle name="Обычный 2 2 31 4" xfId="15490"/>
    <cellStyle name="Обычный 2 2 31 5" xfId="15491"/>
    <cellStyle name="Обычный 2 2 32" xfId="3387"/>
    <cellStyle name="Обычный 2 2 33" xfId="15492"/>
    <cellStyle name="Обычный 2 2 34" xfId="15493"/>
    <cellStyle name="Обычный 2 2 34 2" xfId="15494"/>
    <cellStyle name="Обычный 2 2 34 2 2" xfId="15495"/>
    <cellStyle name="Обычный 2 2 34 2 2 2" xfId="15496"/>
    <cellStyle name="Обычный 2 2 34 2 2 2 2" xfId="15497"/>
    <cellStyle name="Обычный 2 2 34 2 3" xfId="15498"/>
    <cellStyle name="Обычный 2 2 34 3" xfId="15499"/>
    <cellStyle name="Обычный 2 2 34 3 2" xfId="15500"/>
    <cellStyle name="Обычный 2 2 35" xfId="15501"/>
    <cellStyle name="Обычный 2 2 35 2" xfId="15502"/>
    <cellStyle name="Обычный 2 2 35 2 2" xfId="15503"/>
    <cellStyle name="Обычный 2 2 36" xfId="15504"/>
    <cellStyle name="Обычный 2 2 4" xfId="3388"/>
    <cellStyle name="Обычный 2 2 4 10" xfId="15505"/>
    <cellStyle name="Обычный 2 2 4 11" xfId="15506"/>
    <cellStyle name="Обычный 2 2 4 12" xfId="15507"/>
    <cellStyle name="Обычный 2 2 4 2" xfId="3389"/>
    <cellStyle name="Обычный 2 2 4 2 10" xfId="15508"/>
    <cellStyle name="Обычный 2 2 4 2 11" xfId="15509"/>
    <cellStyle name="Обычный 2 2 4 2 12" xfId="15510"/>
    <cellStyle name="Обычный 2 2 4 2 2" xfId="3390"/>
    <cellStyle name="Обычный 2 2 4 2 2 2" xfId="15511"/>
    <cellStyle name="Обычный 2 2 4 2 2 3" xfId="15512"/>
    <cellStyle name="Обычный 2 2 4 2 2 4" xfId="15513"/>
    <cellStyle name="Обычный 2 2 4 2 2 5" xfId="15514"/>
    <cellStyle name="Обычный 2 2 4 2 2 6" xfId="15515"/>
    <cellStyle name="Обычный 2 2 4 2 2 7" xfId="15516"/>
    <cellStyle name="Обычный 2 2 4 2 2 8" xfId="15517"/>
    <cellStyle name="Обычный 2 2 4 2 2 9" xfId="15518"/>
    <cellStyle name="Обычный 2 2 4 2 3" xfId="3391"/>
    <cellStyle name="Обычный 2 2 4 2 3 2" xfId="15519"/>
    <cellStyle name="Обычный 2 2 4 2 3 3" xfId="15520"/>
    <cellStyle name="Обычный 2 2 4 2 3 4" xfId="15521"/>
    <cellStyle name="Обычный 2 2 4 2 3 5" xfId="15522"/>
    <cellStyle name="Обычный 2 2 4 2 3 6" xfId="15523"/>
    <cellStyle name="Обычный 2 2 4 2 3 7" xfId="15524"/>
    <cellStyle name="Обычный 2 2 4 2 3 8" xfId="15525"/>
    <cellStyle name="Обычный 2 2 4 2 3 9" xfId="15526"/>
    <cellStyle name="Обычный 2 2 4 2 4" xfId="3392"/>
    <cellStyle name="Обычный 2 2 4 2 4 2" xfId="15527"/>
    <cellStyle name="Обычный 2 2 4 2 4 3" xfId="15528"/>
    <cellStyle name="Обычный 2 2 4 2 4 4" xfId="15529"/>
    <cellStyle name="Обычный 2 2 4 2 4 5" xfId="15530"/>
    <cellStyle name="Обычный 2 2 4 2 4 6" xfId="15531"/>
    <cellStyle name="Обычный 2 2 4 2 4 7" xfId="15532"/>
    <cellStyle name="Обычный 2 2 4 2 4 8" xfId="15533"/>
    <cellStyle name="Обычный 2 2 4 2 4 9" xfId="15534"/>
    <cellStyle name="Обычный 2 2 4 2 5" xfId="15535"/>
    <cellStyle name="Обычный 2 2 4 2 6" xfId="15536"/>
    <cellStyle name="Обычный 2 2 4 2 7" xfId="15537"/>
    <cellStyle name="Обычный 2 2 4 2 8" xfId="15538"/>
    <cellStyle name="Обычный 2 2 4 2 9" xfId="15539"/>
    <cellStyle name="Обычный 2 2 4 3" xfId="3393"/>
    <cellStyle name="Обычный 2 2 4 3 10" xfId="15540"/>
    <cellStyle name="Обычный 2 2 4 3 11" xfId="15541"/>
    <cellStyle name="Обычный 2 2 4 3 2" xfId="3394"/>
    <cellStyle name="Обычный 2 2 4 3 2 2" xfId="15542"/>
    <cellStyle name="Обычный 2 2 4 3 2 3" xfId="15543"/>
    <cellStyle name="Обычный 2 2 4 3 2 4" xfId="15544"/>
    <cellStyle name="Обычный 2 2 4 3 2 5" xfId="15545"/>
    <cellStyle name="Обычный 2 2 4 3 2 6" xfId="15546"/>
    <cellStyle name="Обычный 2 2 4 3 2 7" xfId="15547"/>
    <cellStyle name="Обычный 2 2 4 3 2 8" xfId="15548"/>
    <cellStyle name="Обычный 2 2 4 3 2 9" xfId="15549"/>
    <cellStyle name="Обычный 2 2 4 3 3" xfId="3395"/>
    <cellStyle name="Обычный 2 2 4 3 3 2" xfId="15550"/>
    <cellStyle name="Обычный 2 2 4 3 3 3" xfId="15551"/>
    <cellStyle name="Обычный 2 2 4 3 3 4" xfId="15552"/>
    <cellStyle name="Обычный 2 2 4 3 3 5" xfId="15553"/>
    <cellStyle name="Обычный 2 2 4 3 3 6" xfId="15554"/>
    <cellStyle name="Обычный 2 2 4 3 3 7" xfId="15555"/>
    <cellStyle name="Обычный 2 2 4 3 3 8" xfId="15556"/>
    <cellStyle name="Обычный 2 2 4 3 3 9" xfId="15557"/>
    <cellStyle name="Обычный 2 2 4 3 4" xfId="15558"/>
    <cellStyle name="Обычный 2 2 4 3 5" xfId="15559"/>
    <cellStyle name="Обычный 2 2 4 3 6" xfId="15560"/>
    <cellStyle name="Обычный 2 2 4 3 7" xfId="15561"/>
    <cellStyle name="Обычный 2 2 4 3 8" xfId="15562"/>
    <cellStyle name="Обычный 2 2 4 3 9" xfId="15563"/>
    <cellStyle name="Обычный 2 2 4 4" xfId="3396"/>
    <cellStyle name="Обычный 2 2 4 4 2" xfId="15564"/>
    <cellStyle name="Обычный 2 2 4 4 3" xfId="15565"/>
    <cellStyle name="Обычный 2 2 4 4 4" xfId="15566"/>
    <cellStyle name="Обычный 2 2 4 4 5" xfId="15567"/>
    <cellStyle name="Обычный 2 2 4 4 6" xfId="15568"/>
    <cellStyle name="Обычный 2 2 4 4 7" xfId="15569"/>
    <cellStyle name="Обычный 2 2 4 4 8" xfId="15570"/>
    <cellStyle name="Обычный 2 2 4 4 9" xfId="15571"/>
    <cellStyle name="Обычный 2 2 4 5" xfId="15572"/>
    <cellStyle name="Обычный 2 2 4 6" xfId="15573"/>
    <cellStyle name="Обычный 2 2 4 7" xfId="15574"/>
    <cellStyle name="Обычный 2 2 4 8" xfId="15575"/>
    <cellStyle name="Обычный 2 2 4 9" xfId="15576"/>
    <cellStyle name="Обычный 2 2 5" xfId="3397"/>
    <cellStyle name="Обычный 2 2 5 10" xfId="15577"/>
    <cellStyle name="Обычный 2 2 5 11" xfId="15578"/>
    <cellStyle name="Обычный 2 2 5 12" xfId="15579"/>
    <cellStyle name="Обычный 2 2 5 2" xfId="3398"/>
    <cellStyle name="Обычный 2 2 5 2 10" xfId="15580"/>
    <cellStyle name="Обычный 2 2 5 2 11" xfId="15581"/>
    <cellStyle name="Обычный 2 2 5 2 12" xfId="15582"/>
    <cellStyle name="Обычный 2 2 5 2 2" xfId="3399"/>
    <cellStyle name="Обычный 2 2 5 2 2 2" xfId="15583"/>
    <cellStyle name="Обычный 2 2 5 2 2 3" xfId="15584"/>
    <cellStyle name="Обычный 2 2 5 2 2 4" xfId="15585"/>
    <cellStyle name="Обычный 2 2 5 2 2 5" xfId="15586"/>
    <cellStyle name="Обычный 2 2 5 2 2 6" xfId="15587"/>
    <cellStyle name="Обычный 2 2 5 2 2 7" xfId="15588"/>
    <cellStyle name="Обычный 2 2 5 2 2 8" xfId="15589"/>
    <cellStyle name="Обычный 2 2 5 2 2 9" xfId="15590"/>
    <cellStyle name="Обычный 2 2 5 2 3" xfId="3400"/>
    <cellStyle name="Обычный 2 2 5 2 3 2" xfId="15591"/>
    <cellStyle name="Обычный 2 2 5 2 3 3" xfId="15592"/>
    <cellStyle name="Обычный 2 2 5 2 3 4" xfId="15593"/>
    <cellStyle name="Обычный 2 2 5 2 3 5" xfId="15594"/>
    <cellStyle name="Обычный 2 2 5 2 3 6" xfId="15595"/>
    <cellStyle name="Обычный 2 2 5 2 3 7" xfId="15596"/>
    <cellStyle name="Обычный 2 2 5 2 3 8" xfId="15597"/>
    <cellStyle name="Обычный 2 2 5 2 3 9" xfId="15598"/>
    <cellStyle name="Обычный 2 2 5 2 4" xfId="3401"/>
    <cellStyle name="Обычный 2 2 5 2 4 2" xfId="15599"/>
    <cellStyle name="Обычный 2 2 5 2 4 3" xfId="15600"/>
    <cellStyle name="Обычный 2 2 5 2 4 4" xfId="15601"/>
    <cellStyle name="Обычный 2 2 5 2 4 5" xfId="15602"/>
    <cellStyle name="Обычный 2 2 5 2 4 6" xfId="15603"/>
    <cellStyle name="Обычный 2 2 5 2 4 7" xfId="15604"/>
    <cellStyle name="Обычный 2 2 5 2 4 8" xfId="15605"/>
    <cellStyle name="Обычный 2 2 5 2 4 9" xfId="15606"/>
    <cellStyle name="Обычный 2 2 5 2 5" xfId="15607"/>
    <cellStyle name="Обычный 2 2 5 2 6" xfId="15608"/>
    <cellStyle name="Обычный 2 2 5 2 7" xfId="15609"/>
    <cellStyle name="Обычный 2 2 5 2 8" xfId="15610"/>
    <cellStyle name="Обычный 2 2 5 2 9" xfId="15611"/>
    <cellStyle name="Обычный 2 2 5 3" xfId="3402"/>
    <cellStyle name="Обычный 2 2 5 3 10" xfId="15612"/>
    <cellStyle name="Обычный 2 2 5 3 11" xfId="15613"/>
    <cellStyle name="Обычный 2 2 5 3 2" xfId="3403"/>
    <cellStyle name="Обычный 2 2 5 3 2 2" xfId="15614"/>
    <cellStyle name="Обычный 2 2 5 3 2 3" xfId="15615"/>
    <cellStyle name="Обычный 2 2 5 3 2 4" xfId="15616"/>
    <cellStyle name="Обычный 2 2 5 3 2 5" xfId="15617"/>
    <cellStyle name="Обычный 2 2 5 3 2 6" xfId="15618"/>
    <cellStyle name="Обычный 2 2 5 3 2 7" xfId="15619"/>
    <cellStyle name="Обычный 2 2 5 3 2 8" xfId="15620"/>
    <cellStyle name="Обычный 2 2 5 3 2 9" xfId="15621"/>
    <cellStyle name="Обычный 2 2 5 3 3" xfId="3404"/>
    <cellStyle name="Обычный 2 2 5 3 3 2" xfId="15622"/>
    <cellStyle name="Обычный 2 2 5 3 3 3" xfId="15623"/>
    <cellStyle name="Обычный 2 2 5 3 3 4" xfId="15624"/>
    <cellStyle name="Обычный 2 2 5 3 3 5" xfId="15625"/>
    <cellStyle name="Обычный 2 2 5 3 3 6" xfId="15626"/>
    <cellStyle name="Обычный 2 2 5 3 3 7" xfId="15627"/>
    <cellStyle name="Обычный 2 2 5 3 3 8" xfId="15628"/>
    <cellStyle name="Обычный 2 2 5 3 3 9" xfId="15629"/>
    <cellStyle name="Обычный 2 2 5 3 4" xfId="15630"/>
    <cellStyle name="Обычный 2 2 5 3 5" xfId="15631"/>
    <cellStyle name="Обычный 2 2 5 3 6" xfId="15632"/>
    <cellStyle name="Обычный 2 2 5 3 7" xfId="15633"/>
    <cellStyle name="Обычный 2 2 5 3 8" xfId="15634"/>
    <cellStyle name="Обычный 2 2 5 3 9" xfId="15635"/>
    <cellStyle name="Обычный 2 2 5 4" xfId="3405"/>
    <cellStyle name="Обычный 2 2 5 4 2" xfId="15636"/>
    <cellStyle name="Обычный 2 2 5 4 3" xfId="15637"/>
    <cellStyle name="Обычный 2 2 5 4 4" xfId="15638"/>
    <cellStyle name="Обычный 2 2 5 4 5" xfId="15639"/>
    <cellStyle name="Обычный 2 2 5 4 6" xfId="15640"/>
    <cellStyle name="Обычный 2 2 5 4 7" xfId="15641"/>
    <cellStyle name="Обычный 2 2 5 4 8" xfId="15642"/>
    <cellStyle name="Обычный 2 2 5 4 9" xfId="15643"/>
    <cellStyle name="Обычный 2 2 5 5" xfId="15644"/>
    <cellStyle name="Обычный 2 2 5 6" xfId="15645"/>
    <cellStyle name="Обычный 2 2 5 7" xfId="15646"/>
    <cellStyle name="Обычный 2 2 5 8" xfId="15647"/>
    <cellStyle name="Обычный 2 2 5 9" xfId="15648"/>
    <cellStyle name="Обычный 2 2 6" xfId="3406"/>
    <cellStyle name="Обычный 2 2 6 10" xfId="15649"/>
    <cellStyle name="Обычный 2 2 6 11" xfId="15650"/>
    <cellStyle name="Обычный 2 2 6 12" xfId="15651"/>
    <cellStyle name="Обычный 2 2 6 2" xfId="3407"/>
    <cellStyle name="Обычный 2 2 6 2 10" xfId="15652"/>
    <cellStyle name="Обычный 2 2 6 2 11" xfId="15653"/>
    <cellStyle name="Обычный 2 2 6 2 12" xfId="15654"/>
    <cellStyle name="Обычный 2 2 6 2 2" xfId="3408"/>
    <cellStyle name="Обычный 2 2 6 2 2 2" xfId="15655"/>
    <cellStyle name="Обычный 2 2 6 2 2 3" xfId="15656"/>
    <cellStyle name="Обычный 2 2 6 2 2 4" xfId="15657"/>
    <cellStyle name="Обычный 2 2 6 2 2 5" xfId="15658"/>
    <cellStyle name="Обычный 2 2 6 2 2 6" xfId="15659"/>
    <cellStyle name="Обычный 2 2 6 2 2 7" xfId="15660"/>
    <cellStyle name="Обычный 2 2 6 2 2 8" xfId="15661"/>
    <cellStyle name="Обычный 2 2 6 2 2 9" xfId="15662"/>
    <cellStyle name="Обычный 2 2 6 2 3" xfId="3409"/>
    <cellStyle name="Обычный 2 2 6 2 3 2" xfId="15663"/>
    <cellStyle name="Обычный 2 2 6 2 3 3" xfId="15664"/>
    <cellStyle name="Обычный 2 2 6 2 3 4" xfId="15665"/>
    <cellStyle name="Обычный 2 2 6 2 3 5" xfId="15666"/>
    <cellStyle name="Обычный 2 2 6 2 3 6" xfId="15667"/>
    <cellStyle name="Обычный 2 2 6 2 3 7" xfId="15668"/>
    <cellStyle name="Обычный 2 2 6 2 3 8" xfId="15669"/>
    <cellStyle name="Обычный 2 2 6 2 3 9" xfId="15670"/>
    <cellStyle name="Обычный 2 2 6 2 4" xfId="3410"/>
    <cellStyle name="Обычный 2 2 6 2 4 2" xfId="15671"/>
    <cellStyle name="Обычный 2 2 6 2 4 3" xfId="15672"/>
    <cellStyle name="Обычный 2 2 6 2 4 4" xfId="15673"/>
    <cellStyle name="Обычный 2 2 6 2 4 5" xfId="15674"/>
    <cellStyle name="Обычный 2 2 6 2 4 6" xfId="15675"/>
    <cellStyle name="Обычный 2 2 6 2 4 7" xfId="15676"/>
    <cellStyle name="Обычный 2 2 6 2 4 8" xfId="15677"/>
    <cellStyle name="Обычный 2 2 6 2 4 9" xfId="15678"/>
    <cellStyle name="Обычный 2 2 6 2 5" xfId="15679"/>
    <cellStyle name="Обычный 2 2 6 2 6" xfId="15680"/>
    <cellStyle name="Обычный 2 2 6 2 7" xfId="15681"/>
    <cellStyle name="Обычный 2 2 6 2 8" xfId="15682"/>
    <cellStyle name="Обычный 2 2 6 2 9" xfId="15683"/>
    <cellStyle name="Обычный 2 2 6 3" xfId="3411"/>
    <cellStyle name="Обычный 2 2 6 3 10" xfId="15684"/>
    <cellStyle name="Обычный 2 2 6 3 11" xfId="15685"/>
    <cellStyle name="Обычный 2 2 6 3 2" xfId="3412"/>
    <cellStyle name="Обычный 2 2 6 3 2 2" xfId="15686"/>
    <cellStyle name="Обычный 2 2 6 3 2 3" xfId="15687"/>
    <cellStyle name="Обычный 2 2 6 3 2 4" xfId="15688"/>
    <cellStyle name="Обычный 2 2 6 3 2 5" xfId="15689"/>
    <cellStyle name="Обычный 2 2 6 3 2 6" xfId="15690"/>
    <cellStyle name="Обычный 2 2 6 3 2 7" xfId="15691"/>
    <cellStyle name="Обычный 2 2 6 3 2 8" xfId="15692"/>
    <cellStyle name="Обычный 2 2 6 3 2 9" xfId="15693"/>
    <cellStyle name="Обычный 2 2 6 3 3" xfId="3413"/>
    <cellStyle name="Обычный 2 2 6 3 3 2" xfId="15694"/>
    <cellStyle name="Обычный 2 2 6 3 3 3" xfId="15695"/>
    <cellStyle name="Обычный 2 2 6 3 3 4" xfId="15696"/>
    <cellStyle name="Обычный 2 2 6 3 3 5" xfId="15697"/>
    <cellStyle name="Обычный 2 2 6 3 3 6" xfId="15698"/>
    <cellStyle name="Обычный 2 2 6 3 3 7" xfId="15699"/>
    <cellStyle name="Обычный 2 2 6 3 3 8" xfId="15700"/>
    <cellStyle name="Обычный 2 2 6 3 3 9" xfId="15701"/>
    <cellStyle name="Обычный 2 2 6 3 4" xfId="15702"/>
    <cellStyle name="Обычный 2 2 6 3 5" xfId="15703"/>
    <cellStyle name="Обычный 2 2 6 3 6" xfId="15704"/>
    <cellStyle name="Обычный 2 2 6 3 7" xfId="15705"/>
    <cellStyle name="Обычный 2 2 6 3 8" xfId="15706"/>
    <cellStyle name="Обычный 2 2 6 3 9" xfId="15707"/>
    <cellStyle name="Обычный 2 2 6 4" xfId="3414"/>
    <cellStyle name="Обычный 2 2 6 4 2" xfId="15708"/>
    <cellStyle name="Обычный 2 2 6 4 3" xfId="15709"/>
    <cellStyle name="Обычный 2 2 6 4 4" xfId="15710"/>
    <cellStyle name="Обычный 2 2 6 4 5" xfId="15711"/>
    <cellStyle name="Обычный 2 2 6 4 6" xfId="15712"/>
    <cellStyle name="Обычный 2 2 6 4 7" xfId="15713"/>
    <cellStyle name="Обычный 2 2 6 4 8" xfId="15714"/>
    <cellStyle name="Обычный 2 2 6 4 9" xfId="15715"/>
    <cellStyle name="Обычный 2 2 6 5" xfId="15716"/>
    <cellStyle name="Обычный 2 2 6 6" xfId="15717"/>
    <cellStyle name="Обычный 2 2 6 7" xfId="15718"/>
    <cellStyle name="Обычный 2 2 6 8" xfId="15719"/>
    <cellStyle name="Обычный 2 2 6 9" xfId="15720"/>
    <cellStyle name="Обычный 2 2 7" xfId="3415"/>
    <cellStyle name="Обычный 2 2 7 10" xfId="15721"/>
    <cellStyle name="Обычный 2 2 7 11" xfId="15722"/>
    <cellStyle name="Обычный 2 2 7 12" xfId="15723"/>
    <cellStyle name="Обычный 2 2 7 2" xfId="3416"/>
    <cellStyle name="Обычный 2 2 7 2 10" xfId="15724"/>
    <cellStyle name="Обычный 2 2 7 2 11" xfId="15725"/>
    <cellStyle name="Обычный 2 2 7 2 12" xfId="15726"/>
    <cellStyle name="Обычный 2 2 7 2 2" xfId="3417"/>
    <cellStyle name="Обычный 2 2 7 2 2 2" xfId="15727"/>
    <cellStyle name="Обычный 2 2 7 2 2 3" xfId="15728"/>
    <cellStyle name="Обычный 2 2 7 2 2 4" xfId="15729"/>
    <cellStyle name="Обычный 2 2 7 2 2 5" xfId="15730"/>
    <cellStyle name="Обычный 2 2 7 2 2 6" xfId="15731"/>
    <cellStyle name="Обычный 2 2 7 2 2 7" xfId="15732"/>
    <cellStyle name="Обычный 2 2 7 2 2 8" xfId="15733"/>
    <cellStyle name="Обычный 2 2 7 2 2 9" xfId="15734"/>
    <cellStyle name="Обычный 2 2 7 2 3" xfId="3418"/>
    <cellStyle name="Обычный 2 2 7 2 3 2" xfId="15735"/>
    <cellStyle name="Обычный 2 2 7 2 3 3" xfId="15736"/>
    <cellStyle name="Обычный 2 2 7 2 3 4" xfId="15737"/>
    <cellStyle name="Обычный 2 2 7 2 3 5" xfId="15738"/>
    <cellStyle name="Обычный 2 2 7 2 3 6" xfId="15739"/>
    <cellStyle name="Обычный 2 2 7 2 3 7" xfId="15740"/>
    <cellStyle name="Обычный 2 2 7 2 3 8" xfId="15741"/>
    <cellStyle name="Обычный 2 2 7 2 3 9" xfId="15742"/>
    <cellStyle name="Обычный 2 2 7 2 4" xfId="3419"/>
    <cellStyle name="Обычный 2 2 7 2 4 2" xfId="15743"/>
    <cellStyle name="Обычный 2 2 7 2 4 3" xfId="15744"/>
    <cellStyle name="Обычный 2 2 7 2 4 4" xfId="15745"/>
    <cellStyle name="Обычный 2 2 7 2 4 5" xfId="15746"/>
    <cellStyle name="Обычный 2 2 7 2 4 6" xfId="15747"/>
    <cellStyle name="Обычный 2 2 7 2 4 7" xfId="15748"/>
    <cellStyle name="Обычный 2 2 7 2 4 8" xfId="15749"/>
    <cellStyle name="Обычный 2 2 7 2 4 9" xfId="15750"/>
    <cellStyle name="Обычный 2 2 7 2 5" xfId="15751"/>
    <cellStyle name="Обычный 2 2 7 2 6" xfId="15752"/>
    <cellStyle name="Обычный 2 2 7 2 7" xfId="15753"/>
    <cellStyle name="Обычный 2 2 7 2 8" xfId="15754"/>
    <cellStyle name="Обычный 2 2 7 2 9" xfId="15755"/>
    <cellStyle name="Обычный 2 2 7 3" xfId="3420"/>
    <cellStyle name="Обычный 2 2 7 3 10" xfId="15756"/>
    <cellStyle name="Обычный 2 2 7 3 11" xfId="15757"/>
    <cellStyle name="Обычный 2 2 7 3 2" xfId="3421"/>
    <cellStyle name="Обычный 2 2 7 3 2 2" xfId="15758"/>
    <cellStyle name="Обычный 2 2 7 3 2 3" xfId="15759"/>
    <cellStyle name="Обычный 2 2 7 3 2 4" xfId="15760"/>
    <cellStyle name="Обычный 2 2 7 3 2 5" xfId="15761"/>
    <cellStyle name="Обычный 2 2 7 3 2 6" xfId="15762"/>
    <cellStyle name="Обычный 2 2 7 3 2 7" xfId="15763"/>
    <cellStyle name="Обычный 2 2 7 3 2 8" xfId="15764"/>
    <cellStyle name="Обычный 2 2 7 3 2 9" xfId="15765"/>
    <cellStyle name="Обычный 2 2 7 3 3" xfId="3422"/>
    <cellStyle name="Обычный 2 2 7 3 3 2" xfId="15766"/>
    <cellStyle name="Обычный 2 2 7 3 3 3" xfId="15767"/>
    <cellStyle name="Обычный 2 2 7 3 3 4" xfId="15768"/>
    <cellStyle name="Обычный 2 2 7 3 3 5" xfId="15769"/>
    <cellStyle name="Обычный 2 2 7 3 3 6" xfId="15770"/>
    <cellStyle name="Обычный 2 2 7 3 3 7" xfId="15771"/>
    <cellStyle name="Обычный 2 2 7 3 3 8" xfId="15772"/>
    <cellStyle name="Обычный 2 2 7 3 3 9" xfId="15773"/>
    <cellStyle name="Обычный 2 2 7 3 4" xfId="15774"/>
    <cellStyle name="Обычный 2 2 7 3 5" xfId="15775"/>
    <cellStyle name="Обычный 2 2 7 3 6" xfId="15776"/>
    <cellStyle name="Обычный 2 2 7 3 7" xfId="15777"/>
    <cellStyle name="Обычный 2 2 7 3 8" xfId="15778"/>
    <cellStyle name="Обычный 2 2 7 3 9" xfId="15779"/>
    <cellStyle name="Обычный 2 2 7 4" xfId="3423"/>
    <cellStyle name="Обычный 2 2 7 4 2" xfId="15780"/>
    <cellStyle name="Обычный 2 2 7 4 3" xfId="15781"/>
    <cellStyle name="Обычный 2 2 7 4 4" xfId="15782"/>
    <cellStyle name="Обычный 2 2 7 4 5" xfId="15783"/>
    <cellStyle name="Обычный 2 2 7 4 6" xfId="15784"/>
    <cellStyle name="Обычный 2 2 7 4 7" xfId="15785"/>
    <cellStyle name="Обычный 2 2 7 4 8" xfId="15786"/>
    <cellStyle name="Обычный 2 2 7 4 9" xfId="15787"/>
    <cellStyle name="Обычный 2 2 7 5" xfId="15788"/>
    <cellStyle name="Обычный 2 2 7 6" xfId="15789"/>
    <cellStyle name="Обычный 2 2 7 7" xfId="15790"/>
    <cellStyle name="Обычный 2 2 7 8" xfId="15791"/>
    <cellStyle name="Обычный 2 2 7 9" xfId="15792"/>
    <cellStyle name="Обычный 2 2 8" xfId="3424"/>
    <cellStyle name="Обычный 2 2 8 10" xfId="15793"/>
    <cellStyle name="Обычный 2 2 8 11" xfId="15794"/>
    <cellStyle name="Обычный 2 2 8 12" xfId="15795"/>
    <cellStyle name="Обычный 2 2 8 2" xfId="3425"/>
    <cellStyle name="Обычный 2 2 8 2 10" xfId="15796"/>
    <cellStyle name="Обычный 2 2 8 2 11" xfId="15797"/>
    <cellStyle name="Обычный 2 2 8 2 12" xfId="15798"/>
    <cellStyle name="Обычный 2 2 8 2 2" xfId="3426"/>
    <cellStyle name="Обычный 2 2 8 2 2 2" xfId="15799"/>
    <cellStyle name="Обычный 2 2 8 2 2 3" xfId="15800"/>
    <cellStyle name="Обычный 2 2 8 2 2 4" xfId="15801"/>
    <cellStyle name="Обычный 2 2 8 2 2 5" xfId="15802"/>
    <cellStyle name="Обычный 2 2 8 2 2 6" xfId="15803"/>
    <cellStyle name="Обычный 2 2 8 2 2 7" xfId="15804"/>
    <cellStyle name="Обычный 2 2 8 2 2 8" xfId="15805"/>
    <cellStyle name="Обычный 2 2 8 2 2 9" xfId="15806"/>
    <cellStyle name="Обычный 2 2 8 2 3" xfId="3427"/>
    <cellStyle name="Обычный 2 2 8 2 3 2" xfId="15807"/>
    <cellStyle name="Обычный 2 2 8 2 3 3" xfId="15808"/>
    <cellStyle name="Обычный 2 2 8 2 3 4" xfId="15809"/>
    <cellStyle name="Обычный 2 2 8 2 3 5" xfId="15810"/>
    <cellStyle name="Обычный 2 2 8 2 3 6" xfId="15811"/>
    <cellStyle name="Обычный 2 2 8 2 3 7" xfId="15812"/>
    <cellStyle name="Обычный 2 2 8 2 3 8" xfId="15813"/>
    <cellStyle name="Обычный 2 2 8 2 3 9" xfId="15814"/>
    <cellStyle name="Обычный 2 2 8 2 4" xfId="3428"/>
    <cellStyle name="Обычный 2 2 8 2 4 2" xfId="15815"/>
    <cellStyle name="Обычный 2 2 8 2 4 3" xfId="15816"/>
    <cellStyle name="Обычный 2 2 8 2 4 4" xfId="15817"/>
    <cellStyle name="Обычный 2 2 8 2 4 5" xfId="15818"/>
    <cellStyle name="Обычный 2 2 8 2 4 6" xfId="15819"/>
    <cellStyle name="Обычный 2 2 8 2 4 7" xfId="15820"/>
    <cellStyle name="Обычный 2 2 8 2 4 8" xfId="15821"/>
    <cellStyle name="Обычный 2 2 8 2 4 9" xfId="15822"/>
    <cellStyle name="Обычный 2 2 8 2 5" xfId="15823"/>
    <cellStyle name="Обычный 2 2 8 2 6" xfId="15824"/>
    <cellStyle name="Обычный 2 2 8 2 7" xfId="15825"/>
    <cellStyle name="Обычный 2 2 8 2 8" xfId="15826"/>
    <cellStyle name="Обычный 2 2 8 2 9" xfId="15827"/>
    <cellStyle name="Обычный 2 2 8 3" xfId="3429"/>
    <cellStyle name="Обычный 2 2 8 3 10" xfId="15828"/>
    <cellStyle name="Обычный 2 2 8 3 11" xfId="15829"/>
    <cellStyle name="Обычный 2 2 8 3 2" xfId="3430"/>
    <cellStyle name="Обычный 2 2 8 3 2 2" xfId="15830"/>
    <cellStyle name="Обычный 2 2 8 3 2 3" xfId="15831"/>
    <cellStyle name="Обычный 2 2 8 3 2 4" xfId="15832"/>
    <cellStyle name="Обычный 2 2 8 3 2 5" xfId="15833"/>
    <cellStyle name="Обычный 2 2 8 3 2 6" xfId="15834"/>
    <cellStyle name="Обычный 2 2 8 3 2 7" xfId="15835"/>
    <cellStyle name="Обычный 2 2 8 3 2 8" xfId="15836"/>
    <cellStyle name="Обычный 2 2 8 3 2 9" xfId="15837"/>
    <cellStyle name="Обычный 2 2 8 3 3" xfId="3431"/>
    <cellStyle name="Обычный 2 2 8 3 3 2" xfId="15838"/>
    <cellStyle name="Обычный 2 2 8 3 3 3" xfId="15839"/>
    <cellStyle name="Обычный 2 2 8 3 3 4" xfId="15840"/>
    <cellStyle name="Обычный 2 2 8 3 3 5" xfId="15841"/>
    <cellStyle name="Обычный 2 2 8 3 3 6" xfId="15842"/>
    <cellStyle name="Обычный 2 2 8 3 3 7" xfId="15843"/>
    <cellStyle name="Обычный 2 2 8 3 3 8" xfId="15844"/>
    <cellStyle name="Обычный 2 2 8 3 3 9" xfId="15845"/>
    <cellStyle name="Обычный 2 2 8 3 4" xfId="15846"/>
    <cellStyle name="Обычный 2 2 8 3 5" xfId="15847"/>
    <cellStyle name="Обычный 2 2 8 3 6" xfId="15848"/>
    <cellStyle name="Обычный 2 2 8 3 7" xfId="15849"/>
    <cellStyle name="Обычный 2 2 8 3 8" xfId="15850"/>
    <cellStyle name="Обычный 2 2 8 3 9" xfId="15851"/>
    <cellStyle name="Обычный 2 2 8 4" xfId="3432"/>
    <cellStyle name="Обычный 2 2 8 4 2" xfId="15852"/>
    <cellStyle name="Обычный 2 2 8 4 3" xfId="15853"/>
    <cellStyle name="Обычный 2 2 8 4 4" xfId="15854"/>
    <cellStyle name="Обычный 2 2 8 4 5" xfId="15855"/>
    <cellStyle name="Обычный 2 2 8 4 6" xfId="15856"/>
    <cellStyle name="Обычный 2 2 8 4 7" xfId="15857"/>
    <cellStyle name="Обычный 2 2 8 4 8" xfId="15858"/>
    <cellStyle name="Обычный 2 2 8 4 9" xfId="15859"/>
    <cellStyle name="Обычный 2 2 8 5" xfId="15860"/>
    <cellStyle name="Обычный 2 2 8 6" xfId="15861"/>
    <cellStyle name="Обычный 2 2 8 7" xfId="15862"/>
    <cellStyle name="Обычный 2 2 8 8" xfId="15863"/>
    <cellStyle name="Обычный 2 2 8 9" xfId="15864"/>
    <cellStyle name="Обычный 2 2 9" xfId="3433"/>
    <cellStyle name="Обычный 2 2 9 10" xfId="15865"/>
    <cellStyle name="Обычный 2 2 9 11" xfId="15866"/>
    <cellStyle name="Обычный 2 2 9 12" xfId="15867"/>
    <cellStyle name="Обычный 2 2 9 2" xfId="3434"/>
    <cellStyle name="Обычный 2 2 9 2 10" xfId="15868"/>
    <cellStyle name="Обычный 2 2 9 2 11" xfId="15869"/>
    <cellStyle name="Обычный 2 2 9 2 12" xfId="15870"/>
    <cellStyle name="Обычный 2 2 9 2 2" xfId="3435"/>
    <cellStyle name="Обычный 2 2 9 2 2 2" xfId="15871"/>
    <cellStyle name="Обычный 2 2 9 2 2 3" xfId="15872"/>
    <cellStyle name="Обычный 2 2 9 2 2 4" xfId="15873"/>
    <cellStyle name="Обычный 2 2 9 2 2 5" xfId="15874"/>
    <cellStyle name="Обычный 2 2 9 2 2 6" xfId="15875"/>
    <cellStyle name="Обычный 2 2 9 2 2 7" xfId="15876"/>
    <cellStyle name="Обычный 2 2 9 2 2 8" xfId="15877"/>
    <cellStyle name="Обычный 2 2 9 2 2 9" xfId="15878"/>
    <cellStyle name="Обычный 2 2 9 2 3" xfId="3436"/>
    <cellStyle name="Обычный 2 2 9 2 3 2" xfId="15879"/>
    <cellStyle name="Обычный 2 2 9 2 3 3" xfId="15880"/>
    <cellStyle name="Обычный 2 2 9 2 3 4" xfId="15881"/>
    <cellStyle name="Обычный 2 2 9 2 3 5" xfId="15882"/>
    <cellStyle name="Обычный 2 2 9 2 3 6" xfId="15883"/>
    <cellStyle name="Обычный 2 2 9 2 3 7" xfId="15884"/>
    <cellStyle name="Обычный 2 2 9 2 3 8" xfId="15885"/>
    <cellStyle name="Обычный 2 2 9 2 3 9" xfId="15886"/>
    <cellStyle name="Обычный 2 2 9 2 4" xfId="3437"/>
    <cellStyle name="Обычный 2 2 9 2 4 2" xfId="15887"/>
    <cellStyle name="Обычный 2 2 9 2 4 3" xfId="15888"/>
    <cellStyle name="Обычный 2 2 9 2 4 4" xfId="15889"/>
    <cellStyle name="Обычный 2 2 9 2 4 5" xfId="15890"/>
    <cellStyle name="Обычный 2 2 9 2 4 6" xfId="15891"/>
    <cellStyle name="Обычный 2 2 9 2 4 7" xfId="15892"/>
    <cellStyle name="Обычный 2 2 9 2 4 8" xfId="15893"/>
    <cellStyle name="Обычный 2 2 9 2 4 9" xfId="15894"/>
    <cellStyle name="Обычный 2 2 9 2 5" xfId="15895"/>
    <cellStyle name="Обычный 2 2 9 2 6" xfId="15896"/>
    <cellStyle name="Обычный 2 2 9 2 7" xfId="15897"/>
    <cellStyle name="Обычный 2 2 9 2 8" xfId="15898"/>
    <cellStyle name="Обычный 2 2 9 2 9" xfId="15899"/>
    <cellStyle name="Обычный 2 2 9 3" xfId="3438"/>
    <cellStyle name="Обычный 2 2 9 3 10" xfId="15900"/>
    <cellStyle name="Обычный 2 2 9 3 11" xfId="15901"/>
    <cellStyle name="Обычный 2 2 9 3 2" xfId="3439"/>
    <cellStyle name="Обычный 2 2 9 3 2 2" xfId="15902"/>
    <cellStyle name="Обычный 2 2 9 3 2 3" xfId="15903"/>
    <cellStyle name="Обычный 2 2 9 3 2 4" xfId="15904"/>
    <cellStyle name="Обычный 2 2 9 3 2 5" xfId="15905"/>
    <cellStyle name="Обычный 2 2 9 3 2 6" xfId="15906"/>
    <cellStyle name="Обычный 2 2 9 3 2 7" xfId="15907"/>
    <cellStyle name="Обычный 2 2 9 3 2 8" xfId="15908"/>
    <cellStyle name="Обычный 2 2 9 3 2 9" xfId="15909"/>
    <cellStyle name="Обычный 2 2 9 3 3" xfId="3440"/>
    <cellStyle name="Обычный 2 2 9 3 3 2" xfId="15910"/>
    <cellStyle name="Обычный 2 2 9 3 3 3" xfId="15911"/>
    <cellStyle name="Обычный 2 2 9 3 3 4" xfId="15912"/>
    <cellStyle name="Обычный 2 2 9 3 3 5" xfId="15913"/>
    <cellStyle name="Обычный 2 2 9 3 3 6" xfId="15914"/>
    <cellStyle name="Обычный 2 2 9 3 3 7" xfId="15915"/>
    <cellStyle name="Обычный 2 2 9 3 3 8" xfId="15916"/>
    <cellStyle name="Обычный 2 2 9 3 3 9" xfId="15917"/>
    <cellStyle name="Обычный 2 2 9 3 4" xfId="15918"/>
    <cellStyle name="Обычный 2 2 9 3 5" xfId="15919"/>
    <cellStyle name="Обычный 2 2 9 3 6" xfId="15920"/>
    <cellStyle name="Обычный 2 2 9 3 7" xfId="15921"/>
    <cellStyle name="Обычный 2 2 9 3 8" xfId="15922"/>
    <cellStyle name="Обычный 2 2 9 3 9" xfId="15923"/>
    <cellStyle name="Обычный 2 2 9 4" xfId="3441"/>
    <cellStyle name="Обычный 2 2 9 4 2" xfId="15924"/>
    <cellStyle name="Обычный 2 2 9 4 3" xfId="15925"/>
    <cellStyle name="Обычный 2 2 9 4 4" xfId="15926"/>
    <cellStyle name="Обычный 2 2 9 4 5" xfId="15927"/>
    <cellStyle name="Обычный 2 2 9 4 6" xfId="15928"/>
    <cellStyle name="Обычный 2 2 9 4 7" xfId="15929"/>
    <cellStyle name="Обычный 2 2 9 4 8" xfId="15930"/>
    <cellStyle name="Обычный 2 2 9 4 9" xfId="15931"/>
    <cellStyle name="Обычный 2 2 9 5" xfId="15932"/>
    <cellStyle name="Обычный 2 2 9 6" xfId="15933"/>
    <cellStyle name="Обычный 2 2 9 7" xfId="15934"/>
    <cellStyle name="Обычный 2 2 9 8" xfId="15935"/>
    <cellStyle name="Обычный 2 2 9 9" xfId="15936"/>
    <cellStyle name="Обычный 2 20" xfId="3442"/>
    <cellStyle name="Обычный 2 20 2" xfId="3443"/>
    <cellStyle name="Обычный 2 20 2 2" xfId="3444"/>
    <cellStyle name="Обычный 2 20 2 3" xfId="3445"/>
    <cellStyle name="Обычный 2 20 3" xfId="3446"/>
    <cellStyle name="Обычный 2 20 4" xfId="3447"/>
    <cellStyle name="Обычный 2 20 4 2" xfId="15937"/>
    <cellStyle name="Обычный 2 20 4 3" xfId="15938"/>
    <cellStyle name="Обычный 2 20 4 4" xfId="15939"/>
    <cellStyle name="Обычный 2 20 4 5" xfId="15940"/>
    <cellStyle name="Обычный 2 20 5" xfId="15941"/>
    <cellStyle name="Обычный 2 20 6" xfId="15942"/>
    <cellStyle name="Обычный 2 20 7" xfId="15943"/>
    <cellStyle name="Обычный 2 20 8" xfId="15944"/>
    <cellStyle name="Обычный 2 21" xfId="3448"/>
    <cellStyle name="Обычный 2 21 2" xfId="3449"/>
    <cellStyle name="Обычный 2 21 2 2" xfId="3450"/>
    <cellStyle name="Обычный 2 21 2 3" xfId="3451"/>
    <cellStyle name="Обычный 2 21 3" xfId="3452"/>
    <cellStyle name="Обычный 2 21 4" xfId="3453"/>
    <cellStyle name="Обычный 2 21 4 2" xfId="15945"/>
    <cellStyle name="Обычный 2 21 4 3" xfId="15946"/>
    <cellStyle name="Обычный 2 21 4 4" xfId="15947"/>
    <cellStyle name="Обычный 2 21 4 5" xfId="15948"/>
    <cellStyle name="Обычный 2 21 5" xfId="15949"/>
    <cellStyle name="Обычный 2 21 6" xfId="15950"/>
    <cellStyle name="Обычный 2 21 7" xfId="15951"/>
    <cellStyle name="Обычный 2 21 8" xfId="15952"/>
    <cellStyle name="Обычный 2 22" xfId="3454"/>
    <cellStyle name="Обычный 2 22 2" xfId="3455"/>
    <cellStyle name="Обычный 2 22 2 2" xfId="3456"/>
    <cellStyle name="Обычный 2 22 2 3" xfId="3457"/>
    <cellStyle name="Обычный 2 22 3" xfId="3458"/>
    <cellStyle name="Обычный 2 22 4" xfId="3459"/>
    <cellStyle name="Обычный 2 22 4 2" xfId="15953"/>
    <cellStyle name="Обычный 2 22 4 3" xfId="15954"/>
    <cellStyle name="Обычный 2 22 4 4" xfId="15955"/>
    <cellStyle name="Обычный 2 22 4 5" xfId="15956"/>
    <cellStyle name="Обычный 2 22 5" xfId="15957"/>
    <cellStyle name="Обычный 2 22 6" xfId="15958"/>
    <cellStyle name="Обычный 2 22 7" xfId="15959"/>
    <cellStyle name="Обычный 2 22 8" xfId="15960"/>
    <cellStyle name="Обычный 2 23" xfId="3460"/>
    <cellStyle name="Обычный 2 23 2" xfId="3461"/>
    <cellStyle name="Обычный 2 23 2 2" xfId="3462"/>
    <cellStyle name="Обычный 2 23 2 3" xfId="3463"/>
    <cellStyle name="Обычный 2 23 3" xfId="3464"/>
    <cellStyle name="Обычный 2 23 4" xfId="3465"/>
    <cellStyle name="Обычный 2 23 4 2" xfId="15961"/>
    <cellStyle name="Обычный 2 23 4 3" xfId="15962"/>
    <cellStyle name="Обычный 2 23 4 4" xfId="15963"/>
    <cellStyle name="Обычный 2 23 4 5" xfId="15964"/>
    <cellStyle name="Обычный 2 23 5" xfId="15965"/>
    <cellStyle name="Обычный 2 23 6" xfId="15966"/>
    <cellStyle name="Обычный 2 23 7" xfId="15967"/>
    <cellStyle name="Обычный 2 23 8" xfId="15968"/>
    <cellStyle name="Обычный 2 24" xfId="3466"/>
    <cellStyle name="Обычный 2 24 2" xfId="3467"/>
    <cellStyle name="Обычный 2 24 2 2" xfId="3468"/>
    <cellStyle name="Обычный 2 24 2 3" xfId="3469"/>
    <cellStyle name="Обычный 2 24 3" xfId="3470"/>
    <cellStyle name="Обычный 2 24 4" xfId="3471"/>
    <cellStyle name="Обычный 2 24 4 2" xfId="15969"/>
    <cellStyle name="Обычный 2 24 4 3" xfId="15970"/>
    <cellStyle name="Обычный 2 24 4 4" xfId="15971"/>
    <cellStyle name="Обычный 2 24 4 5" xfId="15972"/>
    <cellStyle name="Обычный 2 24 5" xfId="15973"/>
    <cellStyle name="Обычный 2 24 6" xfId="15974"/>
    <cellStyle name="Обычный 2 24 7" xfId="15975"/>
    <cellStyle name="Обычный 2 24 8" xfId="15976"/>
    <cellStyle name="Обычный 2 25" xfId="3472"/>
    <cellStyle name="Обычный 2 25 2" xfId="3473"/>
    <cellStyle name="Обычный 2 25 2 2" xfId="3474"/>
    <cellStyle name="Обычный 2 25 2 3" xfId="3475"/>
    <cellStyle name="Обычный 2 25 3" xfId="3476"/>
    <cellStyle name="Обычный 2 25 4" xfId="3477"/>
    <cellStyle name="Обычный 2 25 4 2" xfId="15977"/>
    <cellStyle name="Обычный 2 25 4 3" xfId="15978"/>
    <cellStyle name="Обычный 2 25 4 4" xfId="15979"/>
    <cellStyle name="Обычный 2 25 4 5" xfId="15980"/>
    <cellStyle name="Обычный 2 25 5" xfId="15981"/>
    <cellStyle name="Обычный 2 25 6" xfId="15982"/>
    <cellStyle name="Обычный 2 25 7" xfId="15983"/>
    <cellStyle name="Обычный 2 25 8" xfId="15984"/>
    <cellStyle name="Обычный 2 26" xfId="3478"/>
    <cellStyle name="Обычный 2 26 2" xfId="3479"/>
    <cellStyle name="Обычный 2 26 2 2" xfId="3480"/>
    <cellStyle name="Обычный 2 26 2 3" xfId="3481"/>
    <cellStyle name="Обычный 2 26 3" xfId="3482"/>
    <cellStyle name="Обычный 2 26 4" xfId="3483"/>
    <cellStyle name="Обычный 2 26 4 2" xfId="15985"/>
    <cellStyle name="Обычный 2 26 4 3" xfId="15986"/>
    <cellStyle name="Обычный 2 26 4 4" xfId="15987"/>
    <cellStyle name="Обычный 2 26 4 5" xfId="15988"/>
    <cellStyle name="Обычный 2 26 5" xfId="15989"/>
    <cellStyle name="Обычный 2 26 6" xfId="15990"/>
    <cellStyle name="Обычный 2 26 7" xfId="15991"/>
    <cellStyle name="Обычный 2 26 8" xfId="15992"/>
    <cellStyle name="Обычный 2 27" xfId="3484"/>
    <cellStyle name="Обычный 2 27 10" xfId="15993"/>
    <cellStyle name="Обычный 2 27 2" xfId="3485"/>
    <cellStyle name="Обычный 2 27 2 2" xfId="3486"/>
    <cellStyle name="Обычный 2 27 2 2 2" xfId="3487"/>
    <cellStyle name="Обычный 2 27 2 2 3" xfId="3488"/>
    <cellStyle name="Обычный 2 27 2 3" xfId="3489"/>
    <cellStyle name="Обычный 2 27 2 4" xfId="3490"/>
    <cellStyle name="Обычный 2 27 3" xfId="3491"/>
    <cellStyle name="Обычный 2 27 3 2" xfId="3492"/>
    <cellStyle name="Обычный 2 27 3 2 2" xfId="3493"/>
    <cellStyle name="Обычный 2 27 3 2 3" xfId="3494"/>
    <cellStyle name="Обычный 2 27 3 3" xfId="3495"/>
    <cellStyle name="Обычный 2 27 3 4" xfId="3496"/>
    <cellStyle name="Обычный 2 27 4" xfId="3497"/>
    <cellStyle name="Обычный 2 27 4 2" xfId="3498"/>
    <cellStyle name="Обычный 2 27 4 3" xfId="3499"/>
    <cellStyle name="Обычный 2 27 5" xfId="3500"/>
    <cellStyle name="Обычный 2 27 6" xfId="3501"/>
    <cellStyle name="Обычный 2 27 6 2" xfId="15994"/>
    <cellStyle name="Обычный 2 27 6 3" xfId="15995"/>
    <cellStyle name="Обычный 2 27 6 4" xfId="15996"/>
    <cellStyle name="Обычный 2 27 6 5" xfId="15997"/>
    <cellStyle name="Обычный 2 27 7" xfId="15998"/>
    <cellStyle name="Обычный 2 27 8" xfId="15999"/>
    <cellStyle name="Обычный 2 27 9" xfId="16000"/>
    <cellStyle name="Обычный 2 28" xfId="3502"/>
    <cellStyle name="Обычный 2 28 2" xfId="3503"/>
    <cellStyle name="Обычный 2 28 2 2" xfId="3504"/>
    <cellStyle name="Обычный 2 28 2 3" xfId="3505"/>
    <cellStyle name="Обычный 2 28 3" xfId="3506"/>
    <cellStyle name="Обычный 2 28 4" xfId="3507"/>
    <cellStyle name="Обычный 2 28 4 2" xfId="16001"/>
    <cellStyle name="Обычный 2 28 4 3" xfId="16002"/>
    <cellStyle name="Обычный 2 28 4 4" xfId="16003"/>
    <cellStyle name="Обычный 2 28 4 5" xfId="16004"/>
    <cellStyle name="Обычный 2 28 5" xfId="16005"/>
    <cellStyle name="Обычный 2 28 6" xfId="16006"/>
    <cellStyle name="Обычный 2 28 7" xfId="16007"/>
    <cellStyle name="Обычный 2 28 8" xfId="16008"/>
    <cellStyle name="Обычный 2 29" xfId="3508"/>
    <cellStyle name="Обычный 2 29 2" xfId="3509"/>
    <cellStyle name="Обычный 2 29 2 2" xfId="16009"/>
    <cellStyle name="Обычный 2 29 2 3" xfId="16010"/>
    <cellStyle name="Обычный 2 29 2 4" xfId="16011"/>
    <cellStyle name="Обычный 2 29 2 5" xfId="16012"/>
    <cellStyle name="Обычный 2 29 3" xfId="3510"/>
    <cellStyle name="Обычный 2 29 3 2" xfId="16013"/>
    <cellStyle name="Обычный 2 29 3 3" xfId="16014"/>
    <cellStyle name="Обычный 2 29 3 4" xfId="16015"/>
    <cellStyle name="Обычный 2 29 3 5" xfId="16016"/>
    <cellStyle name="Обычный 2 29 4" xfId="16017"/>
    <cellStyle name="Обычный 2 29 5" xfId="16018"/>
    <cellStyle name="Обычный 2 29 6" xfId="16019"/>
    <cellStyle name="Обычный 2 29 7" xfId="16020"/>
    <cellStyle name="Обычный 2 3" xfId="3511"/>
    <cellStyle name="Обычный 2 3 10" xfId="3512"/>
    <cellStyle name="Обычный 2 3 10 2" xfId="16021"/>
    <cellStyle name="Обычный 2 3 10 3" xfId="16022"/>
    <cellStyle name="Обычный 2 3 10 4" xfId="16023"/>
    <cellStyle name="Обычный 2 3 10 5" xfId="16024"/>
    <cellStyle name="Обычный 2 3 11" xfId="16025"/>
    <cellStyle name="Обычный 2 3 12" xfId="16026"/>
    <cellStyle name="Обычный 2 3 13" xfId="16027"/>
    <cellStyle name="Обычный 2 3 14" xfId="16028"/>
    <cellStyle name="Обычный 2 3 2" xfId="3513"/>
    <cellStyle name="Обычный 2 3 2 2" xfId="3514"/>
    <cellStyle name="Обычный 2 3 2 2 2" xfId="3515"/>
    <cellStyle name="Обычный 2 3 2 2 3" xfId="3516"/>
    <cellStyle name="Обычный 2 3 2 3" xfId="3517"/>
    <cellStyle name="Обычный 2 3 2 4" xfId="3518"/>
    <cellStyle name="Обычный 2 3 2 4 2" xfId="16029"/>
    <cellStyle name="Обычный 2 3 2 4 3" xfId="16030"/>
    <cellStyle name="Обычный 2 3 2 4 4" xfId="16031"/>
    <cellStyle name="Обычный 2 3 2 4 5" xfId="16032"/>
    <cellStyle name="Обычный 2 3 2 5" xfId="16033"/>
    <cellStyle name="Обычный 2 3 2 6" xfId="16034"/>
    <cellStyle name="Обычный 2 3 2 7" xfId="16035"/>
    <cellStyle name="Обычный 2 3 2 8" xfId="16036"/>
    <cellStyle name="Обычный 2 3 3" xfId="3519"/>
    <cellStyle name="Обычный 2 3 3 2" xfId="3520"/>
    <cellStyle name="Обычный 2 3 3 2 2" xfId="3521"/>
    <cellStyle name="Обычный 2 3 3 2 3" xfId="3522"/>
    <cellStyle name="Обычный 2 3 3 3" xfId="3523"/>
    <cellStyle name="Обычный 2 3 3 4" xfId="3524"/>
    <cellStyle name="Обычный 2 3 3 4 2" xfId="16037"/>
    <cellStyle name="Обычный 2 3 3 4 3" xfId="16038"/>
    <cellStyle name="Обычный 2 3 3 4 4" xfId="16039"/>
    <cellStyle name="Обычный 2 3 3 4 5" xfId="16040"/>
    <cellStyle name="Обычный 2 3 3 5" xfId="16041"/>
    <cellStyle name="Обычный 2 3 3 6" xfId="16042"/>
    <cellStyle name="Обычный 2 3 3 7" xfId="16043"/>
    <cellStyle name="Обычный 2 3 3 8" xfId="16044"/>
    <cellStyle name="Обычный 2 3 4" xfId="3525"/>
    <cellStyle name="Обычный 2 3 4 2" xfId="3526"/>
    <cellStyle name="Обычный 2 3 4 2 2" xfId="3527"/>
    <cellStyle name="Обычный 2 3 4 2 3" xfId="3528"/>
    <cellStyle name="Обычный 2 3 4 3" xfId="3529"/>
    <cellStyle name="Обычный 2 3 4 4" xfId="3530"/>
    <cellStyle name="Обычный 2 3 4 4 2" xfId="16045"/>
    <cellStyle name="Обычный 2 3 4 4 3" xfId="16046"/>
    <cellStyle name="Обычный 2 3 4 4 4" xfId="16047"/>
    <cellStyle name="Обычный 2 3 4 4 5" xfId="16048"/>
    <cellStyle name="Обычный 2 3 4 5" xfId="16049"/>
    <cellStyle name="Обычный 2 3 4 6" xfId="16050"/>
    <cellStyle name="Обычный 2 3 4 7" xfId="16051"/>
    <cellStyle name="Обычный 2 3 4 8" xfId="16052"/>
    <cellStyle name="Обычный 2 3 5" xfId="3531"/>
    <cellStyle name="Обычный 2 3 5 2" xfId="3532"/>
    <cellStyle name="Обычный 2 3 5 2 2" xfId="3533"/>
    <cellStyle name="Обычный 2 3 5 2 3" xfId="3534"/>
    <cellStyle name="Обычный 2 3 5 3" xfId="3535"/>
    <cellStyle name="Обычный 2 3 5 4" xfId="3536"/>
    <cellStyle name="Обычный 2 3 5 4 2" xfId="16053"/>
    <cellStyle name="Обычный 2 3 5 4 3" xfId="16054"/>
    <cellStyle name="Обычный 2 3 5 4 4" xfId="16055"/>
    <cellStyle name="Обычный 2 3 5 4 5" xfId="16056"/>
    <cellStyle name="Обычный 2 3 5 5" xfId="16057"/>
    <cellStyle name="Обычный 2 3 5 6" xfId="16058"/>
    <cellStyle name="Обычный 2 3 5 7" xfId="16059"/>
    <cellStyle name="Обычный 2 3 5 8" xfId="16060"/>
    <cellStyle name="Обычный 2 3 6" xfId="3537"/>
    <cellStyle name="Обычный 2 3 6 2" xfId="3538"/>
    <cellStyle name="Обычный 2 3 6 2 2" xfId="3539"/>
    <cellStyle name="Обычный 2 3 6 2 3" xfId="3540"/>
    <cellStyle name="Обычный 2 3 6 3" xfId="3541"/>
    <cellStyle name="Обычный 2 3 6 4" xfId="3542"/>
    <cellStyle name="Обычный 2 3 6 4 2" xfId="16061"/>
    <cellStyle name="Обычный 2 3 6 4 3" xfId="16062"/>
    <cellStyle name="Обычный 2 3 6 4 4" xfId="16063"/>
    <cellStyle name="Обычный 2 3 6 4 5" xfId="16064"/>
    <cellStyle name="Обычный 2 3 6 5" xfId="16065"/>
    <cellStyle name="Обычный 2 3 6 6" xfId="16066"/>
    <cellStyle name="Обычный 2 3 6 7" xfId="16067"/>
    <cellStyle name="Обычный 2 3 6 8" xfId="16068"/>
    <cellStyle name="Обычный 2 3 7" xfId="3543"/>
    <cellStyle name="Обычный 2 3 7 2" xfId="3544"/>
    <cellStyle name="Обычный 2 3 7 2 2" xfId="3545"/>
    <cellStyle name="Обычный 2 3 7 2 3" xfId="3546"/>
    <cellStyle name="Обычный 2 3 7 3" xfId="3547"/>
    <cellStyle name="Обычный 2 3 7 4" xfId="3548"/>
    <cellStyle name="Обычный 2 3 7 4 2" xfId="16069"/>
    <cellStyle name="Обычный 2 3 7 4 3" xfId="16070"/>
    <cellStyle name="Обычный 2 3 7 4 4" xfId="16071"/>
    <cellStyle name="Обычный 2 3 7 4 5" xfId="16072"/>
    <cellStyle name="Обычный 2 3 7 5" xfId="16073"/>
    <cellStyle name="Обычный 2 3 7 6" xfId="16074"/>
    <cellStyle name="Обычный 2 3 7 7" xfId="16075"/>
    <cellStyle name="Обычный 2 3 7 8" xfId="16076"/>
    <cellStyle name="Обычный 2 3 8" xfId="3549"/>
    <cellStyle name="Обычный 2 3 8 2" xfId="3550"/>
    <cellStyle name="Обычный 2 3 8 3" xfId="3551"/>
    <cellStyle name="Обычный 2 3 9" xfId="3552"/>
    <cellStyle name="Обычный 2 30" xfId="3553"/>
    <cellStyle name="Обычный 2 30 2" xfId="16077"/>
    <cellStyle name="Обычный 2 30 3" xfId="16078"/>
    <cellStyle name="Обычный 2 30 4" xfId="16079"/>
    <cellStyle name="Обычный 2 30 5" xfId="16080"/>
    <cellStyle name="Обычный 2 31" xfId="3554"/>
    <cellStyle name="Обычный 2 31 2" xfId="16081"/>
    <cellStyle name="Обычный 2 31 3" xfId="16082"/>
    <cellStyle name="Обычный 2 31 4" xfId="16083"/>
    <cellStyle name="Обычный 2 31 5" xfId="16084"/>
    <cellStyle name="Обычный 2 32" xfId="3555"/>
    <cellStyle name="Обычный 2 32 2" xfId="16085"/>
    <cellStyle name="Обычный 2 32 3" xfId="16086"/>
    <cellStyle name="Обычный 2 32 4" xfId="16087"/>
    <cellStyle name="Обычный 2 32 5" xfId="16088"/>
    <cellStyle name="Обычный 2 33" xfId="3556"/>
    <cellStyle name="Обычный 2 33 2" xfId="16089"/>
    <cellStyle name="Обычный 2 33 3" xfId="16090"/>
    <cellStyle name="Обычный 2 33 4" xfId="16091"/>
    <cellStyle name="Обычный 2 33 5" xfId="16092"/>
    <cellStyle name="Обычный 2 33 6" xfId="16093"/>
    <cellStyle name="Обычный 2 33 7" xfId="16094"/>
    <cellStyle name="Обычный 2 33 8" xfId="16095"/>
    <cellStyle name="Обычный 2 33 9" xfId="16096"/>
    <cellStyle name="Обычный 2 34" xfId="3557"/>
    <cellStyle name="Обычный 2 34 2" xfId="16097"/>
    <cellStyle name="Обычный 2 34 3" xfId="16098"/>
    <cellStyle name="Обычный 2 34 4" xfId="16099"/>
    <cellStyle name="Обычный 2 34 5" xfId="16100"/>
    <cellStyle name="Обычный 2 34 6" xfId="16101"/>
    <cellStyle name="Обычный 2 34 7" xfId="16102"/>
    <cellStyle name="Обычный 2 34 8" xfId="16103"/>
    <cellStyle name="Обычный 2 34 9" xfId="16104"/>
    <cellStyle name="Обычный 2 35" xfId="3558"/>
    <cellStyle name="Обычный 2 36" xfId="3559"/>
    <cellStyle name="Обычный 2 37" xfId="3560"/>
    <cellStyle name="Обычный 2 37 2" xfId="16105"/>
    <cellStyle name="Обычный 2 37 3" xfId="16106"/>
    <cellStyle name="Обычный 2 37 4" xfId="16107"/>
    <cellStyle name="Обычный 2 37 5" xfId="16108"/>
    <cellStyle name="Обычный 2 38" xfId="3561"/>
    <cellStyle name="Обычный 2 38 2" xfId="16109"/>
    <cellStyle name="Обычный 2 38 3" xfId="16110"/>
    <cellStyle name="Обычный 2 38 4" xfId="16111"/>
    <cellStyle name="Обычный 2 38 5" xfId="16112"/>
    <cellStyle name="Обычный 2 39" xfId="16113"/>
    <cellStyle name="Обычный 2 39 2" xfId="16114"/>
    <cellStyle name="Обычный 2 39 3" xfId="16115"/>
    <cellStyle name="Обычный 2 39 4" xfId="16116"/>
    <cellStyle name="Обычный 2 39 5" xfId="16117"/>
    <cellStyle name="Обычный 2 4" xfId="3562"/>
    <cellStyle name="Обычный 2 4 10" xfId="16118"/>
    <cellStyle name="Обычный 2 4 11" xfId="16119"/>
    <cellStyle name="Обычный 2 4 12" xfId="16120"/>
    <cellStyle name="Обычный 2 4 13" xfId="16121"/>
    <cellStyle name="Обычный 2 4 2" xfId="3563"/>
    <cellStyle name="Обычный 2 4 2 10" xfId="16122"/>
    <cellStyle name="Обычный 2 4 2 11" xfId="16123"/>
    <cellStyle name="Обычный 2 4 2 12" xfId="16124"/>
    <cellStyle name="Обычный 2 4 2 13" xfId="16125"/>
    <cellStyle name="Обычный 2 4 2 2" xfId="3564"/>
    <cellStyle name="Обычный 2 4 2 2 10" xfId="16126"/>
    <cellStyle name="Обычный 2 4 2 2 11" xfId="16127"/>
    <cellStyle name="Обычный 2 4 2 2 12" xfId="16128"/>
    <cellStyle name="Обычный 2 4 2 2 2" xfId="3565"/>
    <cellStyle name="Обычный 2 4 2 2 2 10" xfId="16129"/>
    <cellStyle name="Обычный 2 4 2 2 2 11" xfId="16130"/>
    <cellStyle name="Обычный 2 4 2 2 2 12" xfId="16131"/>
    <cellStyle name="Обычный 2 4 2 2 2 2" xfId="3566"/>
    <cellStyle name="Обычный 2 4 2 2 2 2 2" xfId="16132"/>
    <cellStyle name="Обычный 2 4 2 2 2 2 3" xfId="16133"/>
    <cellStyle name="Обычный 2 4 2 2 2 2 4" xfId="16134"/>
    <cellStyle name="Обычный 2 4 2 2 2 2 5" xfId="16135"/>
    <cellStyle name="Обычный 2 4 2 2 2 2 6" xfId="16136"/>
    <cellStyle name="Обычный 2 4 2 2 2 2 7" xfId="16137"/>
    <cellStyle name="Обычный 2 4 2 2 2 2 8" xfId="16138"/>
    <cellStyle name="Обычный 2 4 2 2 2 2 9" xfId="16139"/>
    <cellStyle name="Обычный 2 4 2 2 2 3" xfId="3567"/>
    <cellStyle name="Обычный 2 4 2 2 2 3 2" xfId="16140"/>
    <cellStyle name="Обычный 2 4 2 2 2 3 3" xfId="16141"/>
    <cellStyle name="Обычный 2 4 2 2 2 3 4" xfId="16142"/>
    <cellStyle name="Обычный 2 4 2 2 2 3 5" xfId="16143"/>
    <cellStyle name="Обычный 2 4 2 2 2 3 6" xfId="16144"/>
    <cellStyle name="Обычный 2 4 2 2 2 3 7" xfId="16145"/>
    <cellStyle name="Обычный 2 4 2 2 2 3 8" xfId="16146"/>
    <cellStyle name="Обычный 2 4 2 2 2 3 9" xfId="16147"/>
    <cellStyle name="Обычный 2 4 2 2 2 4" xfId="3568"/>
    <cellStyle name="Обычный 2 4 2 2 2 4 2" xfId="16148"/>
    <cellStyle name="Обычный 2 4 2 2 2 4 3" xfId="16149"/>
    <cellStyle name="Обычный 2 4 2 2 2 4 4" xfId="16150"/>
    <cellStyle name="Обычный 2 4 2 2 2 4 5" xfId="16151"/>
    <cellStyle name="Обычный 2 4 2 2 2 4 6" xfId="16152"/>
    <cellStyle name="Обычный 2 4 2 2 2 4 7" xfId="16153"/>
    <cellStyle name="Обычный 2 4 2 2 2 4 8" xfId="16154"/>
    <cellStyle name="Обычный 2 4 2 2 2 4 9" xfId="16155"/>
    <cellStyle name="Обычный 2 4 2 2 2 5" xfId="16156"/>
    <cellStyle name="Обычный 2 4 2 2 2 6" xfId="16157"/>
    <cellStyle name="Обычный 2 4 2 2 2 7" xfId="16158"/>
    <cellStyle name="Обычный 2 4 2 2 2 8" xfId="16159"/>
    <cellStyle name="Обычный 2 4 2 2 2 9" xfId="16160"/>
    <cellStyle name="Обычный 2 4 2 2 3" xfId="3569"/>
    <cellStyle name="Обычный 2 4 2 2 3 10" xfId="16161"/>
    <cellStyle name="Обычный 2 4 2 2 3 11" xfId="16162"/>
    <cellStyle name="Обычный 2 4 2 2 3 2" xfId="3570"/>
    <cellStyle name="Обычный 2 4 2 2 3 2 2" xfId="16163"/>
    <cellStyle name="Обычный 2 4 2 2 3 2 3" xfId="16164"/>
    <cellStyle name="Обычный 2 4 2 2 3 2 4" xfId="16165"/>
    <cellStyle name="Обычный 2 4 2 2 3 2 5" xfId="16166"/>
    <cellStyle name="Обычный 2 4 2 2 3 2 6" xfId="16167"/>
    <cellStyle name="Обычный 2 4 2 2 3 2 7" xfId="16168"/>
    <cellStyle name="Обычный 2 4 2 2 3 2 8" xfId="16169"/>
    <cellStyle name="Обычный 2 4 2 2 3 2 9" xfId="16170"/>
    <cellStyle name="Обычный 2 4 2 2 3 3" xfId="3571"/>
    <cellStyle name="Обычный 2 4 2 2 3 3 2" xfId="16171"/>
    <cellStyle name="Обычный 2 4 2 2 3 3 3" xfId="16172"/>
    <cellStyle name="Обычный 2 4 2 2 3 3 4" xfId="16173"/>
    <cellStyle name="Обычный 2 4 2 2 3 3 5" xfId="16174"/>
    <cellStyle name="Обычный 2 4 2 2 3 3 6" xfId="16175"/>
    <cellStyle name="Обычный 2 4 2 2 3 3 7" xfId="16176"/>
    <cellStyle name="Обычный 2 4 2 2 3 3 8" xfId="16177"/>
    <cellStyle name="Обычный 2 4 2 2 3 3 9" xfId="16178"/>
    <cellStyle name="Обычный 2 4 2 2 3 4" xfId="16179"/>
    <cellStyle name="Обычный 2 4 2 2 3 5" xfId="16180"/>
    <cellStyle name="Обычный 2 4 2 2 3 6" xfId="16181"/>
    <cellStyle name="Обычный 2 4 2 2 3 7" xfId="16182"/>
    <cellStyle name="Обычный 2 4 2 2 3 8" xfId="16183"/>
    <cellStyle name="Обычный 2 4 2 2 3 9" xfId="16184"/>
    <cellStyle name="Обычный 2 4 2 2 4" xfId="3572"/>
    <cellStyle name="Обычный 2 4 2 2 4 2" xfId="16185"/>
    <cellStyle name="Обычный 2 4 2 2 4 3" xfId="16186"/>
    <cellStyle name="Обычный 2 4 2 2 4 4" xfId="16187"/>
    <cellStyle name="Обычный 2 4 2 2 4 5" xfId="16188"/>
    <cellStyle name="Обычный 2 4 2 2 4 6" xfId="16189"/>
    <cellStyle name="Обычный 2 4 2 2 4 7" xfId="16190"/>
    <cellStyle name="Обычный 2 4 2 2 4 8" xfId="16191"/>
    <cellStyle name="Обычный 2 4 2 2 4 9" xfId="16192"/>
    <cellStyle name="Обычный 2 4 2 2 5" xfId="16193"/>
    <cellStyle name="Обычный 2 4 2 2 6" xfId="16194"/>
    <cellStyle name="Обычный 2 4 2 2 7" xfId="16195"/>
    <cellStyle name="Обычный 2 4 2 2 8" xfId="16196"/>
    <cellStyle name="Обычный 2 4 2 2 9" xfId="16197"/>
    <cellStyle name="Обычный 2 4 2 3" xfId="3573"/>
    <cellStyle name="Обычный 2 4 2 3 10" xfId="16198"/>
    <cellStyle name="Обычный 2 4 2 3 11" xfId="16199"/>
    <cellStyle name="Обычный 2 4 2 3 12" xfId="16200"/>
    <cellStyle name="Обычный 2 4 2 3 2" xfId="3574"/>
    <cellStyle name="Обычный 2 4 2 3 2 2" xfId="16201"/>
    <cellStyle name="Обычный 2 4 2 3 2 3" xfId="16202"/>
    <cellStyle name="Обычный 2 4 2 3 2 4" xfId="16203"/>
    <cellStyle name="Обычный 2 4 2 3 2 5" xfId="16204"/>
    <cellStyle name="Обычный 2 4 2 3 2 6" xfId="16205"/>
    <cellStyle name="Обычный 2 4 2 3 2 7" xfId="16206"/>
    <cellStyle name="Обычный 2 4 2 3 2 8" xfId="16207"/>
    <cellStyle name="Обычный 2 4 2 3 2 9" xfId="16208"/>
    <cellStyle name="Обычный 2 4 2 3 3" xfId="3575"/>
    <cellStyle name="Обычный 2 4 2 3 3 2" xfId="16209"/>
    <cellStyle name="Обычный 2 4 2 3 3 3" xfId="16210"/>
    <cellStyle name="Обычный 2 4 2 3 3 4" xfId="16211"/>
    <cellStyle name="Обычный 2 4 2 3 3 5" xfId="16212"/>
    <cellStyle name="Обычный 2 4 2 3 3 6" xfId="16213"/>
    <cellStyle name="Обычный 2 4 2 3 3 7" xfId="16214"/>
    <cellStyle name="Обычный 2 4 2 3 3 8" xfId="16215"/>
    <cellStyle name="Обычный 2 4 2 3 3 9" xfId="16216"/>
    <cellStyle name="Обычный 2 4 2 3 4" xfId="3576"/>
    <cellStyle name="Обычный 2 4 2 3 4 2" xfId="16217"/>
    <cellStyle name="Обычный 2 4 2 3 4 3" xfId="16218"/>
    <cellStyle name="Обычный 2 4 2 3 4 4" xfId="16219"/>
    <cellStyle name="Обычный 2 4 2 3 4 5" xfId="16220"/>
    <cellStyle name="Обычный 2 4 2 3 4 6" xfId="16221"/>
    <cellStyle name="Обычный 2 4 2 3 4 7" xfId="16222"/>
    <cellStyle name="Обычный 2 4 2 3 4 8" xfId="16223"/>
    <cellStyle name="Обычный 2 4 2 3 4 9" xfId="16224"/>
    <cellStyle name="Обычный 2 4 2 3 5" xfId="16225"/>
    <cellStyle name="Обычный 2 4 2 3 6" xfId="16226"/>
    <cellStyle name="Обычный 2 4 2 3 7" xfId="16227"/>
    <cellStyle name="Обычный 2 4 2 3 8" xfId="16228"/>
    <cellStyle name="Обычный 2 4 2 3 9" xfId="16229"/>
    <cellStyle name="Обычный 2 4 2 4" xfId="3577"/>
    <cellStyle name="Обычный 2 4 2 4 10" xfId="16230"/>
    <cellStyle name="Обычный 2 4 2 4 11" xfId="16231"/>
    <cellStyle name="Обычный 2 4 2 4 2" xfId="3578"/>
    <cellStyle name="Обычный 2 4 2 4 2 2" xfId="16232"/>
    <cellStyle name="Обычный 2 4 2 4 2 3" xfId="16233"/>
    <cellStyle name="Обычный 2 4 2 4 2 4" xfId="16234"/>
    <cellStyle name="Обычный 2 4 2 4 2 5" xfId="16235"/>
    <cellStyle name="Обычный 2 4 2 4 2 6" xfId="16236"/>
    <cellStyle name="Обычный 2 4 2 4 2 7" xfId="16237"/>
    <cellStyle name="Обычный 2 4 2 4 2 8" xfId="16238"/>
    <cellStyle name="Обычный 2 4 2 4 2 9" xfId="16239"/>
    <cellStyle name="Обычный 2 4 2 4 3" xfId="3579"/>
    <cellStyle name="Обычный 2 4 2 4 3 2" xfId="16240"/>
    <cellStyle name="Обычный 2 4 2 4 3 3" xfId="16241"/>
    <cellStyle name="Обычный 2 4 2 4 3 4" xfId="16242"/>
    <cellStyle name="Обычный 2 4 2 4 3 5" xfId="16243"/>
    <cellStyle name="Обычный 2 4 2 4 3 6" xfId="16244"/>
    <cellStyle name="Обычный 2 4 2 4 3 7" xfId="16245"/>
    <cellStyle name="Обычный 2 4 2 4 3 8" xfId="16246"/>
    <cellStyle name="Обычный 2 4 2 4 3 9" xfId="16247"/>
    <cellStyle name="Обычный 2 4 2 4 4" xfId="16248"/>
    <cellStyle name="Обычный 2 4 2 4 5" xfId="16249"/>
    <cellStyle name="Обычный 2 4 2 4 6" xfId="16250"/>
    <cellStyle name="Обычный 2 4 2 4 7" xfId="16251"/>
    <cellStyle name="Обычный 2 4 2 4 8" xfId="16252"/>
    <cellStyle name="Обычный 2 4 2 4 9" xfId="16253"/>
    <cellStyle name="Обычный 2 4 2 5" xfId="3580"/>
    <cellStyle name="Обычный 2 4 2 5 2" xfId="16254"/>
    <cellStyle name="Обычный 2 4 2 5 3" xfId="16255"/>
    <cellStyle name="Обычный 2 4 2 5 4" xfId="16256"/>
    <cellStyle name="Обычный 2 4 2 5 5" xfId="16257"/>
    <cellStyle name="Обычный 2 4 2 5 6" xfId="16258"/>
    <cellStyle name="Обычный 2 4 2 5 7" xfId="16259"/>
    <cellStyle name="Обычный 2 4 2 5 8" xfId="16260"/>
    <cellStyle name="Обычный 2 4 2 5 9" xfId="16261"/>
    <cellStyle name="Обычный 2 4 2 6" xfId="16262"/>
    <cellStyle name="Обычный 2 4 2 7" xfId="16263"/>
    <cellStyle name="Обычный 2 4 2 8" xfId="16264"/>
    <cellStyle name="Обычный 2 4 2 9" xfId="16265"/>
    <cellStyle name="Обычный 2 4 3" xfId="3581"/>
    <cellStyle name="Обычный 2 4 3 10" xfId="16266"/>
    <cellStyle name="Обычный 2 4 3 11" xfId="16267"/>
    <cellStyle name="Обычный 2 4 3 12" xfId="16268"/>
    <cellStyle name="Обычный 2 4 3 2" xfId="3582"/>
    <cellStyle name="Обычный 2 4 3 2 10" xfId="16269"/>
    <cellStyle name="Обычный 2 4 3 2 11" xfId="16270"/>
    <cellStyle name="Обычный 2 4 3 2 12" xfId="16271"/>
    <cellStyle name="Обычный 2 4 3 2 2" xfId="3583"/>
    <cellStyle name="Обычный 2 4 3 2 2 2" xfId="16272"/>
    <cellStyle name="Обычный 2 4 3 2 2 3" xfId="16273"/>
    <cellStyle name="Обычный 2 4 3 2 2 4" xfId="16274"/>
    <cellStyle name="Обычный 2 4 3 2 2 5" xfId="16275"/>
    <cellStyle name="Обычный 2 4 3 2 2 6" xfId="16276"/>
    <cellStyle name="Обычный 2 4 3 2 2 7" xfId="16277"/>
    <cellStyle name="Обычный 2 4 3 2 2 8" xfId="16278"/>
    <cellStyle name="Обычный 2 4 3 2 2 9" xfId="16279"/>
    <cellStyle name="Обычный 2 4 3 2 3" xfId="3584"/>
    <cellStyle name="Обычный 2 4 3 2 3 2" xfId="16280"/>
    <cellStyle name="Обычный 2 4 3 2 3 3" xfId="16281"/>
    <cellStyle name="Обычный 2 4 3 2 3 4" xfId="16282"/>
    <cellStyle name="Обычный 2 4 3 2 3 5" xfId="16283"/>
    <cellStyle name="Обычный 2 4 3 2 3 6" xfId="16284"/>
    <cellStyle name="Обычный 2 4 3 2 3 7" xfId="16285"/>
    <cellStyle name="Обычный 2 4 3 2 3 8" xfId="16286"/>
    <cellStyle name="Обычный 2 4 3 2 3 9" xfId="16287"/>
    <cellStyle name="Обычный 2 4 3 2 4" xfId="3585"/>
    <cellStyle name="Обычный 2 4 3 2 4 2" xfId="16288"/>
    <cellStyle name="Обычный 2 4 3 2 4 3" xfId="16289"/>
    <cellStyle name="Обычный 2 4 3 2 4 4" xfId="16290"/>
    <cellStyle name="Обычный 2 4 3 2 4 5" xfId="16291"/>
    <cellStyle name="Обычный 2 4 3 2 4 6" xfId="16292"/>
    <cellStyle name="Обычный 2 4 3 2 4 7" xfId="16293"/>
    <cellStyle name="Обычный 2 4 3 2 4 8" xfId="16294"/>
    <cellStyle name="Обычный 2 4 3 2 4 9" xfId="16295"/>
    <cellStyle name="Обычный 2 4 3 2 5" xfId="16296"/>
    <cellStyle name="Обычный 2 4 3 2 6" xfId="16297"/>
    <cellStyle name="Обычный 2 4 3 2 7" xfId="16298"/>
    <cellStyle name="Обычный 2 4 3 2 8" xfId="16299"/>
    <cellStyle name="Обычный 2 4 3 2 9" xfId="16300"/>
    <cellStyle name="Обычный 2 4 3 3" xfId="3586"/>
    <cellStyle name="Обычный 2 4 3 3 10" xfId="16301"/>
    <cellStyle name="Обычный 2 4 3 3 11" xfId="16302"/>
    <cellStyle name="Обычный 2 4 3 3 2" xfId="3587"/>
    <cellStyle name="Обычный 2 4 3 3 2 2" xfId="16303"/>
    <cellStyle name="Обычный 2 4 3 3 2 3" xfId="16304"/>
    <cellStyle name="Обычный 2 4 3 3 2 4" xfId="16305"/>
    <cellStyle name="Обычный 2 4 3 3 2 5" xfId="16306"/>
    <cellStyle name="Обычный 2 4 3 3 2 6" xfId="16307"/>
    <cellStyle name="Обычный 2 4 3 3 2 7" xfId="16308"/>
    <cellStyle name="Обычный 2 4 3 3 2 8" xfId="16309"/>
    <cellStyle name="Обычный 2 4 3 3 2 9" xfId="16310"/>
    <cellStyle name="Обычный 2 4 3 3 3" xfId="3588"/>
    <cellStyle name="Обычный 2 4 3 3 3 2" xfId="16311"/>
    <cellStyle name="Обычный 2 4 3 3 3 3" xfId="16312"/>
    <cellStyle name="Обычный 2 4 3 3 3 4" xfId="16313"/>
    <cellStyle name="Обычный 2 4 3 3 3 5" xfId="16314"/>
    <cellStyle name="Обычный 2 4 3 3 3 6" xfId="16315"/>
    <cellStyle name="Обычный 2 4 3 3 3 7" xfId="16316"/>
    <cellStyle name="Обычный 2 4 3 3 3 8" xfId="16317"/>
    <cellStyle name="Обычный 2 4 3 3 3 9" xfId="16318"/>
    <cellStyle name="Обычный 2 4 3 3 4" xfId="16319"/>
    <cellStyle name="Обычный 2 4 3 3 5" xfId="16320"/>
    <cellStyle name="Обычный 2 4 3 3 6" xfId="16321"/>
    <cellStyle name="Обычный 2 4 3 3 7" xfId="16322"/>
    <cellStyle name="Обычный 2 4 3 3 8" xfId="16323"/>
    <cellStyle name="Обычный 2 4 3 3 9" xfId="16324"/>
    <cellStyle name="Обычный 2 4 3 4" xfId="3589"/>
    <cellStyle name="Обычный 2 4 3 4 2" xfId="16325"/>
    <cellStyle name="Обычный 2 4 3 4 3" xfId="16326"/>
    <cellStyle name="Обычный 2 4 3 4 4" xfId="16327"/>
    <cellStyle name="Обычный 2 4 3 4 5" xfId="16328"/>
    <cellStyle name="Обычный 2 4 3 4 6" xfId="16329"/>
    <cellStyle name="Обычный 2 4 3 4 7" xfId="16330"/>
    <cellStyle name="Обычный 2 4 3 4 8" xfId="16331"/>
    <cellStyle name="Обычный 2 4 3 4 9" xfId="16332"/>
    <cellStyle name="Обычный 2 4 3 5" xfId="16333"/>
    <cellStyle name="Обычный 2 4 3 6" xfId="16334"/>
    <cellStyle name="Обычный 2 4 3 7" xfId="16335"/>
    <cellStyle name="Обычный 2 4 3 8" xfId="16336"/>
    <cellStyle name="Обычный 2 4 3 9" xfId="16337"/>
    <cellStyle name="Обычный 2 4 4" xfId="3590"/>
    <cellStyle name="Обычный 2 4 4 10" xfId="16338"/>
    <cellStyle name="Обычный 2 4 4 11" xfId="16339"/>
    <cellStyle name="Обычный 2 4 4 12" xfId="16340"/>
    <cellStyle name="Обычный 2 4 4 2" xfId="3591"/>
    <cellStyle name="Обычный 2 4 4 2 10" xfId="16341"/>
    <cellStyle name="Обычный 2 4 4 2 11" xfId="16342"/>
    <cellStyle name="Обычный 2 4 4 2 12" xfId="16343"/>
    <cellStyle name="Обычный 2 4 4 2 2" xfId="3592"/>
    <cellStyle name="Обычный 2 4 4 2 2 2" xfId="16344"/>
    <cellStyle name="Обычный 2 4 4 2 2 3" xfId="16345"/>
    <cellStyle name="Обычный 2 4 4 2 2 4" xfId="16346"/>
    <cellStyle name="Обычный 2 4 4 2 2 5" xfId="16347"/>
    <cellStyle name="Обычный 2 4 4 2 2 6" xfId="16348"/>
    <cellStyle name="Обычный 2 4 4 2 2 7" xfId="16349"/>
    <cellStyle name="Обычный 2 4 4 2 2 8" xfId="16350"/>
    <cellStyle name="Обычный 2 4 4 2 2 9" xfId="16351"/>
    <cellStyle name="Обычный 2 4 4 2 3" xfId="3593"/>
    <cellStyle name="Обычный 2 4 4 2 3 2" xfId="16352"/>
    <cellStyle name="Обычный 2 4 4 2 3 3" xfId="16353"/>
    <cellStyle name="Обычный 2 4 4 2 3 4" xfId="16354"/>
    <cellStyle name="Обычный 2 4 4 2 3 5" xfId="16355"/>
    <cellStyle name="Обычный 2 4 4 2 3 6" xfId="16356"/>
    <cellStyle name="Обычный 2 4 4 2 3 7" xfId="16357"/>
    <cellStyle name="Обычный 2 4 4 2 3 8" xfId="16358"/>
    <cellStyle name="Обычный 2 4 4 2 3 9" xfId="16359"/>
    <cellStyle name="Обычный 2 4 4 2 4" xfId="3594"/>
    <cellStyle name="Обычный 2 4 4 2 4 2" xfId="16360"/>
    <cellStyle name="Обычный 2 4 4 2 4 3" xfId="16361"/>
    <cellStyle name="Обычный 2 4 4 2 4 4" xfId="16362"/>
    <cellStyle name="Обычный 2 4 4 2 4 5" xfId="16363"/>
    <cellStyle name="Обычный 2 4 4 2 4 6" xfId="16364"/>
    <cellStyle name="Обычный 2 4 4 2 4 7" xfId="16365"/>
    <cellStyle name="Обычный 2 4 4 2 4 8" xfId="16366"/>
    <cellStyle name="Обычный 2 4 4 2 4 9" xfId="16367"/>
    <cellStyle name="Обычный 2 4 4 2 5" xfId="16368"/>
    <cellStyle name="Обычный 2 4 4 2 6" xfId="16369"/>
    <cellStyle name="Обычный 2 4 4 2 7" xfId="16370"/>
    <cellStyle name="Обычный 2 4 4 2 8" xfId="16371"/>
    <cellStyle name="Обычный 2 4 4 2 9" xfId="16372"/>
    <cellStyle name="Обычный 2 4 4 3" xfId="3595"/>
    <cellStyle name="Обычный 2 4 4 3 10" xfId="16373"/>
    <cellStyle name="Обычный 2 4 4 3 11" xfId="16374"/>
    <cellStyle name="Обычный 2 4 4 3 2" xfId="3596"/>
    <cellStyle name="Обычный 2 4 4 3 2 2" xfId="16375"/>
    <cellStyle name="Обычный 2 4 4 3 2 3" xfId="16376"/>
    <cellStyle name="Обычный 2 4 4 3 2 4" xfId="16377"/>
    <cellStyle name="Обычный 2 4 4 3 2 5" xfId="16378"/>
    <cellStyle name="Обычный 2 4 4 3 2 6" xfId="16379"/>
    <cellStyle name="Обычный 2 4 4 3 2 7" xfId="16380"/>
    <cellStyle name="Обычный 2 4 4 3 2 8" xfId="16381"/>
    <cellStyle name="Обычный 2 4 4 3 2 9" xfId="16382"/>
    <cellStyle name="Обычный 2 4 4 3 3" xfId="3597"/>
    <cellStyle name="Обычный 2 4 4 3 3 2" xfId="16383"/>
    <cellStyle name="Обычный 2 4 4 3 3 3" xfId="16384"/>
    <cellStyle name="Обычный 2 4 4 3 3 4" xfId="16385"/>
    <cellStyle name="Обычный 2 4 4 3 3 5" xfId="16386"/>
    <cellStyle name="Обычный 2 4 4 3 3 6" xfId="16387"/>
    <cellStyle name="Обычный 2 4 4 3 3 7" xfId="16388"/>
    <cellStyle name="Обычный 2 4 4 3 3 8" xfId="16389"/>
    <cellStyle name="Обычный 2 4 4 3 3 9" xfId="16390"/>
    <cellStyle name="Обычный 2 4 4 3 4" xfId="16391"/>
    <cellStyle name="Обычный 2 4 4 3 5" xfId="16392"/>
    <cellStyle name="Обычный 2 4 4 3 6" xfId="16393"/>
    <cellStyle name="Обычный 2 4 4 3 7" xfId="16394"/>
    <cellStyle name="Обычный 2 4 4 3 8" xfId="16395"/>
    <cellStyle name="Обычный 2 4 4 3 9" xfId="16396"/>
    <cellStyle name="Обычный 2 4 4 4" xfId="3598"/>
    <cellStyle name="Обычный 2 4 4 4 2" xfId="16397"/>
    <cellStyle name="Обычный 2 4 4 4 3" xfId="16398"/>
    <cellStyle name="Обычный 2 4 4 4 4" xfId="16399"/>
    <cellStyle name="Обычный 2 4 4 4 5" xfId="16400"/>
    <cellStyle name="Обычный 2 4 4 4 6" xfId="16401"/>
    <cellStyle name="Обычный 2 4 4 4 7" xfId="16402"/>
    <cellStyle name="Обычный 2 4 4 4 8" xfId="16403"/>
    <cellStyle name="Обычный 2 4 4 4 9" xfId="16404"/>
    <cellStyle name="Обычный 2 4 4 5" xfId="16405"/>
    <cellStyle name="Обычный 2 4 4 6" xfId="16406"/>
    <cellStyle name="Обычный 2 4 4 7" xfId="16407"/>
    <cellStyle name="Обычный 2 4 4 8" xfId="16408"/>
    <cellStyle name="Обычный 2 4 4 9" xfId="16409"/>
    <cellStyle name="Обычный 2 4 5" xfId="3599"/>
    <cellStyle name="Обычный 2 4 5 10" xfId="16410"/>
    <cellStyle name="Обычный 2 4 5 11" xfId="16411"/>
    <cellStyle name="Обычный 2 4 5 12" xfId="16412"/>
    <cellStyle name="Обычный 2 4 5 2" xfId="3600"/>
    <cellStyle name="Обычный 2 4 5 2 10" xfId="16413"/>
    <cellStyle name="Обычный 2 4 5 2 11" xfId="16414"/>
    <cellStyle name="Обычный 2 4 5 2 12" xfId="16415"/>
    <cellStyle name="Обычный 2 4 5 2 2" xfId="3601"/>
    <cellStyle name="Обычный 2 4 5 2 2 2" xfId="16416"/>
    <cellStyle name="Обычный 2 4 5 2 2 3" xfId="16417"/>
    <cellStyle name="Обычный 2 4 5 2 2 4" xfId="16418"/>
    <cellStyle name="Обычный 2 4 5 2 2 5" xfId="16419"/>
    <cellStyle name="Обычный 2 4 5 2 2 6" xfId="16420"/>
    <cellStyle name="Обычный 2 4 5 2 2 7" xfId="16421"/>
    <cellStyle name="Обычный 2 4 5 2 2 8" xfId="16422"/>
    <cellStyle name="Обычный 2 4 5 2 2 9" xfId="16423"/>
    <cellStyle name="Обычный 2 4 5 2 3" xfId="3602"/>
    <cellStyle name="Обычный 2 4 5 2 3 2" xfId="16424"/>
    <cellStyle name="Обычный 2 4 5 2 3 3" xfId="16425"/>
    <cellStyle name="Обычный 2 4 5 2 3 4" xfId="16426"/>
    <cellStyle name="Обычный 2 4 5 2 3 5" xfId="16427"/>
    <cellStyle name="Обычный 2 4 5 2 3 6" xfId="16428"/>
    <cellStyle name="Обычный 2 4 5 2 3 7" xfId="16429"/>
    <cellStyle name="Обычный 2 4 5 2 3 8" xfId="16430"/>
    <cellStyle name="Обычный 2 4 5 2 3 9" xfId="16431"/>
    <cellStyle name="Обычный 2 4 5 2 4" xfId="3603"/>
    <cellStyle name="Обычный 2 4 5 2 4 2" xfId="16432"/>
    <cellStyle name="Обычный 2 4 5 2 4 3" xfId="16433"/>
    <cellStyle name="Обычный 2 4 5 2 4 4" xfId="16434"/>
    <cellStyle name="Обычный 2 4 5 2 4 5" xfId="16435"/>
    <cellStyle name="Обычный 2 4 5 2 4 6" xfId="16436"/>
    <cellStyle name="Обычный 2 4 5 2 4 7" xfId="16437"/>
    <cellStyle name="Обычный 2 4 5 2 4 8" xfId="16438"/>
    <cellStyle name="Обычный 2 4 5 2 4 9" xfId="16439"/>
    <cellStyle name="Обычный 2 4 5 2 5" xfId="16440"/>
    <cellStyle name="Обычный 2 4 5 2 6" xfId="16441"/>
    <cellStyle name="Обычный 2 4 5 2 7" xfId="16442"/>
    <cellStyle name="Обычный 2 4 5 2 8" xfId="16443"/>
    <cellStyle name="Обычный 2 4 5 2 9" xfId="16444"/>
    <cellStyle name="Обычный 2 4 5 3" xfId="3604"/>
    <cellStyle name="Обычный 2 4 5 3 10" xfId="16445"/>
    <cellStyle name="Обычный 2 4 5 3 11" xfId="16446"/>
    <cellStyle name="Обычный 2 4 5 3 2" xfId="3605"/>
    <cellStyle name="Обычный 2 4 5 3 2 2" xfId="16447"/>
    <cellStyle name="Обычный 2 4 5 3 2 3" xfId="16448"/>
    <cellStyle name="Обычный 2 4 5 3 2 4" xfId="16449"/>
    <cellStyle name="Обычный 2 4 5 3 2 5" xfId="16450"/>
    <cellStyle name="Обычный 2 4 5 3 2 6" xfId="16451"/>
    <cellStyle name="Обычный 2 4 5 3 2 7" xfId="16452"/>
    <cellStyle name="Обычный 2 4 5 3 2 8" xfId="16453"/>
    <cellStyle name="Обычный 2 4 5 3 2 9" xfId="16454"/>
    <cellStyle name="Обычный 2 4 5 3 3" xfId="3606"/>
    <cellStyle name="Обычный 2 4 5 3 3 2" xfId="16455"/>
    <cellStyle name="Обычный 2 4 5 3 3 3" xfId="16456"/>
    <cellStyle name="Обычный 2 4 5 3 3 4" xfId="16457"/>
    <cellStyle name="Обычный 2 4 5 3 3 5" xfId="16458"/>
    <cellStyle name="Обычный 2 4 5 3 3 6" xfId="16459"/>
    <cellStyle name="Обычный 2 4 5 3 3 7" xfId="16460"/>
    <cellStyle name="Обычный 2 4 5 3 3 8" xfId="16461"/>
    <cellStyle name="Обычный 2 4 5 3 3 9" xfId="16462"/>
    <cellStyle name="Обычный 2 4 5 3 4" xfId="16463"/>
    <cellStyle name="Обычный 2 4 5 3 5" xfId="16464"/>
    <cellStyle name="Обычный 2 4 5 3 6" xfId="16465"/>
    <cellStyle name="Обычный 2 4 5 3 7" xfId="16466"/>
    <cellStyle name="Обычный 2 4 5 3 8" xfId="16467"/>
    <cellStyle name="Обычный 2 4 5 3 9" xfId="16468"/>
    <cellStyle name="Обычный 2 4 5 4" xfId="3607"/>
    <cellStyle name="Обычный 2 4 5 4 2" xfId="16469"/>
    <cellStyle name="Обычный 2 4 5 4 3" xfId="16470"/>
    <cellStyle name="Обычный 2 4 5 4 4" xfId="16471"/>
    <cellStyle name="Обычный 2 4 5 4 5" xfId="16472"/>
    <cellStyle name="Обычный 2 4 5 4 6" xfId="16473"/>
    <cellStyle name="Обычный 2 4 5 4 7" xfId="16474"/>
    <cellStyle name="Обычный 2 4 5 4 8" xfId="16475"/>
    <cellStyle name="Обычный 2 4 5 4 9" xfId="16476"/>
    <cellStyle name="Обычный 2 4 5 5" xfId="16477"/>
    <cellStyle name="Обычный 2 4 5 6" xfId="16478"/>
    <cellStyle name="Обычный 2 4 5 7" xfId="16479"/>
    <cellStyle name="Обычный 2 4 5 8" xfId="16480"/>
    <cellStyle name="Обычный 2 4 5 9" xfId="16481"/>
    <cellStyle name="Обычный 2 4 6" xfId="3608"/>
    <cellStyle name="Обычный 2 4 6 10" xfId="16482"/>
    <cellStyle name="Обычный 2 4 6 11" xfId="16483"/>
    <cellStyle name="Обычный 2 4 6 12" xfId="16484"/>
    <cellStyle name="Обычный 2 4 6 2" xfId="3609"/>
    <cellStyle name="Обычный 2 4 6 2 10" xfId="16485"/>
    <cellStyle name="Обычный 2 4 6 2 11" xfId="16486"/>
    <cellStyle name="Обычный 2 4 6 2 12" xfId="16487"/>
    <cellStyle name="Обычный 2 4 6 2 2" xfId="3610"/>
    <cellStyle name="Обычный 2 4 6 2 2 2" xfId="16488"/>
    <cellStyle name="Обычный 2 4 6 2 2 3" xfId="16489"/>
    <cellStyle name="Обычный 2 4 6 2 2 4" xfId="16490"/>
    <cellStyle name="Обычный 2 4 6 2 2 5" xfId="16491"/>
    <cellStyle name="Обычный 2 4 6 2 2 6" xfId="16492"/>
    <cellStyle name="Обычный 2 4 6 2 2 7" xfId="16493"/>
    <cellStyle name="Обычный 2 4 6 2 2 8" xfId="16494"/>
    <cellStyle name="Обычный 2 4 6 2 2 9" xfId="16495"/>
    <cellStyle name="Обычный 2 4 6 2 3" xfId="3611"/>
    <cellStyle name="Обычный 2 4 6 2 3 2" xfId="16496"/>
    <cellStyle name="Обычный 2 4 6 2 3 3" xfId="16497"/>
    <cellStyle name="Обычный 2 4 6 2 3 4" xfId="16498"/>
    <cellStyle name="Обычный 2 4 6 2 3 5" xfId="16499"/>
    <cellStyle name="Обычный 2 4 6 2 3 6" xfId="16500"/>
    <cellStyle name="Обычный 2 4 6 2 3 7" xfId="16501"/>
    <cellStyle name="Обычный 2 4 6 2 3 8" xfId="16502"/>
    <cellStyle name="Обычный 2 4 6 2 3 9" xfId="16503"/>
    <cellStyle name="Обычный 2 4 6 2 4" xfId="3612"/>
    <cellStyle name="Обычный 2 4 6 2 4 2" xfId="16504"/>
    <cellStyle name="Обычный 2 4 6 2 4 3" xfId="16505"/>
    <cellStyle name="Обычный 2 4 6 2 4 4" xfId="16506"/>
    <cellStyle name="Обычный 2 4 6 2 4 5" xfId="16507"/>
    <cellStyle name="Обычный 2 4 6 2 4 6" xfId="16508"/>
    <cellStyle name="Обычный 2 4 6 2 4 7" xfId="16509"/>
    <cellStyle name="Обычный 2 4 6 2 4 8" xfId="16510"/>
    <cellStyle name="Обычный 2 4 6 2 4 9" xfId="16511"/>
    <cellStyle name="Обычный 2 4 6 2 5" xfId="16512"/>
    <cellStyle name="Обычный 2 4 6 2 6" xfId="16513"/>
    <cellStyle name="Обычный 2 4 6 2 7" xfId="16514"/>
    <cellStyle name="Обычный 2 4 6 2 8" xfId="16515"/>
    <cellStyle name="Обычный 2 4 6 2 9" xfId="16516"/>
    <cellStyle name="Обычный 2 4 6 3" xfId="3613"/>
    <cellStyle name="Обычный 2 4 6 3 10" xfId="16517"/>
    <cellStyle name="Обычный 2 4 6 3 11" xfId="16518"/>
    <cellStyle name="Обычный 2 4 6 3 2" xfId="3614"/>
    <cellStyle name="Обычный 2 4 6 3 2 2" xfId="16519"/>
    <cellStyle name="Обычный 2 4 6 3 2 3" xfId="16520"/>
    <cellStyle name="Обычный 2 4 6 3 2 4" xfId="16521"/>
    <cellStyle name="Обычный 2 4 6 3 2 5" xfId="16522"/>
    <cellStyle name="Обычный 2 4 6 3 2 6" xfId="16523"/>
    <cellStyle name="Обычный 2 4 6 3 2 7" xfId="16524"/>
    <cellStyle name="Обычный 2 4 6 3 2 8" xfId="16525"/>
    <cellStyle name="Обычный 2 4 6 3 2 9" xfId="16526"/>
    <cellStyle name="Обычный 2 4 6 3 3" xfId="3615"/>
    <cellStyle name="Обычный 2 4 6 3 3 2" xfId="16527"/>
    <cellStyle name="Обычный 2 4 6 3 3 3" xfId="16528"/>
    <cellStyle name="Обычный 2 4 6 3 3 4" xfId="16529"/>
    <cellStyle name="Обычный 2 4 6 3 3 5" xfId="16530"/>
    <cellStyle name="Обычный 2 4 6 3 3 6" xfId="16531"/>
    <cellStyle name="Обычный 2 4 6 3 3 7" xfId="16532"/>
    <cellStyle name="Обычный 2 4 6 3 3 8" xfId="16533"/>
    <cellStyle name="Обычный 2 4 6 3 3 9" xfId="16534"/>
    <cellStyle name="Обычный 2 4 6 3 4" xfId="16535"/>
    <cellStyle name="Обычный 2 4 6 3 5" xfId="16536"/>
    <cellStyle name="Обычный 2 4 6 3 6" xfId="16537"/>
    <cellStyle name="Обычный 2 4 6 3 7" xfId="16538"/>
    <cellStyle name="Обычный 2 4 6 3 8" xfId="16539"/>
    <cellStyle name="Обычный 2 4 6 3 9" xfId="16540"/>
    <cellStyle name="Обычный 2 4 6 4" xfId="3616"/>
    <cellStyle name="Обычный 2 4 6 4 2" xfId="16541"/>
    <cellStyle name="Обычный 2 4 6 4 3" xfId="16542"/>
    <cellStyle name="Обычный 2 4 6 4 4" xfId="16543"/>
    <cellStyle name="Обычный 2 4 6 4 5" xfId="16544"/>
    <cellStyle name="Обычный 2 4 6 4 6" xfId="16545"/>
    <cellStyle name="Обычный 2 4 6 4 7" xfId="16546"/>
    <cellStyle name="Обычный 2 4 6 4 8" xfId="16547"/>
    <cellStyle name="Обычный 2 4 6 4 9" xfId="16548"/>
    <cellStyle name="Обычный 2 4 6 5" xfId="16549"/>
    <cellStyle name="Обычный 2 4 6 6" xfId="16550"/>
    <cellStyle name="Обычный 2 4 6 7" xfId="16551"/>
    <cellStyle name="Обычный 2 4 6 8" xfId="16552"/>
    <cellStyle name="Обычный 2 4 6 9" xfId="16553"/>
    <cellStyle name="Обычный 2 4 7" xfId="3617"/>
    <cellStyle name="Обычный 2 4 7 2" xfId="3618"/>
    <cellStyle name="Обычный 2 4 7 3" xfId="3619"/>
    <cellStyle name="Обычный 2 4 8" xfId="3620"/>
    <cellStyle name="Обычный 2 4 9" xfId="3621"/>
    <cellStyle name="Обычный 2 4 9 2" xfId="16554"/>
    <cellStyle name="Обычный 2 4 9 3" xfId="16555"/>
    <cellStyle name="Обычный 2 4 9 4" xfId="16556"/>
    <cellStyle name="Обычный 2 4 9 5" xfId="16557"/>
    <cellStyle name="Обычный 2 40" xfId="16558"/>
    <cellStyle name="Обычный 2 40 2" xfId="16559"/>
    <cellStyle name="Обычный 2 40 2 2" xfId="16560"/>
    <cellStyle name="Обычный 2 40 2 2 2" xfId="16561"/>
    <cellStyle name="Обычный 2 40 2 2 2 2" xfId="16562"/>
    <cellStyle name="Обычный 2 40 2 3" xfId="16563"/>
    <cellStyle name="Обычный 2 40 3" xfId="16564"/>
    <cellStyle name="Обычный 2 40 3 2" xfId="16565"/>
    <cellStyle name="Обычный 2 41" xfId="16566"/>
    <cellStyle name="Обычный 2 41 2" xfId="16567"/>
    <cellStyle name="Обычный 2 41 2 2" xfId="16568"/>
    <cellStyle name="Обычный 2 42" xfId="16569"/>
    <cellStyle name="Обычный 2 43" xfId="16570"/>
    <cellStyle name="Обычный 2 44" xfId="16571"/>
    <cellStyle name="Обычный 2 5" xfId="3622"/>
    <cellStyle name="Обычный 2 5 2" xfId="3623"/>
    <cellStyle name="Обычный 2 5 2 2" xfId="3624"/>
    <cellStyle name="Обычный 2 5 2 2 2" xfId="16572"/>
    <cellStyle name="Обычный 2 5 2 2 3" xfId="16573"/>
    <cellStyle name="Обычный 2 5 2 2 4" xfId="16574"/>
    <cellStyle name="Обычный 2 5 2 2 5" xfId="16575"/>
    <cellStyle name="Обычный 2 5 2 2 6" xfId="16576"/>
    <cellStyle name="Обычный 2 5 2 3" xfId="3625"/>
    <cellStyle name="Обычный 2 5 2 3 2" xfId="16577"/>
    <cellStyle name="Обычный 2 5 2 3 3" xfId="16578"/>
    <cellStyle name="Обычный 2 5 2 3 4" xfId="16579"/>
    <cellStyle name="Обычный 2 5 2 3 5" xfId="16580"/>
    <cellStyle name="Обычный 2 5 2 3 6" xfId="16581"/>
    <cellStyle name="Обычный 2 5 2 4" xfId="16582"/>
    <cellStyle name="Обычный 2 5 2 5" xfId="16583"/>
    <cellStyle name="Обычный 2 5 2 6" xfId="16584"/>
    <cellStyle name="Обычный 2 5 2 7" xfId="16585"/>
    <cellStyle name="Обычный 2 5 2 8" xfId="16586"/>
    <cellStyle name="Обычный 2 5 3" xfId="3626"/>
    <cellStyle name="Обычный 2 5 3 2" xfId="16587"/>
    <cellStyle name="Обычный 2 5 3 3" xfId="16588"/>
    <cellStyle name="Обычный 2 5 3 4" xfId="16589"/>
    <cellStyle name="Обычный 2 5 3 5" xfId="16590"/>
    <cellStyle name="Обычный 2 5 3 6" xfId="16591"/>
    <cellStyle name="Обычный 2 5 4" xfId="3627"/>
    <cellStyle name="Обычный 2 5 4 2" xfId="16592"/>
    <cellStyle name="Обычный 2 5 4 3" xfId="16593"/>
    <cellStyle name="Обычный 2 5 4 4" xfId="16594"/>
    <cellStyle name="Обычный 2 5 4 5" xfId="16595"/>
    <cellStyle name="Обычный 2 5 5" xfId="16596"/>
    <cellStyle name="Обычный 2 5 6" xfId="16597"/>
    <cellStyle name="Обычный 2 5 7" xfId="16598"/>
    <cellStyle name="Обычный 2 5 8" xfId="16599"/>
    <cellStyle name="Обычный 2 6" xfId="3628"/>
    <cellStyle name="Обычный 2 6 2" xfId="3629"/>
    <cellStyle name="Обычный 2 6 2 2" xfId="3630"/>
    <cellStyle name="Обычный 2 6 2 3" xfId="3631"/>
    <cellStyle name="Обычный 2 6 3" xfId="3632"/>
    <cellStyle name="Обычный 2 6 4" xfId="3633"/>
    <cellStyle name="Обычный 2 6 4 2" xfId="16600"/>
    <cellStyle name="Обычный 2 6 4 3" xfId="16601"/>
    <cellStyle name="Обычный 2 6 4 4" xfId="16602"/>
    <cellStyle name="Обычный 2 6 4 5" xfId="16603"/>
    <cellStyle name="Обычный 2 6 5" xfId="16604"/>
    <cellStyle name="Обычный 2 6 6" xfId="16605"/>
    <cellStyle name="Обычный 2 6 7" xfId="16606"/>
    <cellStyle name="Обычный 2 6 8" xfId="16607"/>
    <cellStyle name="Обычный 2 7" xfId="3634"/>
    <cellStyle name="Обычный 2 7 2" xfId="3635"/>
    <cellStyle name="Обычный 2 7 2 2" xfId="3636"/>
    <cellStyle name="Обычный 2 7 2 3" xfId="3637"/>
    <cellStyle name="Обычный 2 7 3" xfId="3638"/>
    <cellStyle name="Обычный 2 7 4" xfId="3639"/>
    <cellStyle name="Обычный 2 7 4 2" xfId="16608"/>
    <cellStyle name="Обычный 2 7 4 3" xfId="16609"/>
    <cellStyle name="Обычный 2 7 4 4" xfId="16610"/>
    <cellStyle name="Обычный 2 7 4 5" xfId="16611"/>
    <cellStyle name="Обычный 2 7 5" xfId="16612"/>
    <cellStyle name="Обычный 2 7 6" xfId="16613"/>
    <cellStyle name="Обычный 2 7 7" xfId="16614"/>
    <cellStyle name="Обычный 2 7 8" xfId="16615"/>
    <cellStyle name="Обычный 2 8" xfId="3640"/>
    <cellStyle name="Обычный 2 8 2" xfId="3641"/>
    <cellStyle name="Обычный 2 8 2 2" xfId="3642"/>
    <cellStyle name="Обычный 2 8 2 3" xfId="3643"/>
    <cellStyle name="Обычный 2 8 3" xfId="3644"/>
    <cellStyle name="Обычный 2 8 4" xfId="3645"/>
    <cellStyle name="Обычный 2 8 4 2" xfId="16616"/>
    <cellStyle name="Обычный 2 8 4 3" xfId="16617"/>
    <cellStyle name="Обычный 2 8 4 4" xfId="16618"/>
    <cellStyle name="Обычный 2 8 4 5" xfId="16619"/>
    <cellStyle name="Обычный 2 8 5" xfId="16620"/>
    <cellStyle name="Обычный 2 8 6" xfId="16621"/>
    <cellStyle name="Обычный 2 8 7" xfId="16622"/>
    <cellStyle name="Обычный 2 8 8" xfId="16623"/>
    <cellStyle name="Обычный 2 9" xfId="3646"/>
    <cellStyle name="Обычный 2 9 2" xfId="3647"/>
    <cellStyle name="Обычный 2 9 2 2" xfId="3648"/>
    <cellStyle name="Обычный 2 9 2 3" xfId="3649"/>
    <cellStyle name="Обычный 2 9 3" xfId="3650"/>
    <cellStyle name="Обычный 2 9 4" xfId="3651"/>
    <cellStyle name="Обычный 2 9 4 2" xfId="16624"/>
    <cellStyle name="Обычный 2 9 4 3" xfId="16625"/>
    <cellStyle name="Обычный 2 9 4 4" xfId="16626"/>
    <cellStyle name="Обычный 2 9 4 5" xfId="16627"/>
    <cellStyle name="Обычный 2 9 5" xfId="16628"/>
    <cellStyle name="Обычный 2 9 6" xfId="16629"/>
    <cellStyle name="Обычный 2 9 7" xfId="16630"/>
    <cellStyle name="Обычный 2 9 8" xfId="16631"/>
    <cellStyle name="Обычный 20" xfId="23870"/>
    <cellStyle name="Обычный 20 2" xfId="16632"/>
    <cellStyle name="Обычный 21" xfId="23871"/>
    <cellStyle name="Обычный 22" xfId="23874"/>
    <cellStyle name="Обычный 23" xfId="16633"/>
    <cellStyle name="Обычный 24" xfId="23876"/>
    <cellStyle name="Обычный 3" xfId="4"/>
    <cellStyle name="Обычный 3 10" xfId="3652"/>
    <cellStyle name="Обычный 3 10 2" xfId="3653"/>
    <cellStyle name="Обычный 3 10 2 2" xfId="3654"/>
    <cellStyle name="Обычный 3 10 2 3" xfId="3655"/>
    <cellStyle name="Обычный 3 10 3" xfId="3656"/>
    <cellStyle name="Обычный 3 10 4" xfId="3657"/>
    <cellStyle name="Обычный 3 10 4 2" xfId="16634"/>
    <cellStyle name="Обычный 3 10 4 3" xfId="16635"/>
    <cellStyle name="Обычный 3 10 4 4" xfId="16636"/>
    <cellStyle name="Обычный 3 10 4 5" xfId="16637"/>
    <cellStyle name="Обычный 3 10 5" xfId="16638"/>
    <cellStyle name="Обычный 3 10 6" xfId="16639"/>
    <cellStyle name="Обычный 3 10 7" xfId="16640"/>
    <cellStyle name="Обычный 3 10 8" xfId="16641"/>
    <cellStyle name="Обычный 3 11" xfId="3658"/>
    <cellStyle name="Обычный 3 11 2" xfId="3659"/>
    <cellStyle name="Обычный 3 11 2 2" xfId="3660"/>
    <cellStyle name="Обычный 3 11 2 3" xfId="3661"/>
    <cellStyle name="Обычный 3 11 3" xfId="3662"/>
    <cellStyle name="Обычный 3 11 4" xfId="3663"/>
    <cellStyle name="Обычный 3 11 4 2" xfId="16642"/>
    <cellStyle name="Обычный 3 11 4 3" xfId="16643"/>
    <cellStyle name="Обычный 3 11 4 4" xfId="16644"/>
    <cellStyle name="Обычный 3 11 4 5" xfId="16645"/>
    <cellStyle name="Обычный 3 11 5" xfId="16646"/>
    <cellStyle name="Обычный 3 11 6" xfId="16647"/>
    <cellStyle name="Обычный 3 11 7" xfId="16648"/>
    <cellStyle name="Обычный 3 11 8" xfId="16649"/>
    <cellStyle name="Обычный 3 12" xfId="3664"/>
    <cellStyle name="Обычный 3 12 2" xfId="3665"/>
    <cellStyle name="Обычный 3 12 2 2" xfId="3666"/>
    <cellStyle name="Обычный 3 12 2 3" xfId="3667"/>
    <cellStyle name="Обычный 3 12 3" xfId="3668"/>
    <cellStyle name="Обычный 3 12 4" xfId="3669"/>
    <cellStyle name="Обычный 3 12 4 2" xfId="16650"/>
    <cellStyle name="Обычный 3 12 4 3" xfId="16651"/>
    <cellStyle name="Обычный 3 12 4 4" xfId="16652"/>
    <cellStyle name="Обычный 3 12 4 5" xfId="16653"/>
    <cellStyle name="Обычный 3 12 5" xfId="16654"/>
    <cellStyle name="Обычный 3 12 6" xfId="16655"/>
    <cellStyle name="Обычный 3 12 7" xfId="16656"/>
    <cellStyle name="Обычный 3 12 8" xfId="16657"/>
    <cellStyle name="Обычный 3 13" xfId="3670"/>
    <cellStyle name="Обычный 3 13 2" xfId="3671"/>
    <cellStyle name="Обычный 3 13 2 2" xfId="3672"/>
    <cellStyle name="Обычный 3 13 2 3" xfId="3673"/>
    <cellStyle name="Обычный 3 13 3" xfId="3674"/>
    <cellStyle name="Обычный 3 13 4" xfId="3675"/>
    <cellStyle name="Обычный 3 13 4 2" xfId="16658"/>
    <cellStyle name="Обычный 3 13 4 3" xfId="16659"/>
    <cellStyle name="Обычный 3 13 4 4" xfId="16660"/>
    <cellStyle name="Обычный 3 13 4 5" xfId="16661"/>
    <cellStyle name="Обычный 3 13 5" xfId="16662"/>
    <cellStyle name="Обычный 3 13 6" xfId="16663"/>
    <cellStyle name="Обычный 3 13 7" xfId="16664"/>
    <cellStyle name="Обычный 3 13 8" xfId="16665"/>
    <cellStyle name="Обычный 3 14" xfId="3676"/>
    <cellStyle name="Обычный 3 14 2" xfId="3677"/>
    <cellStyle name="Обычный 3 14 2 2" xfId="3678"/>
    <cellStyle name="Обычный 3 14 2 3" xfId="3679"/>
    <cellStyle name="Обычный 3 14 3" xfId="3680"/>
    <cellStyle name="Обычный 3 14 4" xfId="3681"/>
    <cellStyle name="Обычный 3 14 4 2" xfId="16666"/>
    <cellStyle name="Обычный 3 14 4 3" xfId="16667"/>
    <cellStyle name="Обычный 3 14 4 4" xfId="16668"/>
    <cellStyle name="Обычный 3 14 4 5" xfId="16669"/>
    <cellStyle name="Обычный 3 14 5" xfId="16670"/>
    <cellStyle name="Обычный 3 14 6" xfId="16671"/>
    <cellStyle name="Обычный 3 14 7" xfId="16672"/>
    <cellStyle name="Обычный 3 14 8" xfId="16673"/>
    <cellStyle name="Обычный 3 15" xfId="3682"/>
    <cellStyle name="Обычный 3 15 2" xfId="3683"/>
    <cellStyle name="Обычный 3 15 2 2" xfId="3684"/>
    <cellStyle name="Обычный 3 15 2 3" xfId="3685"/>
    <cellStyle name="Обычный 3 15 3" xfId="3686"/>
    <cellStyle name="Обычный 3 15 4" xfId="3687"/>
    <cellStyle name="Обычный 3 15 4 2" xfId="16674"/>
    <cellStyle name="Обычный 3 15 4 3" xfId="16675"/>
    <cellStyle name="Обычный 3 15 4 4" xfId="16676"/>
    <cellStyle name="Обычный 3 15 4 5" xfId="16677"/>
    <cellStyle name="Обычный 3 15 5" xfId="16678"/>
    <cellStyle name="Обычный 3 15 6" xfId="16679"/>
    <cellStyle name="Обычный 3 15 7" xfId="16680"/>
    <cellStyle name="Обычный 3 15 8" xfId="16681"/>
    <cellStyle name="Обычный 3 16" xfId="3688"/>
    <cellStyle name="Обычный 3 16 2" xfId="3689"/>
    <cellStyle name="Обычный 3 16 2 2" xfId="3690"/>
    <cellStyle name="Обычный 3 16 2 3" xfId="3691"/>
    <cellStyle name="Обычный 3 16 3" xfId="3692"/>
    <cellStyle name="Обычный 3 16 4" xfId="3693"/>
    <cellStyle name="Обычный 3 16 4 2" xfId="16682"/>
    <cellStyle name="Обычный 3 16 4 3" xfId="16683"/>
    <cellStyle name="Обычный 3 16 4 4" xfId="16684"/>
    <cellStyle name="Обычный 3 16 4 5" xfId="16685"/>
    <cellStyle name="Обычный 3 16 5" xfId="16686"/>
    <cellStyle name="Обычный 3 16 6" xfId="16687"/>
    <cellStyle name="Обычный 3 16 7" xfId="16688"/>
    <cellStyle name="Обычный 3 16 8" xfId="16689"/>
    <cellStyle name="Обычный 3 17" xfId="3694"/>
    <cellStyle name="Обычный 3 17 2" xfId="3695"/>
    <cellStyle name="Обычный 3 17 2 2" xfId="3696"/>
    <cellStyle name="Обычный 3 17 2 3" xfId="3697"/>
    <cellStyle name="Обычный 3 17 3" xfId="3698"/>
    <cellStyle name="Обычный 3 17 4" xfId="3699"/>
    <cellStyle name="Обычный 3 17 4 2" xfId="16690"/>
    <cellStyle name="Обычный 3 17 4 3" xfId="16691"/>
    <cellStyle name="Обычный 3 17 4 4" xfId="16692"/>
    <cellStyle name="Обычный 3 17 4 5" xfId="16693"/>
    <cellStyle name="Обычный 3 17 5" xfId="16694"/>
    <cellStyle name="Обычный 3 17 6" xfId="16695"/>
    <cellStyle name="Обычный 3 17 7" xfId="16696"/>
    <cellStyle name="Обычный 3 17 8" xfId="16697"/>
    <cellStyle name="Обычный 3 18" xfId="3700"/>
    <cellStyle name="Обычный 3 18 2" xfId="3701"/>
    <cellStyle name="Обычный 3 18 2 2" xfId="3702"/>
    <cellStyle name="Обычный 3 18 2 3" xfId="3703"/>
    <cellStyle name="Обычный 3 18 3" xfId="3704"/>
    <cellStyle name="Обычный 3 18 4" xfId="3705"/>
    <cellStyle name="Обычный 3 18 4 2" xfId="16698"/>
    <cellStyle name="Обычный 3 18 4 3" xfId="16699"/>
    <cellStyle name="Обычный 3 18 4 4" xfId="16700"/>
    <cellStyle name="Обычный 3 18 4 5" xfId="16701"/>
    <cellStyle name="Обычный 3 18 5" xfId="16702"/>
    <cellStyle name="Обычный 3 18 6" xfId="16703"/>
    <cellStyle name="Обычный 3 18 7" xfId="16704"/>
    <cellStyle name="Обычный 3 18 8" xfId="16705"/>
    <cellStyle name="Обычный 3 19" xfId="3706"/>
    <cellStyle name="Обычный 3 19 2" xfId="3707"/>
    <cellStyle name="Обычный 3 19 2 2" xfId="3708"/>
    <cellStyle name="Обычный 3 19 2 3" xfId="3709"/>
    <cellStyle name="Обычный 3 19 3" xfId="3710"/>
    <cellStyle name="Обычный 3 19 4" xfId="3711"/>
    <cellStyle name="Обычный 3 19 4 2" xfId="16706"/>
    <cellStyle name="Обычный 3 19 4 3" xfId="16707"/>
    <cellStyle name="Обычный 3 19 4 4" xfId="16708"/>
    <cellStyle name="Обычный 3 19 4 5" xfId="16709"/>
    <cellStyle name="Обычный 3 19 5" xfId="16710"/>
    <cellStyle name="Обычный 3 19 6" xfId="16711"/>
    <cellStyle name="Обычный 3 19 7" xfId="16712"/>
    <cellStyle name="Обычный 3 19 8" xfId="16713"/>
    <cellStyle name="Обычный 3 2" xfId="41"/>
    <cellStyle name="Обычный 3 2 10" xfId="3712"/>
    <cellStyle name="Обычный 3 2 10 2" xfId="3713"/>
    <cellStyle name="Обычный 3 2 10 3" xfId="3714"/>
    <cellStyle name="Обычный 3 2 11" xfId="3715"/>
    <cellStyle name="Обычный 3 2 12" xfId="3716"/>
    <cellStyle name="Обычный 3 2 12 2" xfId="16714"/>
    <cellStyle name="Обычный 3 2 12 3" xfId="16715"/>
    <cellStyle name="Обычный 3 2 12 4" xfId="16716"/>
    <cellStyle name="Обычный 3 2 12 5" xfId="16717"/>
    <cellStyle name="Обычный 3 2 13" xfId="16718"/>
    <cellStyle name="Обычный 3 2 14" xfId="16719"/>
    <cellStyle name="Обычный 3 2 15" xfId="16720"/>
    <cellStyle name="Обычный 3 2 16" xfId="16721"/>
    <cellStyle name="Обычный 3 2 2" xfId="3717"/>
    <cellStyle name="Обычный 3 2 2 2" xfId="3718"/>
    <cellStyle name="Обычный 3 2 2 2 2" xfId="3719"/>
    <cellStyle name="Обычный 3 2 2 2 2 2" xfId="3720"/>
    <cellStyle name="Обычный 3 2 2 2 2 3" xfId="3721"/>
    <cellStyle name="Обычный 3 2 2 2 3" xfId="3722"/>
    <cellStyle name="Обычный 3 2 2 2 4" xfId="3723"/>
    <cellStyle name="Обычный 3 2 2 2 4 2" xfId="16722"/>
    <cellStyle name="Обычный 3 2 2 2 4 3" xfId="16723"/>
    <cellStyle name="Обычный 3 2 2 2 4 4" xfId="16724"/>
    <cellStyle name="Обычный 3 2 2 2 4 5" xfId="16725"/>
    <cellStyle name="Обычный 3 2 2 2 5" xfId="16726"/>
    <cellStyle name="Обычный 3 2 2 2 6" xfId="16727"/>
    <cellStyle name="Обычный 3 2 2 2 7" xfId="16728"/>
    <cellStyle name="Обычный 3 2 2 2 8" xfId="16729"/>
    <cellStyle name="Обычный 3 2 2 3" xfId="3724"/>
    <cellStyle name="Обычный 3 2 2 3 2" xfId="3725"/>
    <cellStyle name="Обычный 3 2 2 3 2 2" xfId="3726"/>
    <cellStyle name="Обычный 3 2 2 3 2 3" xfId="3727"/>
    <cellStyle name="Обычный 3 2 2 3 3" xfId="3728"/>
    <cellStyle name="Обычный 3 2 2 3 4" xfId="3729"/>
    <cellStyle name="Обычный 3 2 2 3 4 2" xfId="16730"/>
    <cellStyle name="Обычный 3 2 2 3 4 3" xfId="16731"/>
    <cellStyle name="Обычный 3 2 2 3 4 4" xfId="16732"/>
    <cellStyle name="Обычный 3 2 2 3 4 5" xfId="16733"/>
    <cellStyle name="Обычный 3 2 2 3 5" xfId="16734"/>
    <cellStyle name="Обычный 3 2 2 3 6" xfId="16735"/>
    <cellStyle name="Обычный 3 2 2 3 7" xfId="16736"/>
    <cellStyle name="Обычный 3 2 2 3 8" xfId="16737"/>
    <cellStyle name="Обычный 3 2 2 4" xfId="3730"/>
    <cellStyle name="Обычный 3 2 2 4 2" xfId="3731"/>
    <cellStyle name="Обычный 3 2 2 4 2 2" xfId="3732"/>
    <cellStyle name="Обычный 3 2 2 4 2 3" xfId="3733"/>
    <cellStyle name="Обычный 3 2 2 4 3" xfId="3734"/>
    <cellStyle name="Обычный 3 2 2 4 4" xfId="3735"/>
    <cellStyle name="Обычный 3 2 2 4 4 2" xfId="16738"/>
    <cellStyle name="Обычный 3 2 2 4 4 3" xfId="16739"/>
    <cellStyle name="Обычный 3 2 2 4 4 4" xfId="16740"/>
    <cellStyle name="Обычный 3 2 2 4 4 5" xfId="16741"/>
    <cellStyle name="Обычный 3 2 2 4 5" xfId="16742"/>
    <cellStyle name="Обычный 3 2 2 4 6" xfId="16743"/>
    <cellStyle name="Обычный 3 2 2 4 7" xfId="16744"/>
    <cellStyle name="Обычный 3 2 2 4 8" xfId="16745"/>
    <cellStyle name="Обычный 3 2 2 5" xfId="3736"/>
    <cellStyle name="Обычный 3 2 2 5 2" xfId="3737"/>
    <cellStyle name="Обычный 3 2 2 5 2 2" xfId="3738"/>
    <cellStyle name="Обычный 3 2 2 5 2 3" xfId="3739"/>
    <cellStyle name="Обычный 3 2 2 5 3" xfId="3740"/>
    <cellStyle name="Обычный 3 2 2 5 4" xfId="3741"/>
    <cellStyle name="Обычный 3 2 2 5 4 2" xfId="16746"/>
    <cellStyle name="Обычный 3 2 2 5 4 3" xfId="16747"/>
    <cellStyle name="Обычный 3 2 2 5 4 4" xfId="16748"/>
    <cellStyle name="Обычный 3 2 2 5 4 5" xfId="16749"/>
    <cellStyle name="Обычный 3 2 2 5 5" xfId="16750"/>
    <cellStyle name="Обычный 3 2 2 5 6" xfId="16751"/>
    <cellStyle name="Обычный 3 2 2 5 7" xfId="16752"/>
    <cellStyle name="Обычный 3 2 2 5 8" xfId="16753"/>
    <cellStyle name="Обычный 3 2 2 6" xfId="3742"/>
    <cellStyle name="Обычный 3 2 2 6 2" xfId="3743"/>
    <cellStyle name="Обычный 3 2 2 6 2 2" xfId="3744"/>
    <cellStyle name="Обычный 3 2 2 6 2 3" xfId="3745"/>
    <cellStyle name="Обычный 3 2 2 6 3" xfId="3746"/>
    <cellStyle name="Обычный 3 2 2 6 4" xfId="3747"/>
    <cellStyle name="Обычный 3 2 2 6 4 2" xfId="16754"/>
    <cellStyle name="Обычный 3 2 2 6 4 3" xfId="16755"/>
    <cellStyle name="Обычный 3 2 2 6 4 4" xfId="16756"/>
    <cellStyle name="Обычный 3 2 2 6 4 5" xfId="16757"/>
    <cellStyle name="Обычный 3 2 2 6 5" xfId="16758"/>
    <cellStyle name="Обычный 3 2 2 6 6" xfId="16759"/>
    <cellStyle name="Обычный 3 2 2 6 7" xfId="16760"/>
    <cellStyle name="Обычный 3 2 2 6 8" xfId="16761"/>
    <cellStyle name="Обычный 3 2 2 7" xfId="3748"/>
    <cellStyle name="Обычный 3 2 2 7 2" xfId="3749"/>
    <cellStyle name="Обычный 3 2 2 7 3" xfId="3750"/>
    <cellStyle name="Обычный 3 2 2 8" xfId="3751"/>
    <cellStyle name="Обычный 3 2 2 9" xfId="3752"/>
    <cellStyle name="Обычный 3 2 3" xfId="3753"/>
    <cellStyle name="Обычный 3 2 3 2" xfId="3754"/>
    <cellStyle name="Обычный 3 2 3 2 2" xfId="3755"/>
    <cellStyle name="Обычный 3 2 3 2 3" xfId="3756"/>
    <cellStyle name="Обычный 3 2 3 3" xfId="3757"/>
    <cellStyle name="Обычный 3 2 3 4" xfId="3758"/>
    <cellStyle name="Обычный 3 2 3 4 2" xfId="16762"/>
    <cellStyle name="Обычный 3 2 3 4 3" xfId="16763"/>
    <cellStyle name="Обычный 3 2 3 4 4" xfId="16764"/>
    <cellStyle name="Обычный 3 2 3 4 5" xfId="16765"/>
    <cellStyle name="Обычный 3 2 3 5" xfId="16766"/>
    <cellStyle name="Обычный 3 2 3 6" xfId="16767"/>
    <cellStyle name="Обычный 3 2 3 7" xfId="16768"/>
    <cellStyle name="Обычный 3 2 3 8" xfId="16769"/>
    <cellStyle name="Обычный 3 2 4" xfId="3759"/>
    <cellStyle name="Обычный 3 2 4 2" xfId="3760"/>
    <cellStyle name="Обычный 3 2 4 2 2" xfId="3761"/>
    <cellStyle name="Обычный 3 2 4 2 3" xfId="3762"/>
    <cellStyle name="Обычный 3 2 4 3" xfId="3763"/>
    <cellStyle name="Обычный 3 2 4 4" xfId="3764"/>
    <cellStyle name="Обычный 3 2 5" xfId="3765"/>
    <cellStyle name="Обычный 3 2 5 2" xfId="3766"/>
    <cellStyle name="Обычный 3 2 5 2 2" xfId="3767"/>
    <cellStyle name="Обычный 3 2 5 2 3" xfId="3768"/>
    <cellStyle name="Обычный 3 2 5 3" xfId="3769"/>
    <cellStyle name="Обычный 3 2 5 4" xfId="3770"/>
    <cellStyle name="Обычный 3 2 6" xfId="3771"/>
    <cellStyle name="Обычный 3 2 6 2" xfId="3772"/>
    <cellStyle name="Обычный 3 2 6 2 2" xfId="3773"/>
    <cellStyle name="Обычный 3 2 6 2 3" xfId="3774"/>
    <cellStyle name="Обычный 3 2 6 3" xfId="3775"/>
    <cellStyle name="Обычный 3 2 6 4" xfId="3776"/>
    <cellStyle name="Обычный 3 2 7" xfId="3777"/>
    <cellStyle name="Обычный 3 2 7 2" xfId="3778"/>
    <cellStyle name="Обычный 3 2 7 2 2" xfId="3779"/>
    <cellStyle name="Обычный 3 2 7 2 3" xfId="3780"/>
    <cellStyle name="Обычный 3 2 7 3" xfId="3781"/>
    <cellStyle name="Обычный 3 2 7 4" xfId="3782"/>
    <cellStyle name="Обычный 3 2 8" xfId="3783"/>
    <cellStyle name="Обычный 3 2 8 2" xfId="3784"/>
    <cellStyle name="Обычный 3 2 8 2 2" xfId="3785"/>
    <cellStyle name="Обычный 3 2 8 2 3" xfId="3786"/>
    <cellStyle name="Обычный 3 2 8 3" xfId="3787"/>
    <cellStyle name="Обычный 3 2 8 4" xfId="3788"/>
    <cellStyle name="Обычный 3 2 9" xfId="3789"/>
    <cellStyle name="Обычный 3 2 9 10" xfId="16770"/>
    <cellStyle name="Обычный 3 2 9 11" xfId="16771"/>
    <cellStyle name="Обычный 3 2 9 12" xfId="16772"/>
    <cellStyle name="Обычный 3 2 9 2" xfId="3790"/>
    <cellStyle name="Обычный 3 2 9 2 10" xfId="16773"/>
    <cellStyle name="Обычный 3 2 9 2 11" xfId="16774"/>
    <cellStyle name="Обычный 3 2 9 2 12" xfId="16775"/>
    <cellStyle name="Обычный 3 2 9 2 2" xfId="3791"/>
    <cellStyle name="Обычный 3 2 9 2 2 2" xfId="16776"/>
    <cellStyle name="Обычный 3 2 9 2 2 3" xfId="16777"/>
    <cellStyle name="Обычный 3 2 9 2 2 4" xfId="16778"/>
    <cellStyle name="Обычный 3 2 9 2 2 5" xfId="16779"/>
    <cellStyle name="Обычный 3 2 9 2 2 6" xfId="16780"/>
    <cellStyle name="Обычный 3 2 9 2 2 7" xfId="16781"/>
    <cellStyle name="Обычный 3 2 9 2 2 8" xfId="16782"/>
    <cellStyle name="Обычный 3 2 9 2 2 9" xfId="16783"/>
    <cellStyle name="Обычный 3 2 9 2 3" xfId="3792"/>
    <cellStyle name="Обычный 3 2 9 2 3 2" xfId="16784"/>
    <cellStyle name="Обычный 3 2 9 2 3 3" xfId="16785"/>
    <cellStyle name="Обычный 3 2 9 2 3 4" xfId="16786"/>
    <cellStyle name="Обычный 3 2 9 2 3 5" xfId="16787"/>
    <cellStyle name="Обычный 3 2 9 2 3 6" xfId="16788"/>
    <cellStyle name="Обычный 3 2 9 2 3 7" xfId="16789"/>
    <cellStyle name="Обычный 3 2 9 2 3 8" xfId="16790"/>
    <cellStyle name="Обычный 3 2 9 2 3 9" xfId="16791"/>
    <cellStyle name="Обычный 3 2 9 2 4" xfId="3793"/>
    <cellStyle name="Обычный 3 2 9 2 4 2" xfId="16792"/>
    <cellStyle name="Обычный 3 2 9 2 4 3" xfId="16793"/>
    <cellStyle name="Обычный 3 2 9 2 4 4" xfId="16794"/>
    <cellStyle name="Обычный 3 2 9 2 4 5" xfId="16795"/>
    <cellStyle name="Обычный 3 2 9 2 4 6" xfId="16796"/>
    <cellStyle name="Обычный 3 2 9 2 4 7" xfId="16797"/>
    <cellStyle name="Обычный 3 2 9 2 4 8" xfId="16798"/>
    <cellStyle name="Обычный 3 2 9 2 4 9" xfId="16799"/>
    <cellStyle name="Обычный 3 2 9 2 5" xfId="16800"/>
    <cellStyle name="Обычный 3 2 9 2 6" xfId="16801"/>
    <cellStyle name="Обычный 3 2 9 2 7" xfId="16802"/>
    <cellStyle name="Обычный 3 2 9 2 8" xfId="16803"/>
    <cellStyle name="Обычный 3 2 9 2 9" xfId="16804"/>
    <cellStyle name="Обычный 3 2 9 3" xfId="3794"/>
    <cellStyle name="Обычный 3 2 9 3 10" xfId="16805"/>
    <cellStyle name="Обычный 3 2 9 3 11" xfId="16806"/>
    <cellStyle name="Обычный 3 2 9 3 2" xfId="3795"/>
    <cellStyle name="Обычный 3 2 9 3 2 2" xfId="16807"/>
    <cellStyle name="Обычный 3 2 9 3 2 3" xfId="16808"/>
    <cellStyle name="Обычный 3 2 9 3 2 4" xfId="16809"/>
    <cellStyle name="Обычный 3 2 9 3 2 5" xfId="16810"/>
    <cellStyle name="Обычный 3 2 9 3 2 6" xfId="16811"/>
    <cellStyle name="Обычный 3 2 9 3 2 7" xfId="16812"/>
    <cellStyle name="Обычный 3 2 9 3 2 8" xfId="16813"/>
    <cellStyle name="Обычный 3 2 9 3 2 9" xfId="16814"/>
    <cellStyle name="Обычный 3 2 9 3 3" xfId="3796"/>
    <cellStyle name="Обычный 3 2 9 3 3 2" xfId="16815"/>
    <cellStyle name="Обычный 3 2 9 3 3 3" xfId="16816"/>
    <cellStyle name="Обычный 3 2 9 3 3 4" xfId="16817"/>
    <cellStyle name="Обычный 3 2 9 3 3 5" xfId="16818"/>
    <cellStyle name="Обычный 3 2 9 3 3 6" xfId="16819"/>
    <cellStyle name="Обычный 3 2 9 3 3 7" xfId="16820"/>
    <cellStyle name="Обычный 3 2 9 3 3 8" xfId="16821"/>
    <cellStyle name="Обычный 3 2 9 3 3 9" xfId="16822"/>
    <cellStyle name="Обычный 3 2 9 3 4" xfId="16823"/>
    <cellStyle name="Обычный 3 2 9 3 5" xfId="16824"/>
    <cellStyle name="Обычный 3 2 9 3 6" xfId="16825"/>
    <cellStyle name="Обычный 3 2 9 3 7" xfId="16826"/>
    <cellStyle name="Обычный 3 2 9 3 8" xfId="16827"/>
    <cellStyle name="Обычный 3 2 9 3 9" xfId="16828"/>
    <cellStyle name="Обычный 3 2 9 4" xfId="3797"/>
    <cellStyle name="Обычный 3 2 9 4 2" xfId="16829"/>
    <cellStyle name="Обычный 3 2 9 4 3" xfId="16830"/>
    <cellStyle name="Обычный 3 2 9 4 4" xfId="16831"/>
    <cellStyle name="Обычный 3 2 9 4 5" xfId="16832"/>
    <cellStyle name="Обычный 3 2 9 4 6" xfId="16833"/>
    <cellStyle name="Обычный 3 2 9 4 7" xfId="16834"/>
    <cellStyle name="Обычный 3 2 9 4 8" xfId="16835"/>
    <cellStyle name="Обычный 3 2 9 4 9" xfId="16836"/>
    <cellStyle name="Обычный 3 2 9 5" xfId="16837"/>
    <cellStyle name="Обычный 3 2 9 6" xfId="16838"/>
    <cellStyle name="Обычный 3 2 9 7" xfId="16839"/>
    <cellStyle name="Обычный 3 2 9 8" xfId="16840"/>
    <cellStyle name="Обычный 3 2 9 9" xfId="16841"/>
    <cellStyle name="Обычный 3 2_Расчет программы" xfId="3798"/>
    <cellStyle name="Обычный 3 20" xfId="3799"/>
    <cellStyle name="Обычный 3 20 2" xfId="3800"/>
    <cellStyle name="Обычный 3 20 2 2" xfId="3801"/>
    <cellStyle name="Обычный 3 20 2 3" xfId="3802"/>
    <cellStyle name="Обычный 3 20 3" xfId="3803"/>
    <cellStyle name="Обычный 3 20 4" xfId="3804"/>
    <cellStyle name="Обычный 3 20 4 2" xfId="16842"/>
    <cellStyle name="Обычный 3 20 4 3" xfId="16843"/>
    <cellStyle name="Обычный 3 20 4 4" xfId="16844"/>
    <cellStyle name="Обычный 3 20 4 5" xfId="16845"/>
    <cellStyle name="Обычный 3 20 5" xfId="16846"/>
    <cellStyle name="Обычный 3 20 6" xfId="16847"/>
    <cellStyle name="Обычный 3 20 7" xfId="16848"/>
    <cellStyle name="Обычный 3 20 8" xfId="16849"/>
    <cellStyle name="Обычный 3 21" xfId="3805"/>
    <cellStyle name="Обычный 3 21 2" xfId="3806"/>
    <cellStyle name="Обычный 3 21 2 2" xfId="3807"/>
    <cellStyle name="Обычный 3 21 2 3" xfId="3808"/>
    <cellStyle name="Обычный 3 21 3" xfId="3809"/>
    <cellStyle name="Обычный 3 21 4" xfId="3810"/>
    <cellStyle name="Обычный 3 21 4 2" xfId="16850"/>
    <cellStyle name="Обычный 3 21 4 3" xfId="16851"/>
    <cellStyle name="Обычный 3 21 4 4" xfId="16852"/>
    <cellStyle name="Обычный 3 21 4 5" xfId="16853"/>
    <cellStyle name="Обычный 3 21 5" xfId="16854"/>
    <cellStyle name="Обычный 3 21 6" xfId="16855"/>
    <cellStyle name="Обычный 3 21 7" xfId="16856"/>
    <cellStyle name="Обычный 3 21 8" xfId="16857"/>
    <cellStyle name="Обычный 3 22" xfId="3811"/>
    <cellStyle name="Обычный 3 22 2" xfId="3812"/>
    <cellStyle name="Обычный 3 22 2 2" xfId="3813"/>
    <cellStyle name="Обычный 3 22 2 3" xfId="3814"/>
    <cellStyle name="Обычный 3 22 3" xfId="3815"/>
    <cellStyle name="Обычный 3 22 4" xfId="3816"/>
    <cellStyle name="Обычный 3 22 4 2" xfId="16858"/>
    <cellStyle name="Обычный 3 22 4 3" xfId="16859"/>
    <cellStyle name="Обычный 3 22 4 4" xfId="16860"/>
    <cellStyle name="Обычный 3 22 4 5" xfId="16861"/>
    <cellStyle name="Обычный 3 22 5" xfId="16862"/>
    <cellStyle name="Обычный 3 22 6" xfId="16863"/>
    <cellStyle name="Обычный 3 22 7" xfId="16864"/>
    <cellStyle name="Обычный 3 22 8" xfId="16865"/>
    <cellStyle name="Обычный 3 23" xfId="3817"/>
    <cellStyle name="Обычный 3 23 2" xfId="3818"/>
    <cellStyle name="Обычный 3 23 2 2" xfId="3819"/>
    <cellStyle name="Обычный 3 23 2 3" xfId="3820"/>
    <cellStyle name="Обычный 3 23 3" xfId="3821"/>
    <cellStyle name="Обычный 3 23 4" xfId="3822"/>
    <cellStyle name="Обычный 3 24" xfId="3823"/>
    <cellStyle name="Обычный 3 24 2" xfId="3824"/>
    <cellStyle name="Обычный 3 24 2 2" xfId="3825"/>
    <cellStyle name="Обычный 3 24 2 3" xfId="3826"/>
    <cellStyle name="Обычный 3 24 3" xfId="3827"/>
    <cellStyle name="Обычный 3 24 4" xfId="3828"/>
    <cellStyle name="Обычный 3 25" xfId="3829"/>
    <cellStyle name="Обычный 3 25 2" xfId="3830"/>
    <cellStyle name="Обычный 3 25 2 2" xfId="3831"/>
    <cellStyle name="Обычный 3 25 2 3" xfId="3832"/>
    <cellStyle name="Обычный 3 25 3" xfId="3833"/>
    <cellStyle name="Обычный 3 25 4" xfId="3834"/>
    <cellStyle name="Обычный 3 26" xfId="3835"/>
    <cellStyle name="Обычный 3 26 2" xfId="3836"/>
    <cellStyle name="Обычный 3 26 2 2" xfId="3837"/>
    <cellStyle name="Обычный 3 26 2 3" xfId="3838"/>
    <cellStyle name="Обычный 3 26 3" xfId="3839"/>
    <cellStyle name="Обычный 3 26 4" xfId="3840"/>
    <cellStyle name="Обычный 3 27" xfId="3841"/>
    <cellStyle name="Обычный 3 27 2" xfId="3842"/>
    <cellStyle name="Обычный 3 27 2 2" xfId="3843"/>
    <cellStyle name="Обычный 3 27 2 3" xfId="3844"/>
    <cellStyle name="Обычный 3 27 3" xfId="3845"/>
    <cellStyle name="Обычный 3 27 4" xfId="3846"/>
    <cellStyle name="Обычный 3 28" xfId="3847"/>
    <cellStyle name="Обычный 3 28 2" xfId="3848"/>
    <cellStyle name="Обычный 3 28 2 2" xfId="3849"/>
    <cellStyle name="Обычный 3 28 2 3" xfId="3850"/>
    <cellStyle name="Обычный 3 28 3" xfId="3851"/>
    <cellStyle name="Обычный 3 28 4" xfId="3852"/>
    <cellStyle name="Обычный 3 29" xfId="3853"/>
    <cellStyle name="Обычный 3 29 2" xfId="3854"/>
    <cellStyle name="Обычный 3 29 2 2" xfId="3855"/>
    <cellStyle name="Обычный 3 29 2 3" xfId="3856"/>
    <cellStyle name="Обычный 3 29 3" xfId="3857"/>
    <cellStyle name="Обычный 3 29 4" xfId="3858"/>
    <cellStyle name="Обычный 3 3" xfId="3859"/>
    <cellStyle name="Обычный 3 3 10" xfId="16866"/>
    <cellStyle name="Обычный 3 3 11" xfId="16867"/>
    <cellStyle name="Обычный 3 3 12" xfId="16868"/>
    <cellStyle name="Обычный 3 3 13" xfId="16869"/>
    <cellStyle name="Обычный 3 3 2" xfId="3860"/>
    <cellStyle name="Обычный 3 3 2 2" xfId="3861"/>
    <cellStyle name="Обычный 3 3 2 2 2" xfId="3862"/>
    <cellStyle name="Обычный 3 3 2 2 3" xfId="3863"/>
    <cellStyle name="Обычный 3 3 2 3" xfId="3864"/>
    <cellStyle name="Обычный 3 3 2 4" xfId="3865"/>
    <cellStyle name="Обычный 3 3 2 4 2" xfId="16870"/>
    <cellStyle name="Обычный 3 3 2 4 3" xfId="16871"/>
    <cellStyle name="Обычный 3 3 2 4 4" xfId="16872"/>
    <cellStyle name="Обычный 3 3 2 4 5" xfId="16873"/>
    <cellStyle name="Обычный 3 3 2 5" xfId="16874"/>
    <cellStyle name="Обычный 3 3 2 6" xfId="16875"/>
    <cellStyle name="Обычный 3 3 2 7" xfId="16876"/>
    <cellStyle name="Обычный 3 3 2 8" xfId="16877"/>
    <cellStyle name="Обычный 3 3 3" xfId="3866"/>
    <cellStyle name="Обычный 3 3 3 2" xfId="3867"/>
    <cellStyle name="Обычный 3 3 3 2 2" xfId="3868"/>
    <cellStyle name="Обычный 3 3 3 2 3" xfId="3869"/>
    <cellStyle name="Обычный 3 3 3 3" xfId="3870"/>
    <cellStyle name="Обычный 3 3 3 4" xfId="3871"/>
    <cellStyle name="Обычный 3 3 3 4 2" xfId="16878"/>
    <cellStyle name="Обычный 3 3 3 4 3" xfId="16879"/>
    <cellStyle name="Обычный 3 3 3 4 4" xfId="16880"/>
    <cellStyle name="Обычный 3 3 3 4 5" xfId="16881"/>
    <cellStyle name="Обычный 3 3 3 5" xfId="16882"/>
    <cellStyle name="Обычный 3 3 3 6" xfId="16883"/>
    <cellStyle name="Обычный 3 3 3 7" xfId="16884"/>
    <cellStyle name="Обычный 3 3 3 8" xfId="16885"/>
    <cellStyle name="Обычный 3 3 4" xfId="3872"/>
    <cellStyle name="Обычный 3 3 4 2" xfId="3873"/>
    <cellStyle name="Обычный 3 3 4 2 2" xfId="3874"/>
    <cellStyle name="Обычный 3 3 4 2 3" xfId="3875"/>
    <cellStyle name="Обычный 3 3 4 3" xfId="3876"/>
    <cellStyle name="Обычный 3 3 4 4" xfId="3877"/>
    <cellStyle name="Обычный 3 3 4 4 2" xfId="16886"/>
    <cellStyle name="Обычный 3 3 4 4 3" xfId="16887"/>
    <cellStyle name="Обычный 3 3 4 4 4" xfId="16888"/>
    <cellStyle name="Обычный 3 3 4 4 5" xfId="16889"/>
    <cellStyle name="Обычный 3 3 4 5" xfId="16890"/>
    <cellStyle name="Обычный 3 3 4 6" xfId="16891"/>
    <cellStyle name="Обычный 3 3 4 7" xfId="16892"/>
    <cellStyle name="Обычный 3 3 4 8" xfId="16893"/>
    <cellStyle name="Обычный 3 3 5" xfId="3878"/>
    <cellStyle name="Обычный 3 3 5 2" xfId="3879"/>
    <cellStyle name="Обычный 3 3 5 2 2" xfId="3880"/>
    <cellStyle name="Обычный 3 3 5 2 3" xfId="3881"/>
    <cellStyle name="Обычный 3 3 5 3" xfId="3882"/>
    <cellStyle name="Обычный 3 3 5 4" xfId="3883"/>
    <cellStyle name="Обычный 3 3 5 4 2" xfId="16894"/>
    <cellStyle name="Обычный 3 3 5 4 3" xfId="16895"/>
    <cellStyle name="Обычный 3 3 5 4 4" xfId="16896"/>
    <cellStyle name="Обычный 3 3 5 4 5" xfId="16897"/>
    <cellStyle name="Обычный 3 3 5 5" xfId="16898"/>
    <cellStyle name="Обычный 3 3 5 6" xfId="16899"/>
    <cellStyle name="Обычный 3 3 5 7" xfId="16900"/>
    <cellStyle name="Обычный 3 3 5 8" xfId="16901"/>
    <cellStyle name="Обычный 3 3 6" xfId="3884"/>
    <cellStyle name="Обычный 3 3 6 2" xfId="3885"/>
    <cellStyle name="Обычный 3 3 6 2 2" xfId="3886"/>
    <cellStyle name="Обычный 3 3 6 2 3" xfId="3887"/>
    <cellStyle name="Обычный 3 3 6 3" xfId="3888"/>
    <cellStyle name="Обычный 3 3 6 4" xfId="3889"/>
    <cellStyle name="Обычный 3 3 6 4 2" xfId="16902"/>
    <cellStyle name="Обычный 3 3 6 4 3" xfId="16903"/>
    <cellStyle name="Обычный 3 3 6 4 4" xfId="16904"/>
    <cellStyle name="Обычный 3 3 6 4 5" xfId="16905"/>
    <cellStyle name="Обычный 3 3 6 5" xfId="16906"/>
    <cellStyle name="Обычный 3 3 6 6" xfId="16907"/>
    <cellStyle name="Обычный 3 3 6 7" xfId="16908"/>
    <cellStyle name="Обычный 3 3 6 8" xfId="16909"/>
    <cellStyle name="Обычный 3 3 7" xfId="3890"/>
    <cellStyle name="Обычный 3 3 7 2" xfId="3891"/>
    <cellStyle name="Обычный 3 3 7 3" xfId="3892"/>
    <cellStyle name="Обычный 3 3 8" xfId="3893"/>
    <cellStyle name="Обычный 3 3 9" xfId="3894"/>
    <cellStyle name="Обычный 3 3 9 2" xfId="16910"/>
    <cellStyle name="Обычный 3 3 9 3" xfId="16911"/>
    <cellStyle name="Обычный 3 3 9 4" xfId="16912"/>
    <cellStyle name="Обычный 3 3 9 5" xfId="16913"/>
    <cellStyle name="Обычный 3 30" xfId="3895"/>
    <cellStyle name="Обычный 3 30 10" xfId="16914"/>
    <cellStyle name="Обычный 3 30 11" xfId="16915"/>
    <cellStyle name="Обычный 3 30 2" xfId="3896"/>
    <cellStyle name="Обычный 3 30 2 2" xfId="16916"/>
    <cellStyle name="Обычный 3 30 2 3" xfId="16917"/>
    <cellStyle name="Обычный 3 30 2 4" xfId="16918"/>
    <cellStyle name="Обычный 3 30 2 5" xfId="16919"/>
    <cellStyle name="Обычный 3 30 2 6" xfId="16920"/>
    <cellStyle name="Обычный 3 30 2 7" xfId="16921"/>
    <cellStyle name="Обычный 3 30 2 8" xfId="16922"/>
    <cellStyle name="Обычный 3 30 2 9" xfId="16923"/>
    <cellStyle name="Обычный 3 30 3" xfId="3897"/>
    <cellStyle name="Обычный 3 30 3 2" xfId="16924"/>
    <cellStyle name="Обычный 3 30 3 3" xfId="16925"/>
    <cellStyle name="Обычный 3 30 3 4" xfId="16926"/>
    <cellStyle name="Обычный 3 30 3 5" xfId="16927"/>
    <cellStyle name="Обычный 3 30 3 6" xfId="16928"/>
    <cellStyle name="Обычный 3 30 3 7" xfId="16929"/>
    <cellStyle name="Обычный 3 30 3 8" xfId="16930"/>
    <cellStyle name="Обычный 3 30 3 9" xfId="16931"/>
    <cellStyle name="Обычный 3 30 4" xfId="16932"/>
    <cellStyle name="Обычный 3 30 5" xfId="16933"/>
    <cellStyle name="Обычный 3 30 6" xfId="16934"/>
    <cellStyle name="Обычный 3 30 7" xfId="16935"/>
    <cellStyle name="Обычный 3 30 8" xfId="16936"/>
    <cellStyle name="Обычный 3 30 9" xfId="16937"/>
    <cellStyle name="Обычный 3 31" xfId="3898"/>
    <cellStyle name="Обычный 3 31 2" xfId="16938"/>
    <cellStyle name="Обычный 3 31 3" xfId="16939"/>
    <cellStyle name="Обычный 3 31 4" xfId="16940"/>
    <cellStyle name="Обычный 3 31 5" xfId="16941"/>
    <cellStyle name="Обычный 3 31 6" xfId="16942"/>
    <cellStyle name="Обычный 3 31 7" xfId="16943"/>
    <cellStyle name="Обычный 3 31 8" xfId="16944"/>
    <cellStyle name="Обычный 3 31 9" xfId="16945"/>
    <cellStyle name="Обычный 3 32" xfId="3899"/>
    <cellStyle name="Обычный 3 33" xfId="3900"/>
    <cellStyle name="Обычный 3 34" xfId="3901"/>
    <cellStyle name="Обычный 3 35" xfId="23872"/>
    <cellStyle name="Обычный 3 35 2" xfId="23839"/>
    <cellStyle name="Обычный 3 35 2 2" xfId="23904"/>
    <cellStyle name="Обычный 3 36" xfId="23905"/>
    <cellStyle name="Обычный 3 4" xfId="3902"/>
    <cellStyle name="Обычный 3 4 2" xfId="3903"/>
    <cellStyle name="Обычный 3 4 2 2" xfId="3904"/>
    <cellStyle name="Обычный 3 4 2 3" xfId="3905"/>
    <cellStyle name="Обычный 3 4 3" xfId="3906"/>
    <cellStyle name="Обычный 3 4 4" xfId="3907"/>
    <cellStyle name="Обычный 3 4 4 2" xfId="16946"/>
    <cellStyle name="Обычный 3 4 4 3" xfId="16947"/>
    <cellStyle name="Обычный 3 4 4 4" xfId="16948"/>
    <cellStyle name="Обычный 3 4 4 5" xfId="16949"/>
    <cellStyle name="Обычный 3 4 5" xfId="16950"/>
    <cellStyle name="Обычный 3 4 6" xfId="16951"/>
    <cellStyle name="Обычный 3 4 7" xfId="16952"/>
    <cellStyle name="Обычный 3 4 8" xfId="16953"/>
    <cellStyle name="Обычный 3 5" xfId="3908"/>
    <cellStyle name="Обычный 3 5 2" xfId="3909"/>
    <cellStyle name="Обычный 3 5 2 2" xfId="3910"/>
    <cellStyle name="Обычный 3 5 2 3" xfId="3911"/>
    <cellStyle name="Обычный 3 5 3" xfId="3912"/>
    <cellStyle name="Обычный 3 5 4" xfId="3913"/>
    <cellStyle name="Обычный 3 5 4 2" xfId="16954"/>
    <cellStyle name="Обычный 3 5 4 3" xfId="16955"/>
    <cellStyle name="Обычный 3 5 4 4" xfId="16956"/>
    <cellStyle name="Обычный 3 5 4 5" xfId="16957"/>
    <cellStyle name="Обычный 3 5 5" xfId="16958"/>
    <cellStyle name="Обычный 3 5 6" xfId="16959"/>
    <cellStyle name="Обычный 3 5 7" xfId="16960"/>
    <cellStyle name="Обычный 3 5 8" xfId="16961"/>
    <cellStyle name="Обычный 3 6" xfId="3914"/>
    <cellStyle name="Обычный 3 6 2" xfId="3915"/>
    <cellStyle name="Обычный 3 6 2 2" xfId="3916"/>
    <cellStyle name="Обычный 3 6 2 3" xfId="3917"/>
    <cellStyle name="Обычный 3 6 3" xfId="3918"/>
    <cellStyle name="Обычный 3 6 4" xfId="3919"/>
    <cellStyle name="Обычный 3 6 4 2" xfId="16962"/>
    <cellStyle name="Обычный 3 6 4 3" xfId="16963"/>
    <cellStyle name="Обычный 3 6 4 4" xfId="16964"/>
    <cellStyle name="Обычный 3 6 4 5" xfId="16965"/>
    <cellStyle name="Обычный 3 6 5" xfId="16966"/>
    <cellStyle name="Обычный 3 6 6" xfId="16967"/>
    <cellStyle name="Обычный 3 6 7" xfId="16968"/>
    <cellStyle name="Обычный 3 6 8" xfId="16969"/>
    <cellStyle name="Обычный 3 7" xfId="3920"/>
    <cellStyle name="Обычный 3 7 2" xfId="3921"/>
    <cellStyle name="Обычный 3 7 2 2" xfId="3922"/>
    <cellStyle name="Обычный 3 7 2 3" xfId="3923"/>
    <cellStyle name="Обычный 3 7 3" xfId="3924"/>
    <cellStyle name="Обычный 3 7 4" xfId="3925"/>
    <cellStyle name="Обычный 3 7 4 2" xfId="16970"/>
    <cellStyle name="Обычный 3 7 4 3" xfId="16971"/>
    <cellStyle name="Обычный 3 7 4 4" xfId="16972"/>
    <cellStyle name="Обычный 3 7 4 5" xfId="16973"/>
    <cellStyle name="Обычный 3 7 5" xfId="16974"/>
    <cellStyle name="Обычный 3 7 6" xfId="16975"/>
    <cellStyle name="Обычный 3 7 7" xfId="16976"/>
    <cellStyle name="Обычный 3 7 8" xfId="16977"/>
    <cellStyle name="Обычный 3 8" xfId="3926"/>
    <cellStyle name="Обычный 3 8 2" xfId="3927"/>
    <cellStyle name="Обычный 3 8 2 2" xfId="3928"/>
    <cellStyle name="Обычный 3 8 2 3" xfId="3929"/>
    <cellStyle name="Обычный 3 8 3" xfId="3930"/>
    <cellStyle name="Обычный 3 8 4" xfId="3931"/>
    <cellStyle name="Обычный 3 8 4 2" xfId="16978"/>
    <cellStyle name="Обычный 3 8 4 3" xfId="16979"/>
    <cellStyle name="Обычный 3 8 4 4" xfId="16980"/>
    <cellStyle name="Обычный 3 8 4 5" xfId="16981"/>
    <cellStyle name="Обычный 3 8 5" xfId="16982"/>
    <cellStyle name="Обычный 3 8 6" xfId="16983"/>
    <cellStyle name="Обычный 3 8 7" xfId="16984"/>
    <cellStyle name="Обычный 3 8 8" xfId="16985"/>
    <cellStyle name="Обычный 3 9" xfId="3932"/>
    <cellStyle name="Обычный 3 9 2" xfId="3933"/>
    <cellStyle name="Обычный 3 9 2 2" xfId="3934"/>
    <cellStyle name="Обычный 3 9 2 3" xfId="3935"/>
    <cellStyle name="Обычный 3 9 3" xfId="3936"/>
    <cellStyle name="Обычный 3 9 4" xfId="3937"/>
    <cellStyle name="Обычный 3 9 4 2" xfId="16986"/>
    <cellStyle name="Обычный 3 9 4 3" xfId="16987"/>
    <cellStyle name="Обычный 3 9 4 4" xfId="16988"/>
    <cellStyle name="Обычный 3 9 4 5" xfId="16989"/>
    <cellStyle name="Обычный 3 9 5" xfId="16990"/>
    <cellStyle name="Обычный 3 9 6" xfId="16991"/>
    <cellStyle name="Обычный 3 9 7" xfId="16992"/>
    <cellStyle name="Обычный 3 9 8" xfId="16993"/>
    <cellStyle name="Обычный 4" xfId="6"/>
    <cellStyle name="Обычный 4 10" xfId="3938"/>
    <cellStyle name="Обычный 4 10 2" xfId="3939"/>
    <cellStyle name="Обычный 4 10 2 10" xfId="16994"/>
    <cellStyle name="Обычный 4 10 2 11" xfId="16995"/>
    <cellStyle name="Обычный 4 10 2 12" xfId="16996"/>
    <cellStyle name="Обычный 4 10 2 2" xfId="3940"/>
    <cellStyle name="Обычный 4 10 2 2 10" xfId="16997"/>
    <cellStyle name="Обычный 4 10 2 2 11" xfId="16998"/>
    <cellStyle name="Обычный 4 10 2 2 12" xfId="16999"/>
    <cellStyle name="Обычный 4 10 2 2 2" xfId="3941"/>
    <cellStyle name="Обычный 4 10 2 2 2 2" xfId="17000"/>
    <cellStyle name="Обычный 4 10 2 2 2 3" xfId="17001"/>
    <cellStyle name="Обычный 4 10 2 2 2 4" xfId="17002"/>
    <cellStyle name="Обычный 4 10 2 2 2 5" xfId="17003"/>
    <cellStyle name="Обычный 4 10 2 2 2 6" xfId="17004"/>
    <cellStyle name="Обычный 4 10 2 2 2 7" xfId="17005"/>
    <cellStyle name="Обычный 4 10 2 2 2 8" xfId="17006"/>
    <cellStyle name="Обычный 4 10 2 2 2 9" xfId="17007"/>
    <cellStyle name="Обычный 4 10 2 2 3" xfId="3942"/>
    <cellStyle name="Обычный 4 10 2 2 3 2" xfId="17008"/>
    <cellStyle name="Обычный 4 10 2 2 3 3" xfId="17009"/>
    <cellStyle name="Обычный 4 10 2 2 3 4" xfId="17010"/>
    <cellStyle name="Обычный 4 10 2 2 3 5" xfId="17011"/>
    <cellStyle name="Обычный 4 10 2 2 3 6" xfId="17012"/>
    <cellStyle name="Обычный 4 10 2 2 3 7" xfId="17013"/>
    <cellStyle name="Обычный 4 10 2 2 3 8" xfId="17014"/>
    <cellStyle name="Обычный 4 10 2 2 3 9" xfId="17015"/>
    <cellStyle name="Обычный 4 10 2 2 4" xfId="3943"/>
    <cellStyle name="Обычный 4 10 2 2 4 2" xfId="17016"/>
    <cellStyle name="Обычный 4 10 2 2 4 3" xfId="17017"/>
    <cellStyle name="Обычный 4 10 2 2 4 4" xfId="17018"/>
    <cellStyle name="Обычный 4 10 2 2 4 5" xfId="17019"/>
    <cellStyle name="Обычный 4 10 2 2 4 6" xfId="17020"/>
    <cellStyle name="Обычный 4 10 2 2 4 7" xfId="17021"/>
    <cellStyle name="Обычный 4 10 2 2 4 8" xfId="17022"/>
    <cellStyle name="Обычный 4 10 2 2 4 9" xfId="17023"/>
    <cellStyle name="Обычный 4 10 2 2 5" xfId="17024"/>
    <cellStyle name="Обычный 4 10 2 2 6" xfId="17025"/>
    <cellStyle name="Обычный 4 10 2 2 7" xfId="17026"/>
    <cellStyle name="Обычный 4 10 2 2 8" xfId="17027"/>
    <cellStyle name="Обычный 4 10 2 2 9" xfId="17028"/>
    <cellStyle name="Обычный 4 10 2 3" xfId="3944"/>
    <cellStyle name="Обычный 4 10 2 3 10" xfId="17029"/>
    <cellStyle name="Обычный 4 10 2 3 11" xfId="17030"/>
    <cellStyle name="Обычный 4 10 2 3 2" xfId="3945"/>
    <cellStyle name="Обычный 4 10 2 3 2 2" xfId="17031"/>
    <cellStyle name="Обычный 4 10 2 3 2 3" xfId="17032"/>
    <cellStyle name="Обычный 4 10 2 3 2 4" xfId="17033"/>
    <cellStyle name="Обычный 4 10 2 3 2 5" xfId="17034"/>
    <cellStyle name="Обычный 4 10 2 3 2 6" xfId="17035"/>
    <cellStyle name="Обычный 4 10 2 3 2 7" xfId="17036"/>
    <cellStyle name="Обычный 4 10 2 3 2 8" xfId="17037"/>
    <cellStyle name="Обычный 4 10 2 3 2 9" xfId="17038"/>
    <cellStyle name="Обычный 4 10 2 3 3" xfId="3946"/>
    <cellStyle name="Обычный 4 10 2 3 3 2" xfId="17039"/>
    <cellStyle name="Обычный 4 10 2 3 3 3" xfId="17040"/>
    <cellStyle name="Обычный 4 10 2 3 3 4" xfId="17041"/>
    <cellStyle name="Обычный 4 10 2 3 3 5" xfId="17042"/>
    <cellStyle name="Обычный 4 10 2 3 3 6" xfId="17043"/>
    <cellStyle name="Обычный 4 10 2 3 3 7" xfId="17044"/>
    <cellStyle name="Обычный 4 10 2 3 3 8" xfId="17045"/>
    <cellStyle name="Обычный 4 10 2 3 3 9" xfId="17046"/>
    <cellStyle name="Обычный 4 10 2 3 4" xfId="17047"/>
    <cellStyle name="Обычный 4 10 2 3 5" xfId="17048"/>
    <cellStyle name="Обычный 4 10 2 3 6" xfId="17049"/>
    <cellStyle name="Обычный 4 10 2 3 7" xfId="17050"/>
    <cellStyle name="Обычный 4 10 2 3 8" xfId="17051"/>
    <cellStyle name="Обычный 4 10 2 3 9" xfId="17052"/>
    <cellStyle name="Обычный 4 10 2 4" xfId="3947"/>
    <cellStyle name="Обычный 4 10 2 4 2" xfId="17053"/>
    <cellStyle name="Обычный 4 10 2 4 3" xfId="17054"/>
    <cellStyle name="Обычный 4 10 2 4 4" xfId="17055"/>
    <cellStyle name="Обычный 4 10 2 4 5" xfId="17056"/>
    <cellStyle name="Обычный 4 10 2 4 6" xfId="17057"/>
    <cellStyle name="Обычный 4 10 2 4 7" xfId="17058"/>
    <cellStyle name="Обычный 4 10 2 4 8" xfId="17059"/>
    <cellStyle name="Обычный 4 10 2 4 9" xfId="17060"/>
    <cellStyle name="Обычный 4 10 2 5" xfId="17061"/>
    <cellStyle name="Обычный 4 10 2 6" xfId="17062"/>
    <cellStyle name="Обычный 4 10 2 7" xfId="17063"/>
    <cellStyle name="Обычный 4 10 2 8" xfId="17064"/>
    <cellStyle name="Обычный 4 10 2 9" xfId="17065"/>
    <cellStyle name="Обычный 4 10 3" xfId="3948"/>
    <cellStyle name="Обычный 4 10 3 2" xfId="3949"/>
    <cellStyle name="Обычный 4 10 3 3" xfId="3950"/>
    <cellStyle name="Обычный 4 10 4" xfId="3951"/>
    <cellStyle name="Обычный 4 10 5" xfId="3952"/>
    <cellStyle name="Обычный 4 10 5 2" xfId="17066"/>
    <cellStyle name="Обычный 4 10 5 3" xfId="17067"/>
    <cellStyle name="Обычный 4 10 5 4" xfId="17068"/>
    <cellStyle name="Обычный 4 10 5 5" xfId="17069"/>
    <cellStyle name="Обычный 4 10 6" xfId="17070"/>
    <cellStyle name="Обычный 4 10 7" xfId="17071"/>
    <cellStyle name="Обычный 4 10 8" xfId="17072"/>
    <cellStyle name="Обычный 4 10 9" xfId="17073"/>
    <cellStyle name="Обычный 4 11" xfId="3953"/>
    <cellStyle name="Обычный 4 11 2" xfId="3954"/>
    <cellStyle name="Обычный 4 11 2 2" xfId="3955"/>
    <cellStyle name="Обычный 4 11 2 3" xfId="3956"/>
    <cellStyle name="Обычный 4 11 3" xfId="3957"/>
    <cellStyle name="Обычный 4 11 4" xfId="3958"/>
    <cellStyle name="Обычный 4 11 4 2" xfId="17074"/>
    <cellStyle name="Обычный 4 11 4 3" xfId="17075"/>
    <cellStyle name="Обычный 4 11 4 4" xfId="17076"/>
    <cellStyle name="Обычный 4 11 4 5" xfId="17077"/>
    <cellStyle name="Обычный 4 11 5" xfId="17078"/>
    <cellStyle name="Обычный 4 11 6" xfId="17079"/>
    <cellStyle name="Обычный 4 11 7" xfId="17080"/>
    <cellStyle name="Обычный 4 11 8" xfId="17081"/>
    <cellStyle name="Обычный 4 12" xfId="3959"/>
    <cellStyle name="Обычный 4 12 2" xfId="3960"/>
    <cellStyle name="Обычный 4 12 2 2" xfId="3961"/>
    <cellStyle name="Обычный 4 12 2 3" xfId="3962"/>
    <cellStyle name="Обычный 4 12 3" xfId="3963"/>
    <cellStyle name="Обычный 4 12 4" xfId="3964"/>
    <cellStyle name="Обычный 4 12 4 2" xfId="17082"/>
    <cellStyle name="Обычный 4 12 4 3" xfId="17083"/>
    <cellStyle name="Обычный 4 12 4 4" xfId="17084"/>
    <cellStyle name="Обычный 4 12 4 5" xfId="17085"/>
    <cellStyle name="Обычный 4 12 5" xfId="17086"/>
    <cellStyle name="Обычный 4 12 6" xfId="17087"/>
    <cellStyle name="Обычный 4 12 7" xfId="17088"/>
    <cellStyle name="Обычный 4 12 8" xfId="17089"/>
    <cellStyle name="Обычный 4 13" xfId="3965"/>
    <cellStyle name="Обычный 4 13 2" xfId="3966"/>
    <cellStyle name="Обычный 4 13 2 2" xfId="3967"/>
    <cellStyle name="Обычный 4 13 2 3" xfId="3968"/>
    <cellStyle name="Обычный 4 13 3" xfId="3969"/>
    <cellStyle name="Обычный 4 13 4" xfId="3970"/>
    <cellStyle name="Обычный 4 13 4 2" xfId="17090"/>
    <cellStyle name="Обычный 4 13 4 3" xfId="17091"/>
    <cellStyle name="Обычный 4 13 4 4" xfId="17092"/>
    <cellStyle name="Обычный 4 13 4 5" xfId="17093"/>
    <cellStyle name="Обычный 4 13 5" xfId="17094"/>
    <cellStyle name="Обычный 4 13 6" xfId="17095"/>
    <cellStyle name="Обычный 4 13 7" xfId="17096"/>
    <cellStyle name="Обычный 4 13 8" xfId="17097"/>
    <cellStyle name="Обычный 4 14" xfId="3971"/>
    <cellStyle name="Обычный 4 14 10" xfId="17098"/>
    <cellStyle name="Обычный 4 14 11" xfId="17099"/>
    <cellStyle name="Обычный 4 14 12" xfId="17100"/>
    <cellStyle name="Обычный 4 14 13" xfId="17101"/>
    <cellStyle name="Обычный 4 14 14" xfId="17102"/>
    <cellStyle name="Обычный 4 14 2" xfId="3972"/>
    <cellStyle name="Обычный 4 14 2 2" xfId="3973"/>
    <cellStyle name="Обычный 4 14 2 2 2" xfId="3974"/>
    <cellStyle name="Обычный 4 14 2 2 3" xfId="3975"/>
    <cellStyle name="Обычный 4 14 2 3" xfId="3976"/>
    <cellStyle name="Обычный 4 14 2 4" xfId="3977"/>
    <cellStyle name="Обычный 4 14 2 4 2" xfId="17103"/>
    <cellStyle name="Обычный 4 14 2 4 3" xfId="17104"/>
    <cellStyle name="Обычный 4 14 2 4 4" xfId="17105"/>
    <cellStyle name="Обычный 4 14 2 4 5" xfId="17106"/>
    <cellStyle name="Обычный 4 14 2 5" xfId="17107"/>
    <cellStyle name="Обычный 4 14 2 6" xfId="17108"/>
    <cellStyle name="Обычный 4 14 2 7" xfId="17109"/>
    <cellStyle name="Обычный 4 14 2 8" xfId="17110"/>
    <cellStyle name="Обычный 4 14 3" xfId="3978"/>
    <cellStyle name="Обычный 4 14 3 2" xfId="3979"/>
    <cellStyle name="Обычный 4 14 3 2 2" xfId="3980"/>
    <cellStyle name="Обычный 4 14 3 2 3" xfId="3981"/>
    <cellStyle name="Обычный 4 14 3 3" xfId="3982"/>
    <cellStyle name="Обычный 4 14 3 4" xfId="3983"/>
    <cellStyle name="Обычный 4 14 3 4 2" xfId="17111"/>
    <cellStyle name="Обычный 4 14 3 4 3" xfId="17112"/>
    <cellStyle name="Обычный 4 14 3 4 4" xfId="17113"/>
    <cellStyle name="Обычный 4 14 3 4 5" xfId="17114"/>
    <cellStyle name="Обычный 4 14 3 5" xfId="17115"/>
    <cellStyle name="Обычный 4 14 3 6" xfId="17116"/>
    <cellStyle name="Обычный 4 14 3 7" xfId="17117"/>
    <cellStyle name="Обычный 4 14 3 8" xfId="17118"/>
    <cellStyle name="Обычный 4 14 4" xfId="3984"/>
    <cellStyle name="Обычный 4 14 4 10" xfId="17119"/>
    <cellStyle name="Обычный 4 14 4 11" xfId="17120"/>
    <cellStyle name="Обычный 4 14 4 12" xfId="17121"/>
    <cellStyle name="Обычный 4 14 4 2" xfId="3985"/>
    <cellStyle name="Обычный 4 14 4 2 2" xfId="17122"/>
    <cellStyle name="Обычный 4 14 4 2 3" xfId="17123"/>
    <cellStyle name="Обычный 4 14 4 2 4" xfId="17124"/>
    <cellStyle name="Обычный 4 14 4 2 5" xfId="17125"/>
    <cellStyle name="Обычный 4 14 4 2 6" xfId="17126"/>
    <cellStyle name="Обычный 4 14 4 2 7" xfId="17127"/>
    <cellStyle name="Обычный 4 14 4 2 8" xfId="17128"/>
    <cellStyle name="Обычный 4 14 4 2 9" xfId="17129"/>
    <cellStyle name="Обычный 4 14 4 3" xfId="3986"/>
    <cellStyle name="Обычный 4 14 4 3 2" xfId="17130"/>
    <cellStyle name="Обычный 4 14 4 3 3" xfId="17131"/>
    <cellStyle name="Обычный 4 14 4 3 4" xfId="17132"/>
    <cellStyle name="Обычный 4 14 4 3 5" xfId="17133"/>
    <cellStyle name="Обычный 4 14 4 3 6" xfId="17134"/>
    <cellStyle name="Обычный 4 14 4 3 7" xfId="17135"/>
    <cellStyle name="Обычный 4 14 4 3 8" xfId="17136"/>
    <cellStyle name="Обычный 4 14 4 3 9" xfId="17137"/>
    <cellStyle name="Обычный 4 14 4 4" xfId="3987"/>
    <cellStyle name="Обычный 4 14 4 4 2" xfId="17138"/>
    <cellStyle name="Обычный 4 14 4 4 3" xfId="17139"/>
    <cellStyle name="Обычный 4 14 4 4 4" xfId="17140"/>
    <cellStyle name="Обычный 4 14 4 4 5" xfId="17141"/>
    <cellStyle name="Обычный 4 14 4 4 6" xfId="17142"/>
    <cellStyle name="Обычный 4 14 4 4 7" xfId="17143"/>
    <cellStyle name="Обычный 4 14 4 4 8" xfId="17144"/>
    <cellStyle name="Обычный 4 14 4 4 9" xfId="17145"/>
    <cellStyle name="Обычный 4 14 4 5" xfId="17146"/>
    <cellStyle name="Обычный 4 14 4 6" xfId="17147"/>
    <cellStyle name="Обычный 4 14 4 7" xfId="17148"/>
    <cellStyle name="Обычный 4 14 4 8" xfId="17149"/>
    <cellStyle name="Обычный 4 14 4 9" xfId="17150"/>
    <cellStyle name="Обычный 4 14 5" xfId="3988"/>
    <cellStyle name="Обычный 4 14 5 10" xfId="17151"/>
    <cellStyle name="Обычный 4 14 5 11" xfId="17152"/>
    <cellStyle name="Обычный 4 14 5 2" xfId="3989"/>
    <cellStyle name="Обычный 4 14 5 2 2" xfId="17153"/>
    <cellStyle name="Обычный 4 14 5 2 3" xfId="17154"/>
    <cellStyle name="Обычный 4 14 5 2 4" xfId="17155"/>
    <cellStyle name="Обычный 4 14 5 2 5" xfId="17156"/>
    <cellStyle name="Обычный 4 14 5 2 6" xfId="17157"/>
    <cellStyle name="Обычный 4 14 5 2 7" xfId="17158"/>
    <cellStyle name="Обычный 4 14 5 2 8" xfId="17159"/>
    <cellStyle name="Обычный 4 14 5 2 9" xfId="17160"/>
    <cellStyle name="Обычный 4 14 5 3" xfId="3990"/>
    <cellStyle name="Обычный 4 14 5 3 2" xfId="17161"/>
    <cellStyle name="Обычный 4 14 5 3 3" xfId="17162"/>
    <cellStyle name="Обычный 4 14 5 3 4" xfId="17163"/>
    <cellStyle name="Обычный 4 14 5 3 5" xfId="17164"/>
    <cellStyle name="Обычный 4 14 5 3 6" xfId="17165"/>
    <cellStyle name="Обычный 4 14 5 3 7" xfId="17166"/>
    <cellStyle name="Обычный 4 14 5 3 8" xfId="17167"/>
    <cellStyle name="Обычный 4 14 5 3 9" xfId="17168"/>
    <cellStyle name="Обычный 4 14 5 4" xfId="17169"/>
    <cellStyle name="Обычный 4 14 5 5" xfId="17170"/>
    <cellStyle name="Обычный 4 14 5 6" xfId="17171"/>
    <cellStyle name="Обычный 4 14 5 7" xfId="17172"/>
    <cellStyle name="Обычный 4 14 5 8" xfId="17173"/>
    <cellStyle name="Обычный 4 14 5 9" xfId="17174"/>
    <cellStyle name="Обычный 4 14 6" xfId="3991"/>
    <cellStyle name="Обычный 4 14 6 2" xfId="17175"/>
    <cellStyle name="Обычный 4 14 6 3" xfId="17176"/>
    <cellStyle name="Обычный 4 14 6 4" xfId="17177"/>
    <cellStyle name="Обычный 4 14 6 5" xfId="17178"/>
    <cellStyle name="Обычный 4 14 6 6" xfId="17179"/>
    <cellStyle name="Обычный 4 14 6 7" xfId="17180"/>
    <cellStyle name="Обычный 4 14 6 8" xfId="17181"/>
    <cellStyle name="Обычный 4 14 6 9" xfId="17182"/>
    <cellStyle name="Обычный 4 14 7" xfId="17183"/>
    <cellStyle name="Обычный 4 14 8" xfId="17184"/>
    <cellStyle name="Обычный 4 14 9" xfId="17185"/>
    <cellStyle name="Обычный 4 15" xfId="3992"/>
    <cellStyle name="Обычный 4 15 10" xfId="17186"/>
    <cellStyle name="Обычный 4 15 11" xfId="17187"/>
    <cellStyle name="Обычный 4 15 12" xfId="17188"/>
    <cellStyle name="Обычный 4 15 2" xfId="3993"/>
    <cellStyle name="Обычный 4 15 2 10" xfId="17189"/>
    <cellStyle name="Обычный 4 15 2 11" xfId="17190"/>
    <cellStyle name="Обычный 4 15 2 12" xfId="17191"/>
    <cellStyle name="Обычный 4 15 2 2" xfId="3994"/>
    <cellStyle name="Обычный 4 15 2 2 2" xfId="17192"/>
    <cellStyle name="Обычный 4 15 2 2 3" xfId="17193"/>
    <cellStyle name="Обычный 4 15 2 2 4" xfId="17194"/>
    <cellStyle name="Обычный 4 15 2 2 5" xfId="17195"/>
    <cellStyle name="Обычный 4 15 2 2 6" xfId="17196"/>
    <cellStyle name="Обычный 4 15 2 2 7" xfId="17197"/>
    <cellStyle name="Обычный 4 15 2 2 8" xfId="17198"/>
    <cellStyle name="Обычный 4 15 2 2 9" xfId="17199"/>
    <cellStyle name="Обычный 4 15 2 3" xfId="3995"/>
    <cellStyle name="Обычный 4 15 2 3 2" xfId="17200"/>
    <cellStyle name="Обычный 4 15 2 3 3" xfId="17201"/>
    <cellStyle name="Обычный 4 15 2 3 4" xfId="17202"/>
    <cellStyle name="Обычный 4 15 2 3 5" xfId="17203"/>
    <cellStyle name="Обычный 4 15 2 3 6" xfId="17204"/>
    <cellStyle name="Обычный 4 15 2 3 7" xfId="17205"/>
    <cellStyle name="Обычный 4 15 2 3 8" xfId="17206"/>
    <cellStyle name="Обычный 4 15 2 3 9" xfId="17207"/>
    <cellStyle name="Обычный 4 15 2 4" xfId="3996"/>
    <cellStyle name="Обычный 4 15 2 4 2" xfId="17208"/>
    <cellStyle name="Обычный 4 15 2 4 3" xfId="17209"/>
    <cellStyle name="Обычный 4 15 2 4 4" xfId="17210"/>
    <cellStyle name="Обычный 4 15 2 4 5" xfId="17211"/>
    <cellStyle name="Обычный 4 15 2 4 6" xfId="17212"/>
    <cellStyle name="Обычный 4 15 2 4 7" xfId="17213"/>
    <cellStyle name="Обычный 4 15 2 4 8" xfId="17214"/>
    <cellStyle name="Обычный 4 15 2 4 9" xfId="17215"/>
    <cellStyle name="Обычный 4 15 2 5" xfId="17216"/>
    <cellStyle name="Обычный 4 15 2 6" xfId="17217"/>
    <cellStyle name="Обычный 4 15 2 7" xfId="17218"/>
    <cellStyle name="Обычный 4 15 2 8" xfId="17219"/>
    <cellStyle name="Обычный 4 15 2 9" xfId="17220"/>
    <cellStyle name="Обычный 4 15 3" xfId="3997"/>
    <cellStyle name="Обычный 4 15 3 10" xfId="17221"/>
    <cellStyle name="Обычный 4 15 3 11" xfId="17222"/>
    <cellStyle name="Обычный 4 15 3 2" xfId="3998"/>
    <cellStyle name="Обычный 4 15 3 2 2" xfId="17223"/>
    <cellStyle name="Обычный 4 15 3 2 3" xfId="17224"/>
    <cellStyle name="Обычный 4 15 3 2 4" xfId="17225"/>
    <cellStyle name="Обычный 4 15 3 2 5" xfId="17226"/>
    <cellStyle name="Обычный 4 15 3 2 6" xfId="17227"/>
    <cellStyle name="Обычный 4 15 3 2 7" xfId="17228"/>
    <cellStyle name="Обычный 4 15 3 2 8" xfId="17229"/>
    <cellStyle name="Обычный 4 15 3 2 9" xfId="17230"/>
    <cellStyle name="Обычный 4 15 3 3" xfId="3999"/>
    <cellStyle name="Обычный 4 15 3 3 2" xfId="17231"/>
    <cellStyle name="Обычный 4 15 3 3 3" xfId="17232"/>
    <cellStyle name="Обычный 4 15 3 3 4" xfId="17233"/>
    <cellStyle name="Обычный 4 15 3 3 5" xfId="17234"/>
    <cellStyle name="Обычный 4 15 3 3 6" xfId="17235"/>
    <cellStyle name="Обычный 4 15 3 3 7" xfId="17236"/>
    <cellStyle name="Обычный 4 15 3 3 8" xfId="17237"/>
    <cellStyle name="Обычный 4 15 3 3 9" xfId="17238"/>
    <cellStyle name="Обычный 4 15 3 4" xfId="17239"/>
    <cellStyle name="Обычный 4 15 3 5" xfId="17240"/>
    <cellStyle name="Обычный 4 15 3 6" xfId="17241"/>
    <cellStyle name="Обычный 4 15 3 7" xfId="17242"/>
    <cellStyle name="Обычный 4 15 3 8" xfId="17243"/>
    <cellStyle name="Обычный 4 15 3 9" xfId="17244"/>
    <cellStyle name="Обычный 4 15 4" xfId="4000"/>
    <cellStyle name="Обычный 4 15 4 2" xfId="17245"/>
    <cellStyle name="Обычный 4 15 4 3" xfId="17246"/>
    <cellStyle name="Обычный 4 15 4 4" xfId="17247"/>
    <cellStyle name="Обычный 4 15 4 5" xfId="17248"/>
    <cellStyle name="Обычный 4 15 4 6" xfId="17249"/>
    <cellStyle name="Обычный 4 15 4 7" xfId="17250"/>
    <cellStyle name="Обычный 4 15 4 8" xfId="17251"/>
    <cellStyle name="Обычный 4 15 4 9" xfId="17252"/>
    <cellStyle name="Обычный 4 15 5" xfId="17253"/>
    <cellStyle name="Обычный 4 15 6" xfId="17254"/>
    <cellStyle name="Обычный 4 15 7" xfId="17255"/>
    <cellStyle name="Обычный 4 15 8" xfId="17256"/>
    <cellStyle name="Обычный 4 15 9" xfId="17257"/>
    <cellStyle name="Обычный 4 16" xfId="4001"/>
    <cellStyle name="Обычный 4 16 2" xfId="4002"/>
    <cellStyle name="Обычный 4 16 3" xfId="4003"/>
    <cellStyle name="Обычный 4 17" xfId="4004"/>
    <cellStyle name="Обычный 4 18" xfId="4005"/>
    <cellStyle name="Обычный 4 18 2" xfId="17258"/>
    <cellStyle name="Обычный 4 18 3" xfId="17259"/>
    <cellStyle name="Обычный 4 18 4" xfId="17260"/>
    <cellStyle name="Обычный 4 18 5" xfId="17261"/>
    <cellStyle name="Обычный 4 19" xfId="17262"/>
    <cellStyle name="Обычный 4 2" xfId="4006"/>
    <cellStyle name="Обычный 4 2 10" xfId="4007"/>
    <cellStyle name="Обычный 4 2 10 2" xfId="4008"/>
    <cellStyle name="Обычный 4 2 10 2 2" xfId="4009"/>
    <cellStyle name="Обычный 4 2 10 2 2 2" xfId="17263"/>
    <cellStyle name="Обычный 4 2 10 2 2 3" xfId="17264"/>
    <cellStyle name="Обычный 4 2 10 2 2 4" xfId="17265"/>
    <cellStyle name="Обычный 4 2 10 2 2 5" xfId="17266"/>
    <cellStyle name="Обычный 4 2 10 2 2 6" xfId="17267"/>
    <cellStyle name="Обычный 4 2 10 2 3" xfId="4010"/>
    <cellStyle name="Обычный 4 2 10 2 3 2" xfId="17268"/>
    <cellStyle name="Обычный 4 2 10 2 3 3" xfId="17269"/>
    <cellStyle name="Обычный 4 2 10 2 3 4" xfId="17270"/>
    <cellStyle name="Обычный 4 2 10 2 3 5" xfId="17271"/>
    <cellStyle name="Обычный 4 2 10 2 3 6" xfId="17272"/>
    <cellStyle name="Обычный 4 2 10 2 4" xfId="17273"/>
    <cellStyle name="Обычный 4 2 10 2 5" xfId="17274"/>
    <cellStyle name="Обычный 4 2 10 2 6" xfId="17275"/>
    <cellStyle name="Обычный 4 2 10 2 7" xfId="17276"/>
    <cellStyle name="Обычный 4 2 10 2 8" xfId="17277"/>
    <cellStyle name="Обычный 4 2 10 3" xfId="4011"/>
    <cellStyle name="Обычный 4 2 10 3 2" xfId="17278"/>
    <cellStyle name="Обычный 4 2 10 3 3" xfId="17279"/>
    <cellStyle name="Обычный 4 2 10 3 4" xfId="17280"/>
    <cellStyle name="Обычный 4 2 10 3 5" xfId="17281"/>
    <cellStyle name="Обычный 4 2 10 3 6" xfId="17282"/>
    <cellStyle name="Обычный 4 2 10 4" xfId="4012"/>
    <cellStyle name="Обычный 4 2 10 4 2" xfId="17283"/>
    <cellStyle name="Обычный 4 2 10 4 3" xfId="17284"/>
    <cellStyle name="Обычный 4 2 10 4 4" xfId="17285"/>
    <cellStyle name="Обычный 4 2 10 4 5" xfId="17286"/>
    <cellStyle name="Обычный 4 2 10 5" xfId="17287"/>
    <cellStyle name="Обычный 4 2 10 6" xfId="17288"/>
    <cellStyle name="Обычный 4 2 10 7" xfId="17289"/>
    <cellStyle name="Обычный 4 2 10 8" xfId="17290"/>
    <cellStyle name="Обычный 4 2 11" xfId="4013"/>
    <cellStyle name="Обычный 4 2 11 2" xfId="4014"/>
    <cellStyle name="Обычный 4 2 11 2 2" xfId="4015"/>
    <cellStyle name="Обычный 4 2 11 2 2 2" xfId="17291"/>
    <cellStyle name="Обычный 4 2 11 2 2 3" xfId="17292"/>
    <cellStyle name="Обычный 4 2 11 2 2 4" xfId="17293"/>
    <cellStyle name="Обычный 4 2 11 2 2 5" xfId="17294"/>
    <cellStyle name="Обычный 4 2 11 2 2 6" xfId="17295"/>
    <cellStyle name="Обычный 4 2 11 2 3" xfId="4016"/>
    <cellStyle name="Обычный 4 2 11 2 3 2" xfId="17296"/>
    <cellStyle name="Обычный 4 2 11 2 3 3" xfId="17297"/>
    <cellStyle name="Обычный 4 2 11 2 3 4" xfId="17298"/>
    <cellStyle name="Обычный 4 2 11 2 3 5" xfId="17299"/>
    <cellStyle name="Обычный 4 2 11 2 3 6" xfId="17300"/>
    <cellStyle name="Обычный 4 2 11 2 4" xfId="17301"/>
    <cellStyle name="Обычный 4 2 11 2 5" xfId="17302"/>
    <cellStyle name="Обычный 4 2 11 2 6" xfId="17303"/>
    <cellStyle name="Обычный 4 2 11 2 7" xfId="17304"/>
    <cellStyle name="Обычный 4 2 11 2 8" xfId="17305"/>
    <cellStyle name="Обычный 4 2 11 3" xfId="4017"/>
    <cellStyle name="Обычный 4 2 11 3 2" xfId="17306"/>
    <cellStyle name="Обычный 4 2 11 3 3" xfId="17307"/>
    <cellStyle name="Обычный 4 2 11 3 4" xfId="17308"/>
    <cellStyle name="Обычный 4 2 11 3 5" xfId="17309"/>
    <cellStyle name="Обычный 4 2 11 3 6" xfId="17310"/>
    <cellStyle name="Обычный 4 2 11 4" xfId="4018"/>
    <cellStyle name="Обычный 4 2 11 4 2" xfId="17311"/>
    <cellStyle name="Обычный 4 2 11 4 3" xfId="17312"/>
    <cellStyle name="Обычный 4 2 11 4 4" xfId="17313"/>
    <cellStyle name="Обычный 4 2 11 4 5" xfId="17314"/>
    <cellStyle name="Обычный 4 2 11 5" xfId="17315"/>
    <cellStyle name="Обычный 4 2 11 6" xfId="17316"/>
    <cellStyle name="Обычный 4 2 11 7" xfId="17317"/>
    <cellStyle name="Обычный 4 2 11 8" xfId="17318"/>
    <cellStyle name="Обычный 4 2 12" xfId="4019"/>
    <cellStyle name="Обычный 4 2 12 2" xfId="4020"/>
    <cellStyle name="Обычный 4 2 12 3" xfId="4021"/>
    <cellStyle name="Обычный 4 2 13" xfId="4022"/>
    <cellStyle name="Обычный 4 2 14" xfId="4023"/>
    <cellStyle name="Обычный 4 2 14 2" xfId="17319"/>
    <cellStyle name="Обычный 4 2 14 3" xfId="17320"/>
    <cellStyle name="Обычный 4 2 14 4" xfId="17321"/>
    <cellStyle name="Обычный 4 2 14 5" xfId="17322"/>
    <cellStyle name="Обычный 4 2 15" xfId="17323"/>
    <cellStyle name="Обычный 4 2 16" xfId="17324"/>
    <cellStyle name="Обычный 4 2 17" xfId="17325"/>
    <cellStyle name="Обычный 4 2 18" xfId="17326"/>
    <cellStyle name="Обычный 4 2 2" xfId="4024"/>
    <cellStyle name="Обычный 4 2 2 2" xfId="4025"/>
    <cellStyle name="Обычный 4 2 2 2 2" xfId="4026"/>
    <cellStyle name="Обычный 4 2 2 2 3" xfId="4027"/>
    <cellStyle name="Обычный 4 2 2 3" xfId="4028"/>
    <cellStyle name="Обычный 4 2 2 4" xfId="4029"/>
    <cellStyle name="Обычный 4 2 3" xfId="4030"/>
    <cellStyle name="Обычный 4 2 3 2" xfId="4031"/>
    <cellStyle name="Обычный 4 2 3 2 2" xfId="4032"/>
    <cellStyle name="Обычный 4 2 3 2 3" xfId="4033"/>
    <cellStyle name="Обычный 4 2 3 3" xfId="4034"/>
    <cellStyle name="Обычный 4 2 3 4" xfId="4035"/>
    <cellStyle name="Обычный 4 2 4" xfId="4036"/>
    <cellStyle name="Обычный 4 2 4 2" xfId="4037"/>
    <cellStyle name="Обычный 4 2 4 2 2" xfId="4038"/>
    <cellStyle name="Обычный 4 2 4 2 3" xfId="4039"/>
    <cellStyle name="Обычный 4 2 4 3" xfId="4040"/>
    <cellStyle name="Обычный 4 2 4 4" xfId="4041"/>
    <cellStyle name="Обычный 4 2 5" xfId="4042"/>
    <cellStyle name="Обычный 4 2 5 2" xfId="4043"/>
    <cellStyle name="Обычный 4 2 5 2 2" xfId="4044"/>
    <cellStyle name="Обычный 4 2 5 2 3" xfId="4045"/>
    <cellStyle name="Обычный 4 2 5 3" xfId="4046"/>
    <cellStyle name="Обычный 4 2 5 4" xfId="4047"/>
    <cellStyle name="Обычный 4 2 6" xfId="4048"/>
    <cellStyle name="Обычный 4 2 6 2" xfId="4049"/>
    <cellStyle name="Обычный 4 2 6 2 2" xfId="4050"/>
    <cellStyle name="Обычный 4 2 6 2 3" xfId="4051"/>
    <cellStyle name="Обычный 4 2 6 3" xfId="4052"/>
    <cellStyle name="Обычный 4 2 6 4" xfId="4053"/>
    <cellStyle name="Обычный 4 2 7" xfId="4054"/>
    <cellStyle name="Обычный 4 2 7 10" xfId="17327"/>
    <cellStyle name="Обычный 4 2 7 11" xfId="17328"/>
    <cellStyle name="Обычный 4 2 7 12" xfId="17329"/>
    <cellStyle name="Обычный 4 2 7 2" xfId="4055"/>
    <cellStyle name="Обычный 4 2 7 2 10" xfId="17330"/>
    <cellStyle name="Обычный 4 2 7 2 11" xfId="17331"/>
    <cellStyle name="Обычный 4 2 7 2 12" xfId="17332"/>
    <cellStyle name="Обычный 4 2 7 2 2" xfId="4056"/>
    <cellStyle name="Обычный 4 2 7 2 2 2" xfId="17333"/>
    <cellStyle name="Обычный 4 2 7 2 2 3" xfId="17334"/>
    <cellStyle name="Обычный 4 2 7 2 2 4" xfId="17335"/>
    <cellStyle name="Обычный 4 2 7 2 2 5" xfId="17336"/>
    <cellStyle name="Обычный 4 2 7 2 2 6" xfId="17337"/>
    <cellStyle name="Обычный 4 2 7 2 2 7" xfId="17338"/>
    <cellStyle name="Обычный 4 2 7 2 2 8" xfId="17339"/>
    <cellStyle name="Обычный 4 2 7 2 2 9" xfId="17340"/>
    <cellStyle name="Обычный 4 2 7 2 3" xfId="4057"/>
    <cellStyle name="Обычный 4 2 7 2 3 2" xfId="17341"/>
    <cellStyle name="Обычный 4 2 7 2 3 3" xfId="17342"/>
    <cellStyle name="Обычный 4 2 7 2 3 4" xfId="17343"/>
    <cellStyle name="Обычный 4 2 7 2 3 5" xfId="17344"/>
    <cellStyle name="Обычный 4 2 7 2 3 6" xfId="17345"/>
    <cellStyle name="Обычный 4 2 7 2 3 7" xfId="17346"/>
    <cellStyle name="Обычный 4 2 7 2 3 8" xfId="17347"/>
    <cellStyle name="Обычный 4 2 7 2 3 9" xfId="17348"/>
    <cellStyle name="Обычный 4 2 7 2 4" xfId="4058"/>
    <cellStyle name="Обычный 4 2 7 2 4 2" xfId="17349"/>
    <cellStyle name="Обычный 4 2 7 2 4 3" xfId="17350"/>
    <cellStyle name="Обычный 4 2 7 2 4 4" xfId="17351"/>
    <cellStyle name="Обычный 4 2 7 2 4 5" xfId="17352"/>
    <cellStyle name="Обычный 4 2 7 2 4 6" xfId="17353"/>
    <cellStyle name="Обычный 4 2 7 2 4 7" xfId="17354"/>
    <cellStyle name="Обычный 4 2 7 2 4 8" xfId="17355"/>
    <cellStyle name="Обычный 4 2 7 2 4 9" xfId="17356"/>
    <cellStyle name="Обычный 4 2 7 2 5" xfId="17357"/>
    <cellStyle name="Обычный 4 2 7 2 6" xfId="17358"/>
    <cellStyle name="Обычный 4 2 7 2 7" xfId="17359"/>
    <cellStyle name="Обычный 4 2 7 2 8" xfId="17360"/>
    <cellStyle name="Обычный 4 2 7 2 9" xfId="17361"/>
    <cellStyle name="Обычный 4 2 7 3" xfId="4059"/>
    <cellStyle name="Обычный 4 2 7 3 10" xfId="17362"/>
    <cellStyle name="Обычный 4 2 7 3 11" xfId="17363"/>
    <cellStyle name="Обычный 4 2 7 3 2" xfId="4060"/>
    <cellStyle name="Обычный 4 2 7 3 2 2" xfId="17364"/>
    <cellStyle name="Обычный 4 2 7 3 2 3" xfId="17365"/>
    <cellStyle name="Обычный 4 2 7 3 2 4" xfId="17366"/>
    <cellStyle name="Обычный 4 2 7 3 2 5" xfId="17367"/>
    <cellStyle name="Обычный 4 2 7 3 2 6" xfId="17368"/>
    <cellStyle name="Обычный 4 2 7 3 2 7" xfId="17369"/>
    <cellStyle name="Обычный 4 2 7 3 2 8" xfId="17370"/>
    <cellStyle name="Обычный 4 2 7 3 2 9" xfId="17371"/>
    <cellStyle name="Обычный 4 2 7 3 3" xfId="4061"/>
    <cellStyle name="Обычный 4 2 7 3 3 2" xfId="17372"/>
    <cellStyle name="Обычный 4 2 7 3 3 3" xfId="17373"/>
    <cellStyle name="Обычный 4 2 7 3 3 4" xfId="17374"/>
    <cellStyle name="Обычный 4 2 7 3 3 5" xfId="17375"/>
    <cellStyle name="Обычный 4 2 7 3 3 6" xfId="17376"/>
    <cellStyle name="Обычный 4 2 7 3 3 7" xfId="17377"/>
    <cellStyle name="Обычный 4 2 7 3 3 8" xfId="17378"/>
    <cellStyle name="Обычный 4 2 7 3 3 9" xfId="17379"/>
    <cellStyle name="Обычный 4 2 7 3 4" xfId="17380"/>
    <cellStyle name="Обычный 4 2 7 3 5" xfId="17381"/>
    <cellStyle name="Обычный 4 2 7 3 6" xfId="17382"/>
    <cellStyle name="Обычный 4 2 7 3 7" xfId="17383"/>
    <cellStyle name="Обычный 4 2 7 3 8" xfId="17384"/>
    <cellStyle name="Обычный 4 2 7 3 9" xfId="17385"/>
    <cellStyle name="Обычный 4 2 7 4" xfId="4062"/>
    <cellStyle name="Обычный 4 2 7 4 2" xfId="17386"/>
    <cellStyle name="Обычный 4 2 7 4 3" xfId="17387"/>
    <cellStyle name="Обычный 4 2 7 4 4" xfId="17388"/>
    <cellStyle name="Обычный 4 2 7 4 5" xfId="17389"/>
    <cellStyle name="Обычный 4 2 7 4 6" xfId="17390"/>
    <cellStyle name="Обычный 4 2 7 4 7" xfId="17391"/>
    <cellStyle name="Обычный 4 2 7 4 8" xfId="17392"/>
    <cellStyle name="Обычный 4 2 7 4 9" xfId="17393"/>
    <cellStyle name="Обычный 4 2 7 5" xfId="17394"/>
    <cellStyle name="Обычный 4 2 7 6" xfId="17395"/>
    <cellStyle name="Обычный 4 2 7 7" xfId="17396"/>
    <cellStyle name="Обычный 4 2 7 8" xfId="17397"/>
    <cellStyle name="Обычный 4 2 7 9" xfId="17398"/>
    <cellStyle name="Обычный 4 2 8" xfId="4063"/>
    <cellStyle name="Обычный 4 2 8 2" xfId="4064"/>
    <cellStyle name="Обычный 4 2 8 2 2" xfId="4065"/>
    <cellStyle name="Обычный 4 2 8 2 2 2" xfId="17399"/>
    <cellStyle name="Обычный 4 2 8 2 2 3" xfId="17400"/>
    <cellStyle name="Обычный 4 2 8 2 2 4" xfId="17401"/>
    <cellStyle name="Обычный 4 2 8 2 2 5" xfId="17402"/>
    <cellStyle name="Обычный 4 2 8 2 2 6" xfId="17403"/>
    <cellStyle name="Обычный 4 2 8 2 3" xfId="4066"/>
    <cellStyle name="Обычный 4 2 8 2 3 2" xfId="17404"/>
    <cellStyle name="Обычный 4 2 8 2 3 3" xfId="17405"/>
    <cellStyle name="Обычный 4 2 8 2 3 4" xfId="17406"/>
    <cellStyle name="Обычный 4 2 8 2 3 5" xfId="17407"/>
    <cellStyle name="Обычный 4 2 8 2 3 6" xfId="17408"/>
    <cellStyle name="Обычный 4 2 8 2 4" xfId="17409"/>
    <cellStyle name="Обычный 4 2 8 2 5" xfId="17410"/>
    <cellStyle name="Обычный 4 2 8 2 6" xfId="17411"/>
    <cellStyle name="Обычный 4 2 8 2 7" xfId="17412"/>
    <cellStyle name="Обычный 4 2 8 2 8" xfId="17413"/>
    <cellStyle name="Обычный 4 2 8 3" xfId="4067"/>
    <cellStyle name="Обычный 4 2 8 3 2" xfId="17414"/>
    <cellStyle name="Обычный 4 2 8 3 3" xfId="17415"/>
    <cellStyle name="Обычный 4 2 8 3 4" xfId="17416"/>
    <cellStyle name="Обычный 4 2 8 3 5" xfId="17417"/>
    <cellStyle name="Обычный 4 2 8 3 6" xfId="17418"/>
    <cellStyle name="Обычный 4 2 8 4" xfId="4068"/>
    <cellStyle name="Обычный 4 2 8 4 2" xfId="17419"/>
    <cellStyle name="Обычный 4 2 8 4 3" xfId="17420"/>
    <cellStyle name="Обычный 4 2 8 4 4" xfId="17421"/>
    <cellStyle name="Обычный 4 2 8 4 5" xfId="17422"/>
    <cellStyle name="Обычный 4 2 8 5" xfId="17423"/>
    <cellStyle name="Обычный 4 2 8 6" xfId="17424"/>
    <cellStyle name="Обычный 4 2 8 7" xfId="17425"/>
    <cellStyle name="Обычный 4 2 8 8" xfId="17426"/>
    <cellStyle name="Обычный 4 2 9" xfId="4069"/>
    <cellStyle name="Обычный 4 2 9 2" xfId="4070"/>
    <cellStyle name="Обычный 4 2 9 2 2" xfId="4071"/>
    <cellStyle name="Обычный 4 2 9 2 2 2" xfId="17427"/>
    <cellStyle name="Обычный 4 2 9 2 2 3" xfId="17428"/>
    <cellStyle name="Обычный 4 2 9 2 2 4" xfId="17429"/>
    <cellStyle name="Обычный 4 2 9 2 2 5" xfId="17430"/>
    <cellStyle name="Обычный 4 2 9 2 2 6" xfId="17431"/>
    <cellStyle name="Обычный 4 2 9 2 3" xfId="4072"/>
    <cellStyle name="Обычный 4 2 9 2 3 2" xfId="17432"/>
    <cellStyle name="Обычный 4 2 9 2 3 3" xfId="17433"/>
    <cellStyle name="Обычный 4 2 9 2 3 4" xfId="17434"/>
    <cellStyle name="Обычный 4 2 9 2 3 5" xfId="17435"/>
    <cellStyle name="Обычный 4 2 9 2 3 6" xfId="17436"/>
    <cellStyle name="Обычный 4 2 9 2 4" xfId="17437"/>
    <cellStyle name="Обычный 4 2 9 2 5" xfId="17438"/>
    <cellStyle name="Обычный 4 2 9 2 6" xfId="17439"/>
    <cellStyle name="Обычный 4 2 9 2 7" xfId="17440"/>
    <cellStyle name="Обычный 4 2 9 2 8" xfId="17441"/>
    <cellStyle name="Обычный 4 2 9 3" xfId="4073"/>
    <cellStyle name="Обычный 4 2 9 3 2" xfId="17442"/>
    <cellStyle name="Обычный 4 2 9 3 3" xfId="17443"/>
    <cellStyle name="Обычный 4 2 9 3 4" xfId="17444"/>
    <cellStyle name="Обычный 4 2 9 3 5" xfId="17445"/>
    <cellStyle name="Обычный 4 2 9 3 6" xfId="17446"/>
    <cellStyle name="Обычный 4 2 9 4" xfId="4074"/>
    <cellStyle name="Обычный 4 2 9 4 2" xfId="17447"/>
    <cellStyle name="Обычный 4 2 9 4 3" xfId="17448"/>
    <cellStyle name="Обычный 4 2 9 4 4" xfId="17449"/>
    <cellStyle name="Обычный 4 2 9 4 5" xfId="17450"/>
    <cellStyle name="Обычный 4 2 9 5" xfId="17451"/>
    <cellStyle name="Обычный 4 2 9 6" xfId="17452"/>
    <cellStyle name="Обычный 4 2 9 7" xfId="17453"/>
    <cellStyle name="Обычный 4 2 9 8" xfId="17454"/>
    <cellStyle name="Обычный 4 20" xfId="17455"/>
    <cellStyle name="Обычный 4 21" xfId="17456"/>
    <cellStyle name="Обычный 4 22" xfId="17457"/>
    <cellStyle name="Обычный 4 3" xfId="4075"/>
    <cellStyle name="Обычный 4 3 10" xfId="4076"/>
    <cellStyle name="Обычный 4 3 10 2" xfId="4077"/>
    <cellStyle name="Обычный 4 3 10 2 2" xfId="4078"/>
    <cellStyle name="Обычный 4 3 10 2 3" xfId="4079"/>
    <cellStyle name="Обычный 4 3 10 3" xfId="4080"/>
    <cellStyle name="Обычный 4 3 10 4" xfId="4081"/>
    <cellStyle name="Обычный 4 3 10 4 2" xfId="17458"/>
    <cellStyle name="Обычный 4 3 10 4 3" xfId="17459"/>
    <cellStyle name="Обычный 4 3 10 4 4" xfId="17460"/>
    <cellStyle name="Обычный 4 3 10 4 5" xfId="17461"/>
    <cellStyle name="Обычный 4 3 10 5" xfId="17462"/>
    <cellStyle name="Обычный 4 3 10 6" xfId="17463"/>
    <cellStyle name="Обычный 4 3 10 7" xfId="17464"/>
    <cellStyle name="Обычный 4 3 10 8" xfId="17465"/>
    <cellStyle name="Обычный 4 3 11" xfId="4082"/>
    <cellStyle name="Обычный 4 3 11 2" xfId="4083"/>
    <cellStyle name="Обычный 4 3 11 3" xfId="4084"/>
    <cellStyle name="Обычный 4 3 12" xfId="4085"/>
    <cellStyle name="Обычный 4 3 13" xfId="4086"/>
    <cellStyle name="Обычный 4 3 13 2" xfId="17466"/>
    <cellStyle name="Обычный 4 3 13 3" xfId="17467"/>
    <cellStyle name="Обычный 4 3 13 4" xfId="17468"/>
    <cellStyle name="Обычный 4 3 13 5" xfId="17469"/>
    <cellStyle name="Обычный 4 3 14" xfId="17470"/>
    <cellStyle name="Обычный 4 3 15" xfId="17471"/>
    <cellStyle name="Обычный 4 3 16" xfId="17472"/>
    <cellStyle name="Обычный 4 3 17" xfId="17473"/>
    <cellStyle name="Обычный 4 3 2" xfId="4087"/>
    <cellStyle name="Обычный 4 3 2 2" xfId="4088"/>
    <cellStyle name="Обычный 4 3 2 2 2" xfId="4089"/>
    <cellStyle name="Обычный 4 3 2 2 3" xfId="4090"/>
    <cellStyle name="Обычный 4 3 2 3" xfId="4091"/>
    <cellStyle name="Обычный 4 3 2 4" xfId="4092"/>
    <cellStyle name="Обычный 4 3 2 4 2" xfId="17474"/>
    <cellStyle name="Обычный 4 3 2 4 3" xfId="17475"/>
    <cellStyle name="Обычный 4 3 2 4 4" xfId="17476"/>
    <cellStyle name="Обычный 4 3 2 4 5" xfId="17477"/>
    <cellStyle name="Обычный 4 3 2 5" xfId="17478"/>
    <cellStyle name="Обычный 4 3 2 6" xfId="17479"/>
    <cellStyle name="Обычный 4 3 2 7" xfId="17480"/>
    <cellStyle name="Обычный 4 3 2 8" xfId="17481"/>
    <cellStyle name="Обычный 4 3 3" xfId="4093"/>
    <cellStyle name="Обычный 4 3 3 2" xfId="4094"/>
    <cellStyle name="Обычный 4 3 3 2 2" xfId="4095"/>
    <cellStyle name="Обычный 4 3 3 2 3" xfId="4096"/>
    <cellStyle name="Обычный 4 3 3 3" xfId="4097"/>
    <cellStyle name="Обычный 4 3 3 4" xfId="4098"/>
    <cellStyle name="Обычный 4 3 3 4 2" xfId="17482"/>
    <cellStyle name="Обычный 4 3 3 4 3" xfId="17483"/>
    <cellStyle name="Обычный 4 3 3 4 4" xfId="17484"/>
    <cellStyle name="Обычный 4 3 3 4 5" xfId="17485"/>
    <cellStyle name="Обычный 4 3 3 5" xfId="17486"/>
    <cellStyle name="Обычный 4 3 3 6" xfId="17487"/>
    <cellStyle name="Обычный 4 3 3 7" xfId="17488"/>
    <cellStyle name="Обычный 4 3 3 8" xfId="17489"/>
    <cellStyle name="Обычный 4 3 4" xfId="4099"/>
    <cellStyle name="Обычный 4 3 4 2" xfId="4100"/>
    <cellStyle name="Обычный 4 3 4 2 2" xfId="4101"/>
    <cellStyle name="Обычный 4 3 4 2 3" xfId="4102"/>
    <cellStyle name="Обычный 4 3 4 3" xfId="4103"/>
    <cellStyle name="Обычный 4 3 4 4" xfId="4104"/>
    <cellStyle name="Обычный 4 3 4 4 2" xfId="17490"/>
    <cellStyle name="Обычный 4 3 4 4 3" xfId="17491"/>
    <cellStyle name="Обычный 4 3 4 4 4" xfId="17492"/>
    <cellStyle name="Обычный 4 3 4 4 5" xfId="17493"/>
    <cellStyle name="Обычный 4 3 4 5" xfId="17494"/>
    <cellStyle name="Обычный 4 3 4 6" xfId="17495"/>
    <cellStyle name="Обычный 4 3 4 7" xfId="17496"/>
    <cellStyle name="Обычный 4 3 4 8" xfId="17497"/>
    <cellStyle name="Обычный 4 3 5" xfId="4105"/>
    <cellStyle name="Обычный 4 3 5 2" xfId="4106"/>
    <cellStyle name="Обычный 4 3 5 2 2" xfId="4107"/>
    <cellStyle name="Обычный 4 3 5 2 3" xfId="4108"/>
    <cellStyle name="Обычный 4 3 5 3" xfId="4109"/>
    <cellStyle name="Обычный 4 3 5 4" xfId="4110"/>
    <cellStyle name="Обычный 4 3 5 4 2" xfId="17498"/>
    <cellStyle name="Обычный 4 3 5 4 3" xfId="17499"/>
    <cellStyle name="Обычный 4 3 5 4 4" xfId="17500"/>
    <cellStyle name="Обычный 4 3 5 4 5" xfId="17501"/>
    <cellStyle name="Обычный 4 3 5 5" xfId="17502"/>
    <cellStyle name="Обычный 4 3 5 6" xfId="17503"/>
    <cellStyle name="Обычный 4 3 5 7" xfId="17504"/>
    <cellStyle name="Обычный 4 3 5 8" xfId="17505"/>
    <cellStyle name="Обычный 4 3 6" xfId="4111"/>
    <cellStyle name="Обычный 4 3 6 2" xfId="4112"/>
    <cellStyle name="Обычный 4 3 6 2 2" xfId="4113"/>
    <cellStyle name="Обычный 4 3 6 2 3" xfId="4114"/>
    <cellStyle name="Обычный 4 3 6 3" xfId="4115"/>
    <cellStyle name="Обычный 4 3 6 4" xfId="4116"/>
    <cellStyle name="Обычный 4 3 6 4 2" xfId="17506"/>
    <cellStyle name="Обычный 4 3 6 4 3" xfId="17507"/>
    <cellStyle name="Обычный 4 3 6 4 4" xfId="17508"/>
    <cellStyle name="Обычный 4 3 6 4 5" xfId="17509"/>
    <cellStyle name="Обычный 4 3 6 5" xfId="17510"/>
    <cellStyle name="Обычный 4 3 6 6" xfId="17511"/>
    <cellStyle name="Обычный 4 3 6 7" xfId="17512"/>
    <cellStyle name="Обычный 4 3 6 8" xfId="17513"/>
    <cellStyle name="Обычный 4 3 7" xfId="4117"/>
    <cellStyle name="Обычный 4 3 7 2" xfId="4118"/>
    <cellStyle name="Обычный 4 3 7 2 2" xfId="4119"/>
    <cellStyle name="Обычный 4 3 7 2 3" xfId="4120"/>
    <cellStyle name="Обычный 4 3 7 3" xfId="4121"/>
    <cellStyle name="Обычный 4 3 7 4" xfId="4122"/>
    <cellStyle name="Обычный 4 3 7 4 2" xfId="17514"/>
    <cellStyle name="Обычный 4 3 7 4 3" xfId="17515"/>
    <cellStyle name="Обычный 4 3 7 4 4" xfId="17516"/>
    <cellStyle name="Обычный 4 3 7 4 5" xfId="17517"/>
    <cellStyle name="Обычный 4 3 7 5" xfId="17518"/>
    <cellStyle name="Обычный 4 3 7 6" xfId="17519"/>
    <cellStyle name="Обычный 4 3 7 7" xfId="17520"/>
    <cellStyle name="Обычный 4 3 7 8" xfId="17521"/>
    <cellStyle name="Обычный 4 3 8" xfId="4123"/>
    <cellStyle name="Обычный 4 3 8 2" xfId="4124"/>
    <cellStyle name="Обычный 4 3 8 2 2" xfId="4125"/>
    <cellStyle name="Обычный 4 3 8 2 3" xfId="4126"/>
    <cellStyle name="Обычный 4 3 8 3" xfId="4127"/>
    <cellStyle name="Обычный 4 3 8 4" xfId="4128"/>
    <cellStyle name="Обычный 4 3 8 4 2" xfId="17522"/>
    <cellStyle name="Обычный 4 3 8 4 3" xfId="17523"/>
    <cellStyle name="Обычный 4 3 8 4 4" xfId="17524"/>
    <cellStyle name="Обычный 4 3 8 4 5" xfId="17525"/>
    <cellStyle name="Обычный 4 3 8 5" xfId="17526"/>
    <cellStyle name="Обычный 4 3 8 6" xfId="17527"/>
    <cellStyle name="Обычный 4 3 8 7" xfId="17528"/>
    <cellStyle name="Обычный 4 3 8 8" xfId="17529"/>
    <cellStyle name="Обычный 4 3 9" xfId="4129"/>
    <cellStyle name="Обычный 4 3 9 2" xfId="4130"/>
    <cellStyle name="Обычный 4 3 9 2 2" xfId="4131"/>
    <cellStyle name="Обычный 4 3 9 2 3" xfId="4132"/>
    <cellStyle name="Обычный 4 3 9 3" xfId="4133"/>
    <cellStyle name="Обычный 4 3 9 4" xfId="4134"/>
    <cellStyle name="Обычный 4 3 9 4 2" xfId="17530"/>
    <cellStyle name="Обычный 4 3 9 4 3" xfId="17531"/>
    <cellStyle name="Обычный 4 3 9 4 4" xfId="17532"/>
    <cellStyle name="Обычный 4 3 9 4 5" xfId="17533"/>
    <cellStyle name="Обычный 4 3 9 5" xfId="17534"/>
    <cellStyle name="Обычный 4 3 9 6" xfId="17535"/>
    <cellStyle name="Обычный 4 3 9 7" xfId="17536"/>
    <cellStyle name="Обычный 4 3 9 8" xfId="17537"/>
    <cellStyle name="Обычный 4 4" xfId="4135"/>
    <cellStyle name="Обычный 4 4 2" xfId="4136"/>
    <cellStyle name="Обычный 4 4 2 2" xfId="4137"/>
    <cellStyle name="Обычный 4 4 2 3" xfId="4138"/>
    <cellStyle name="Обычный 4 4 3" xfId="4139"/>
    <cellStyle name="Обычный 4 4 4" xfId="4140"/>
    <cellStyle name="Обычный 4 4 4 2" xfId="17538"/>
    <cellStyle name="Обычный 4 4 4 3" xfId="17539"/>
    <cellStyle name="Обычный 4 4 4 4" xfId="17540"/>
    <cellStyle name="Обычный 4 4 4 5" xfId="17541"/>
    <cellStyle name="Обычный 4 4 5" xfId="17542"/>
    <cellStyle name="Обычный 4 4 6" xfId="17543"/>
    <cellStyle name="Обычный 4 4 7" xfId="17544"/>
    <cellStyle name="Обычный 4 4 8" xfId="17545"/>
    <cellStyle name="Обычный 4 5" xfId="4141"/>
    <cellStyle name="Обычный 4 5 2" xfId="4142"/>
    <cellStyle name="Обычный 4 5 2 2" xfId="4143"/>
    <cellStyle name="Обычный 4 5 2 3" xfId="4144"/>
    <cellStyle name="Обычный 4 5 3" xfId="4145"/>
    <cellStyle name="Обычный 4 5 4" xfId="4146"/>
    <cellStyle name="Обычный 4 5 4 2" xfId="17546"/>
    <cellStyle name="Обычный 4 5 4 3" xfId="17547"/>
    <cellStyle name="Обычный 4 5 4 4" xfId="17548"/>
    <cellStyle name="Обычный 4 5 4 5" xfId="17549"/>
    <cellStyle name="Обычный 4 5 5" xfId="17550"/>
    <cellStyle name="Обычный 4 5 6" xfId="17551"/>
    <cellStyle name="Обычный 4 5 7" xfId="17552"/>
    <cellStyle name="Обычный 4 5 8" xfId="17553"/>
    <cellStyle name="Обычный 4 6" xfId="4147"/>
    <cellStyle name="Обычный 4 6 2" xfId="4148"/>
    <cellStyle name="Обычный 4 6 2 2" xfId="4149"/>
    <cellStyle name="Обычный 4 6 2 3" xfId="4150"/>
    <cellStyle name="Обычный 4 6 3" xfId="4151"/>
    <cellStyle name="Обычный 4 6 4" xfId="4152"/>
    <cellStyle name="Обычный 4 6 4 2" xfId="17554"/>
    <cellStyle name="Обычный 4 6 4 3" xfId="17555"/>
    <cellStyle name="Обычный 4 6 4 4" xfId="17556"/>
    <cellStyle name="Обычный 4 6 4 5" xfId="17557"/>
    <cellStyle name="Обычный 4 6 5" xfId="17558"/>
    <cellStyle name="Обычный 4 6 6" xfId="17559"/>
    <cellStyle name="Обычный 4 6 7" xfId="17560"/>
    <cellStyle name="Обычный 4 6 8" xfId="17561"/>
    <cellStyle name="Обычный 4 7" xfId="4153"/>
    <cellStyle name="Обычный 4 7 2" xfId="4154"/>
    <cellStyle name="Обычный 4 7 2 2" xfId="4155"/>
    <cellStyle name="Обычный 4 7 2 3" xfId="4156"/>
    <cellStyle name="Обычный 4 7 3" xfId="4157"/>
    <cellStyle name="Обычный 4 7 4" xfId="4158"/>
    <cellStyle name="Обычный 4 7 4 2" xfId="17562"/>
    <cellStyle name="Обычный 4 7 4 3" xfId="17563"/>
    <cellStyle name="Обычный 4 7 4 4" xfId="17564"/>
    <cellStyle name="Обычный 4 7 4 5" xfId="17565"/>
    <cellStyle name="Обычный 4 7 5" xfId="17566"/>
    <cellStyle name="Обычный 4 7 6" xfId="17567"/>
    <cellStyle name="Обычный 4 7 7" xfId="17568"/>
    <cellStyle name="Обычный 4 7 8" xfId="17569"/>
    <cellStyle name="Обычный 4 8" xfId="4159"/>
    <cellStyle name="Обычный 4 8 2" xfId="4160"/>
    <cellStyle name="Обычный 4 8 2 2" xfId="4161"/>
    <cellStyle name="Обычный 4 8 2 3" xfId="4162"/>
    <cellStyle name="Обычный 4 8 3" xfId="4163"/>
    <cellStyle name="Обычный 4 8 4" xfId="4164"/>
    <cellStyle name="Обычный 4 8 4 2" xfId="17570"/>
    <cellStyle name="Обычный 4 8 4 3" xfId="17571"/>
    <cellStyle name="Обычный 4 8 4 4" xfId="17572"/>
    <cellStyle name="Обычный 4 8 4 5" xfId="17573"/>
    <cellStyle name="Обычный 4 8 5" xfId="17574"/>
    <cellStyle name="Обычный 4 8 6" xfId="17575"/>
    <cellStyle name="Обычный 4 8 7" xfId="17576"/>
    <cellStyle name="Обычный 4 8 8" xfId="17577"/>
    <cellStyle name="Обычный 4 9" xfId="4165"/>
    <cellStyle name="Обычный 4 9 2" xfId="4166"/>
    <cellStyle name="Обычный 4 9 2 2" xfId="4167"/>
    <cellStyle name="Обычный 4 9 2 3" xfId="4168"/>
    <cellStyle name="Обычный 4 9 3" xfId="4169"/>
    <cellStyle name="Обычный 4 9 4" xfId="4170"/>
    <cellStyle name="Обычный 4 9 4 2" xfId="17578"/>
    <cellStyle name="Обычный 4 9 4 3" xfId="17579"/>
    <cellStyle name="Обычный 4 9 4 4" xfId="17580"/>
    <cellStyle name="Обычный 4 9 4 5" xfId="17581"/>
    <cellStyle name="Обычный 4 9 5" xfId="17582"/>
    <cellStyle name="Обычный 4 9 6" xfId="17583"/>
    <cellStyle name="Обычный 4 9 7" xfId="17584"/>
    <cellStyle name="Обычный 4 9 8" xfId="17585"/>
    <cellStyle name="Обычный 5" xfId="5"/>
    <cellStyle name="Обычный 5 10" xfId="4171"/>
    <cellStyle name="Обычный 5 10 2" xfId="4172"/>
    <cellStyle name="Обычный 5 10 2 2" xfId="4173"/>
    <cellStyle name="Обычный 5 10 2 3" xfId="4174"/>
    <cellStyle name="Обычный 5 10 3" xfId="4175"/>
    <cellStyle name="Обычный 5 10 4" xfId="4176"/>
    <cellStyle name="Обычный 5 10 4 2" xfId="17586"/>
    <cellStyle name="Обычный 5 10 4 3" xfId="17587"/>
    <cellStyle name="Обычный 5 10 4 4" xfId="17588"/>
    <cellStyle name="Обычный 5 10 4 5" xfId="17589"/>
    <cellStyle name="Обычный 5 10 5" xfId="17590"/>
    <cellStyle name="Обычный 5 10 6" xfId="17591"/>
    <cellStyle name="Обычный 5 10 7" xfId="17592"/>
    <cellStyle name="Обычный 5 10 8" xfId="17593"/>
    <cellStyle name="Обычный 5 11" xfId="4177"/>
    <cellStyle name="Обычный 5 11 2" xfId="4178"/>
    <cellStyle name="Обычный 5 11 2 2" xfId="4179"/>
    <cellStyle name="Обычный 5 11 2 3" xfId="4180"/>
    <cellStyle name="Обычный 5 11 3" xfId="4181"/>
    <cellStyle name="Обычный 5 11 4" xfId="4182"/>
    <cellStyle name="Обычный 5 11 4 2" xfId="17594"/>
    <cellStyle name="Обычный 5 11 4 3" xfId="17595"/>
    <cellStyle name="Обычный 5 11 4 4" xfId="17596"/>
    <cellStyle name="Обычный 5 11 4 5" xfId="17597"/>
    <cellStyle name="Обычный 5 11 5" xfId="17598"/>
    <cellStyle name="Обычный 5 11 6" xfId="17599"/>
    <cellStyle name="Обычный 5 11 7" xfId="17600"/>
    <cellStyle name="Обычный 5 11 8" xfId="17601"/>
    <cellStyle name="Обычный 5 12" xfId="4183"/>
    <cellStyle name="Обычный 5 12 2" xfId="4184"/>
    <cellStyle name="Обычный 5 12 2 2" xfId="4185"/>
    <cellStyle name="Обычный 5 12 2 3" xfId="4186"/>
    <cellStyle name="Обычный 5 12 3" xfId="4187"/>
    <cellStyle name="Обычный 5 12 4" xfId="4188"/>
    <cellStyle name="Обычный 5 12 4 2" xfId="17602"/>
    <cellStyle name="Обычный 5 12 4 3" xfId="17603"/>
    <cellStyle name="Обычный 5 12 4 4" xfId="17604"/>
    <cellStyle name="Обычный 5 12 4 5" xfId="17605"/>
    <cellStyle name="Обычный 5 12 5" xfId="17606"/>
    <cellStyle name="Обычный 5 12 6" xfId="17607"/>
    <cellStyle name="Обычный 5 12 7" xfId="17608"/>
    <cellStyle name="Обычный 5 12 8" xfId="17609"/>
    <cellStyle name="Обычный 5 13" xfId="4189"/>
    <cellStyle name="Обычный 5 13 2" xfId="4190"/>
    <cellStyle name="Обычный 5 13 2 2" xfId="4191"/>
    <cellStyle name="Обычный 5 13 2 3" xfId="4192"/>
    <cellStyle name="Обычный 5 13 3" xfId="4193"/>
    <cellStyle name="Обычный 5 13 4" xfId="4194"/>
    <cellStyle name="Обычный 5 13 4 2" xfId="17610"/>
    <cellStyle name="Обычный 5 13 4 3" xfId="17611"/>
    <cellStyle name="Обычный 5 13 4 4" xfId="17612"/>
    <cellStyle name="Обычный 5 13 4 5" xfId="17613"/>
    <cellStyle name="Обычный 5 13 5" xfId="17614"/>
    <cellStyle name="Обычный 5 13 6" xfId="17615"/>
    <cellStyle name="Обычный 5 13 7" xfId="17616"/>
    <cellStyle name="Обычный 5 13 8" xfId="17617"/>
    <cellStyle name="Обычный 5 14" xfId="4195"/>
    <cellStyle name="Обычный 5 14 2" xfId="4196"/>
    <cellStyle name="Обычный 5 14 2 2" xfId="4197"/>
    <cellStyle name="Обычный 5 14 2 3" xfId="4198"/>
    <cellStyle name="Обычный 5 14 3" xfId="4199"/>
    <cellStyle name="Обычный 5 14 4" xfId="4200"/>
    <cellStyle name="Обычный 5 14 4 2" xfId="17618"/>
    <cellStyle name="Обычный 5 14 4 3" xfId="17619"/>
    <cellStyle name="Обычный 5 14 4 4" xfId="17620"/>
    <cellStyle name="Обычный 5 14 4 5" xfId="17621"/>
    <cellStyle name="Обычный 5 14 5" xfId="17622"/>
    <cellStyle name="Обычный 5 14 6" xfId="17623"/>
    <cellStyle name="Обычный 5 14 7" xfId="17624"/>
    <cellStyle name="Обычный 5 14 8" xfId="17625"/>
    <cellStyle name="Обычный 5 15" xfId="4201"/>
    <cellStyle name="Обычный 5 15 2" xfId="4202"/>
    <cellStyle name="Обычный 5 15 2 2" xfId="17626"/>
    <cellStyle name="Обычный 5 15 2 3" xfId="17627"/>
    <cellStyle name="Обычный 5 15 2 4" xfId="17628"/>
    <cellStyle name="Обычный 5 15 2 5" xfId="17629"/>
    <cellStyle name="Обычный 5 15 2 6" xfId="17630"/>
    <cellStyle name="Обычный 5 15 3" xfId="4203"/>
    <cellStyle name="Обычный 5 15 3 2" xfId="17631"/>
    <cellStyle name="Обычный 5 15 3 3" xfId="17632"/>
    <cellStyle name="Обычный 5 15 3 4" xfId="17633"/>
    <cellStyle name="Обычный 5 15 3 5" xfId="17634"/>
    <cellStyle name="Обычный 5 15 3 6" xfId="17635"/>
    <cellStyle name="Обычный 5 15 4" xfId="17636"/>
    <cellStyle name="Обычный 5 15 5" xfId="17637"/>
    <cellStyle name="Обычный 5 15 6" xfId="17638"/>
    <cellStyle name="Обычный 5 15 7" xfId="17639"/>
    <cellStyle name="Обычный 5 15 8" xfId="17640"/>
    <cellStyle name="Обычный 5 16" xfId="4204"/>
    <cellStyle name="Обычный 5 16 2" xfId="17641"/>
    <cellStyle name="Обычный 5 16 3" xfId="17642"/>
    <cellStyle name="Обычный 5 16 4" xfId="17643"/>
    <cellStyle name="Обычный 5 16 5" xfId="17644"/>
    <cellStyle name="Обычный 5 16 6" xfId="17645"/>
    <cellStyle name="Обычный 5 17" xfId="4205"/>
    <cellStyle name="Обычный 5 17 2" xfId="17646"/>
    <cellStyle name="Обычный 5 17 3" xfId="17647"/>
    <cellStyle name="Обычный 5 17 4" xfId="17648"/>
    <cellStyle name="Обычный 5 17 5" xfId="17649"/>
    <cellStyle name="Обычный 5 18" xfId="17650"/>
    <cellStyle name="Обычный 5 18 2" xfId="23838"/>
    <cellStyle name="Обычный 5 18 2 2" xfId="23903"/>
    <cellStyle name="Обычный 5 19" xfId="17651"/>
    <cellStyle name="Обычный 5 2" xfId="4206"/>
    <cellStyle name="Обычный 5 2 10" xfId="17652"/>
    <cellStyle name="Обычный 5 2 11" xfId="17653"/>
    <cellStyle name="Обычный 5 2 12" xfId="17654"/>
    <cellStyle name="Обычный 5 2 13" xfId="17655"/>
    <cellStyle name="Обычный 5 2 2" xfId="4207"/>
    <cellStyle name="Обычный 5 2 2 2" xfId="4208"/>
    <cellStyle name="Обычный 5 2 2 2 2" xfId="4209"/>
    <cellStyle name="Обычный 5 2 2 2 3" xfId="4210"/>
    <cellStyle name="Обычный 5 2 2 3" xfId="4211"/>
    <cellStyle name="Обычный 5 2 2 4" xfId="4212"/>
    <cellStyle name="Обычный 5 2 2 4 2" xfId="17656"/>
    <cellStyle name="Обычный 5 2 2 4 3" xfId="17657"/>
    <cellStyle name="Обычный 5 2 2 4 4" xfId="17658"/>
    <cellStyle name="Обычный 5 2 2 4 5" xfId="17659"/>
    <cellStyle name="Обычный 5 2 2 5" xfId="17660"/>
    <cellStyle name="Обычный 5 2 2 6" xfId="17661"/>
    <cellStyle name="Обычный 5 2 2 7" xfId="17662"/>
    <cellStyle name="Обычный 5 2 2 8" xfId="17663"/>
    <cellStyle name="Обычный 5 2 3" xfId="4213"/>
    <cellStyle name="Обычный 5 2 3 2" xfId="4214"/>
    <cellStyle name="Обычный 5 2 3 2 2" xfId="4215"/>
    <cellStyle name="Обычный 5 2 3 2 3" xfId="4216"/>
    <cellStyle name="Обычный 5 2 3 3" xfId="4217"/>
    <cellStyle name="Обычный 5 2 3 4" xfId="4218"/>
    <cellStyle name="Обычный 5 2 3 4 2" xfId="17664"/>
    <cellStyle name="Обычный 5 2 3 4 3" xfId="17665"/>
    <cellStyle name="Обычный 5 2 3 4 4" xfId="17666"/>
    <cellStyle name="Обычный 5 2 3 4 5" xfId="17667"/>
    <cellStyle name="Обычный 5 2 3 5" xfId="17668"/>
    <cellStyle name="Обычный 5 2 3 6" xfId="17669"/>
    <cellStyle name="Обычный 5 2 3 7" xfId="17670"/>
    <cellStyle name="Обычный 5 2 3 8" xfId="17671"/>
    <cellStyle name="Обычный 5 2 4" xfId="4219"/>
    <cellStyle name="Обычный 5 2 4 2" xfId="4220"/>
    <cellStyle name="Обычный 5 2 4 2 2" xfId="4221"/>
    <cellStyle name="Обычный 5 2 4 2 3" xfId="4222"/>
    <cellStyle name="Обычный 5 2 4 3" xfId="4223"/>
    <cellStyle name="Обычный 5 2 4 4" xfId="4224"/>
    <cellStyle name="Обычный 5 2 4 4 2" xfId="17672"/>
    <cellStyle name="Обычный 5 2 4 4 3" xfId="17673"/>
    <cellStyle name="Обычный 5 2 4 4 4" xfId="17674"/>
    <cellStyle name="Обычный 5 2 4 4 5" xfId="17675"/>
    <cellStyle name="Обычный 5 2 4 5" xfId="17676"/>
    <cellStyle name="Обычный 5 2 4 6" xfId="17677"/>
    <cellStyle name="Обычный 5 2 4 7" xfId="17678"/>
    <cellStyle name="Обычный 5 2 4 8" xfId="17679"/>
    <cellStyle name="Обычный 5 2 5" xfId="4225"/>
    <cellStyle name="Обычный 5 2 5 2" xfId="4226"/>
    <cellStyle name="Обычный 5 2 5 2 2" xfId="4227"/>
    <cellStyle name="Обычный 5 2 5 2 3" xfId="4228"/>
    <cellStyle name="Обычный 5 2 5 3" xfId="4229"/>
    <cellStyle name="Обычный 5 2 5 4" xfId="4230"/>
    <cellStyle name="Обычный 5 2 5 4 2" xfId="17680"/>
    <cellStyle name="Обычный 5 2 5 4 3" xfId="17681"/>
    <cellStyle name="Обычный 5 2 5 4 4" xfId="17682"/>
    <cellStyle name="Обычный 5 2 5 4 5" xfId="17683"/>
    <cellStyle name="Обычный 5 2 5 5" xfId="17684"/>
    <cellStyle name="Обычный 5 2 5 6" xfId="17685"/>
    <cellStyle name="Обычный 5 2 5 7" xfId="17686"/>
    <cellStyle name="Обычный 5 2 5 8" xfId="17687"/>
    <cellStyle name="Обычный 5 2 6" xfId="4231"/>
    <cellStyle name="Обычный 5 2 6 2" xfId="4232"/>
    <cellStyle name="Обычный 5 2 6 2 2" xfId="4233"/>
    <cellStyle name="Обычный 5 2 6 2 3" xfId="4234"/>
    <cellStyle name="Обычный 5 2 6 3" xfId="4235"/>
    <cellStyle name="Обычный 5 2 6 4" xfId="4236"/>
    <cellStyle name="Обычный 5 2 6 4 2" xfId="17688"/>
    <cellStyle name="Обычный 5 2 6 4 3" xfId="17689"/>
    <cellStyle name="Обычный 5 2 6 4 4" xfId="17690"/>
    <cellStyle name="Обычный 5 2 6 4 5" xfId="17691"/>
    <cellStyle name="Обычный 5 2 6 5" xfId="17692"/>
    <cellStyle name="Обычный 5 2 6 6" xfId="17693"/>
    <cellStyle name="Обычный 5 2 6 7" xfId="17694"/>
    <cellStyle name="Обычный 5 2 6 8" xfId="17695"/>
    <cellStyle name="Обычный 5 2 7" xfId="4237"/>
    <cellStyle name="Обычный 5 2 7 2" xfId="4238"/>
    <cellStyle name="Обычный 5 2 7 3" xfId="4239"/>
    <cellStyle name="Обычный 5 2 8" xfId="4240"/>
    <cellStyle name="Обычный 5 2 9" xfId="4241"/>
    <cellStyle name="Обычный 5 2 9 2" xfId="17696"/>
    <cellStyle name="Обычный 5 2 9 3" xfId="17697"/>
    <cellStyle name="Обычный 5 2 9 4" xfId="17698"/>
    <cellStyle name="Обычный 5 2 9 5" xfId="17699"/>
    <cellStyle name="Обычный 5 20" xfId="17700"/>
    <cellStyle name="Обычный 5 21" xfId="17701"/>
    <cellStyle name="Обычный 5 3" xfId="4242"/>
    <cellStyle name="Обычный 5 3 2" xfId="4243"/>
    <cellStyle name="Обычный 5 3 2 2" xfId="4244"/>
    <cellStyle name="Обычный 5 3 2 3" xfId="4245"/>
    <cellStyle name="Обычный 5 3 3" xfId="4246"/>
    <cellStyle name="Обычный 5 3 4" xfId="4247"/>
    <cellStyle name="Обычный 5 3 4 2" xfId="17702"/>
    <cellStyle name="Обычный 5 3 4 3" xfId="17703"/>
    <cellStyle name="Обычный 5 3 4 4" xfId="17704"/>
    <cellStyle name="Обычный 5 3 4 5" xfId="17705"/>
    <cellStyle name="Обычный 5 3 5" xfId="17706"/>
    <cellStyle name="Обычный 5 3 6" xfId="17707"/>
    <cellStyle name="Обычный 5 3 7" xfId="17708"/>
    <cellStyle name="Обычный 5 3 8" xfId="17709"/>
    <cellStyle name="Обычный 5 4" xfId="4248"/>
    <cellStyle name="Обычный 5 4 2" xfId="4249"/>
    <cellStyle name="Обычный 5 4 2 2" xfId="4250"/>
    <cellStyle name="Обычный 5 4 2 3" xfId="4251"/>
    <cellStyle name="Обычный 5 4 3" xfId="4252"/>
    <cellStyle name="Обычный 5 4 4" xfId="4253"/>
    <cellStyle name="Обычный 5 4 4 2" xfId="17710"/>
    <cellStyle name="Обычный 5 4 4 3" xfId="17711"/>
    <cellStyle name="Обычный 5 4 4 4" xfId="17712"/>
    <cellStyle name="Обычный 5 4 4 5" xfId="17713"/>
    <cellStyle name="Обычный 5 4 5" xfId="17714"/>
    <cellStyle name="Обычный 5 4 6" xfId="17715"/>
    <cellStyle name="Обычный 5 4 7" xfId="17716"/>
    <cellStyle name="Обычный 5 4 8" xfId="17717"/>
    <cellStyle name="Обычный 5 5" xfId="4254"/>
    <cellStyle name="Обычный 5 5 10" xfId="17718"/>
    <cellStyle name="Обычный 5 5 11" xfId="17719"/>
    <cellStyle name="Обычный 5 5 12" xfId="17720"/>
    <cellStyle name="Обычный 5 5 2" xfId="4255"/>
    <cellStyle name="Обычный 5 5 2 2" xfId="4256"/>
    <cellStyle name="Обычный 5 5 2 3" xfId="4257"/>
    <cellStyle name="Обычный 5 5 3" xfId="4258"/>
    <cellStyle name="Обычный 5 5 4" xfId="4259"/>
    <cellStyle name="Обычный 5 5 4 2" xfId="17721"/>
    <cellStyle name="Обычный 5 5 4 3" xfId="17722"/>
    <cellStyle name="Обычный 5 5 4 4" xfId="17723"/>
    <cellStyle name="Обычный 5 5 4 5" xfId="17724"/>
    <cellStyle name="Обычный 5 5 4 6" xfId="17725"/>
    <cellStyle name="Обычный 5 5 4 7" xfId="17726"/>
    <cellStyle name="Обычный 5 5 4 8" xfId="17727"/>
    <cellStyle name="Обычный 5 5 4 9" xfId="17728"/>
    <cellStyle name="Обычный 5 5 5" xfId="17729"/>
    <cellStyle name="Обычный 5 5 6" xfId="17730"/>
    <cellStyle name="Обычный 5 5 7" xfId="17731"/>
    <cellStyle name="Обычный 5 5 8" xfId="17732"/>
    <cellStyle name="Обычный 5 5 9" xfId="17733"/>
    <cellStyle name="Обычный 5 6" xfId="4260"/>
    <cellStyle name="Обычный 5 6 2" xfId="4261"/>
    <cellStyle name="Обычный 5 6 2 2" xfId="4262"/>
    <cellStyle name="Обычный 5 6 2 3" xfId="4263"/>
    <cellStyle name="Обычный 5 6 3" xfId="4264"/>
    <cellStyle name="Обычный 5 6 4" xfId="4265"/>
    <cellStyle name="Обычный 5 6 4 2" xfId="17734"/>
    <cellStyle name="Обычный 5 6 4 3" xfId="17735"/>
    <cellStyle name="Обычный 5 6 4 4" xfId="17736"/>
    <cellStyle name="Обычный 5 6 4 5" xfId="17737"/>
    <cellStyle name="Обычный 5 6 5" xfId="17738"/>
    <cellStyle name="Обычный 5 6 6" xfId="17739"/>
    <cellStyle name="Обычный 5 6 7" xfId="17740"/>
    <cellStyle name="Обычный 5 6 8" xfId="17741"/>
    <cellStyle name="Обычный 5 7" xfId="4266"/>
    <cellStyle name="Обычный 5 7 2" xfId="4267"/>
    <cellStyle name="Обычный 5 7 2 2" xfId="4268"/>
    <cellStyle name="Обычный 5 7 2 3" xfId="4269"/>
    <cellStyle name="Обычный 5 7 3" xfId="4270"/>
    <cellStyle name="Обычный 5 7 4" xfId="4271"/>
    <cellStyle name="Обычный 5 7 4 2" xfId="17742"/>
    <cellStyle name="Обычный 5 7 4 3" xfId="17743"/>
    <cellStyle name="Обычный 5 7 4 4" xfId="17744"/>
    <cellStyle name="Обычный 5 7 4 5" xfId="17745"/>
    <cellStyle name="Обычный 5 7 5" xfId="17746"/>
    <cellStyle name="Обычный 5 7 6" xfId="17747"/>
    <cellStyle name="Обычный 5 7 7" xfId="17748"/>
    <cellStyle name="Обычный 5 7 8" xfId="17749"/>
    <cellStyle name="Обычный 5 8" xfId="4272"/>
    <cellStyle name="Обычный 5 8 2" xfId="4273"/>
    <cellStyle name="Обычный 5 8 2 2" xfId="4274"/>
    <cellStyle name="Обычный 5 8 2 3" xfId="4275"/>
    <cellStyle name="Обычный 5 8 3" xfId="4276"/>
    <cellStyle name="Обычный 5 8 4" xfId="4277"/>
    <cellStyle name="Обычный 5 8 4 2" xfId="17750"/>
    <cellStyle name="Обычный 5 8 4 3" xfId="17751"/>
    <cellStyle name="Обычный 5 8 4 4" xfId="17752"/>
    <cellStyle name="Обычный 5 8 4 5" xfId="17753"/>
    <cellStyle name="Обычный 5 8 5" xfId="17754"/>
    <cellStyle name="Обычный 5 8 6" xfId="17755"/>
    <cellStyle name="Обычный 5 8 7" xfId="17756"/>
    <cellStyle name="Обычный 5 8 8" xfId="17757"/>
    <cellStyle name="Обычный 5 9" xfId="4278"/>
    <cellStyle name="Обычный 5 9 2" xfId="4279"/>
    <cellStyle name="Обычный 5 9 2 2" xfId="4280"/>
    <cellStyle name="Обычный 5 9 2 3" xfId="4281"/>
    <cellStyle name="Обычный 5 9 3" xfId="4282"/>
    <cellStyle name="Обычный 5 9 4" xfId="4283"/>
    <cellStyle name="Обычный 5 9 4 2" xfId="17758"/>
    <cellStyle name="Обычный 5 9 4 3" xfId="17759"/>
    <cellStyle name="Обычный 5 9 4 4" xfId="17760"/>
    <cellStyle name="Обычный 5 9 4 5" xfId="17761"/>
    <cellStyle name="Обычный 5 9 5" xfId="17762"/>
    <cellStyle name="Обычный 5 9 6" xfId="17763"/>
    <cellStyle name="Обычный 5 9 7" xfId="17764"/>
    <cellStyle name="Обычный 5 9 8" xfId="17765"/>
    <cellStyle name="Обычный 6" xfId="8"/>
    <cellStyle name="Обычный 6 10" xfId="4284"/>
    <cellStyle name="Обычный 6 10 2" xfId="4285"/>
    <cellStyle name="Обычный 6 10 2 2" xfId="4286"/>
    <cellStyle name="Обычный 6 10 2 3" xfId="4287"/>
    <cellStyle name="Обычный 6 10 3" xfId="4288"/>
    <cellStyle name="Обычный 6 10 4" xfId="4289"/>
    <cellStyle name="Обычный 6 10 4 2" xfId="17766"/>
    <cellStyle name="Обычный 6 10 4 3" xfId="17767"/>
    <cellStyle name="Обычный 6 10 4 4" xfId="17768"/>
    <cellStyle name="Обычный 6 10 4 5" xfId="17769"/>
    <cellStyle name="Обычный 6 10 5" xfId="17770"/>
    <cellStyle name="Обычный 6 10 6" xfId="17771"/>
    <cellStyle name="Обычный 6 10 7" xfId="17772"/>
    <cellStyle name="Обычный 6 10 8" xfId="17773"/>
    <cellStyle name="Обычный 6 11" xfId="4290"/>
    <cellStyle name="Обычный 6 11 2" xfId="4291"/>
    <cellStyle name="Обычный 6 11 2 2" xfId="4292"/>
    <cellStyle name="Обычный 6 11 2 3" xfId="4293"/>
    <cellStyle name="Обычный 6 11 3" xfId="4294"/>
    <cellStyle name="Обычный 6 11 4" xfId="4295"/>
    <cellStyle name="Обычный 6 11 4 2" xfId="17774"/>
    <cellStyle name="Обычный 6 11 4 3" xfId="17775"/>
    <cellStyle name="Обычный 6 11 4 4" xfId="17776"/>
    <cellStyle name="Обычный 6 11 4 5" xfId="17777"/>
    <cellStyle name="Обычный 6 11 5" xfId="17778"/>
    <cellStyle name="Обычный 6 11 6" xfId="17779"/>
    <cellStyle name="Обычный 6 11 7" xfId="17780"/>
    <cellStyle name="Обычный 6 11 8" xfId="17781"/>
    <cellStyle name="Обычный 6 12" xfId="4296"/>
    <cellStyle name="Обычный 6 12 2" xfId="4297"/>
    <cellStyle name="Обычный 6 12 3" xfId="4298"/>
    <cellStyle name="Обычный 6 13" xfId="4299"/>
    <cellStyle name="Обычный 6 14" xfId="4300"/>
    <cellStyle name="Обычный 6 14 2" xfId="17782"/>
    <cellStyle name="Обычный 6 14 3" xfId="17783"/>
    <cellStyle name="Обычный 6 14 4" xfId="17784"/>
    <cellStyle name="Обычный 6 14 5" xfId="17785"/>
    <cellStyle name="Обычный 6 15" xfId="17786"/>
    <cellStyle name="Обычный 6 16" xfId="17787"/>
    <cellStyle name="Обычный 6 17" xfId="17788"/>
    <cellStyle name="Обычный 6 18" xfId="17789"/>
    <cellStyle name="Обычный 6 2" xfId="4301"/>
    <cellStyle name="Обычный 6 2 10" xfId="4302"/>
    <cellStyle name="Обычный 6 2 10 2" xfId="4303"/>
    <cellStyle name="Обычный 6 2 10 2 2" xfId="4304"/>
    <cellStyle name="Обычный 6 2 10 2 3" xfId="4305"/>
    <cellStyle name="Обычный 6 2 10 3" xfId="4306"/>
    <cellStyle name="Обычный 6 2 10 4" xfId="4307"/>
    <cellStyle name="Обычный 6 2 10 4 2" xfId="17790"/>
    <cellStyle name="Обычный 6 2 10 4 3" xfId="17791"/>
    <cellStyle name="Обычный 6 2 10 4 4" xfId="17792"/>
    <cellStyle name="Обычный 6 2 10 4 5" xfId="17793"/>
    <cellStyle name="Обычный 6 2 10 5" xfId="17794"/>
    <cellStyle name="Обычный 6 2 10 6" xfId="17795"/>
    <cellStyle name="Обычный 6 2 10 7" xfId="17796"/>
    <cellStyle name="Обычный 6 2 10 8" xfId="17797"/>
    <cellStyle name="Обычный 6 2 11" xfId="4308"/>
    <cellStyle name="Обычный 6 2 11 2" xfId="4309"/>
    <cellStyle name="Обычный 6 2 11 2 2" xfId="4310"/>
    <cellStyle name="Обычный 6 2 11 2 3" xfId="4311"/>
    <cellStyle name="Обычный 6 2 11 3" xfId="4312"/>
    <cellStyle name="Обычный 6 2 11 4" xfId="4313"/>
    <cellStyle name="Обычный 6 2 11 4 2" xfId="17798"/>
    <cellStyle name="Обычный 6 2 11 4 3" xfId="17799"/>
    <cellStyle name="Обычный 6 2 11 4 4" xfId="17800"/>
    <cellStyle name="Обычный 6 2 11 4 5" xfId="17801"/>
    <cellStyle name="Обычный 6 2 11 5" xfId="17802"/>
    <cellStyle name="Обычный 6 2 11 6" xfId="17803"/>
    <cellStyle name="Обычный 6 2 11 7" xfId="17804"/>
    <cellStyle name="Обычный 6 2 11 8" xfId="17805"/>
    <cellStyle name="Обычный 6 2 12" xfId="4314"/>
    <cellStyle name="Обычный 6 2 12 2" xfId="4315"/>
    <cellStyle name="Обычный 6 2 12 2 2" xfId="4316"/>
    <cellStyle name="Обычный 6 2 12 2 3" xfId="4317"/>
    <cellStyle name="Обычный 6 2 12 3" xfId="4318"/>
    <cellStyle name="Обычный 6 2 12 4" xfId="4319"/>
    <cellStyle name="Обычный 6 2 12 4 2" xfId="17806"/>
    <cellStyle name="Обычный 6 2 12 4 3" xfId="17807"/>
    <cellStyle name="Обычный 6 2 12 4 4" xfId="17808"/>
    <cellStyle name="Обычный 6 2 12 4 5" xfId="17809"/>
    <cellStyle name="Обычный 6 2 12 5" xfId="17810"/>
    <cellStyle name="Обычный 6 2 12 6" xfId="17811"/>
    <cellStyle name="Обычный 6 2 12 7" xfId="17812"/>
    <cellStyle name="Обычный 6 2 12 8" xfId="17813"/>
    <cellStyle name="Обычный 6 2 13" xfId="4320"/>
    <cellStyle name="Обычный 6 2 13 10" xfId="17814"/>
    <cellStyle name="Обычный 6 2 13 11" xfId="17815"/>
    <cellStyle name="Обычный 6 2 13 12" xfId="17816"/>
    <cellStyle name="Обычный 6 2 13 2" xfId="4321"/>
    <cellStyle name="Обычный 6 2 13 2 2" xfId="17817"/>
    <cellStyle name="Обычный 6 2 13 2 3" xfId="17818"/>
    <cellStyle name="Обычный 6 2 13 2 4" xfId="17819"/>
    <cellStyle name="Обычный 6 2 13 2 5" xfId="17820"/>
    <cellStyle name="Обычный 6 2 13 2 6" xfId="17821"/>
    <cellStyle name="Обычный 6 2 13 2 7" xfId="17822"/>
    <cellStyle name="Обычный 6 2 13 2 8" xfId="17823"/>
    <cellStyle name="Обычный 6 2 13 2 9" xfId="17824"/>
    <cellStyle name="Обычный 6 2 13 3" xfId="4322"/>
    <cellStyle name="Обычный 6 2 13 3 2" xfId="17825"/>
    <cellStyle name="Обычный 6 2 13 3 3" xfId="17826"/>
    <cellStyle name="Обычный 6 2 13 3 4" xfId="17827"/>
    <cellStyle name="Обычный 6 2 13 3 5" xfId="17828"/>
    <cellStyle name="Обычный 6 2 13 3 6" xfId="17829"/>
    <cellStyle name="Обычный 6 2 13 3 7" xfId="17830"/>
    <cellStyle name="Обычный 6 2 13 3 8" xfId="17831"/>
    <cellStyle name="Обычный 6 2 13 3 9" xfId="17832"/>
    <cellStyle name="Обычный 6 2 13 4" xfId="4323"/>
    <cellStyle name="Обычный 6 2 13 4 2" xfId="17833"/>
    <cellStyle name="Обычный 6 2 13 4 3" xfId="17834"/>
    <cellStyle name="Обычный 6 2 13 4 4" xfId="17835"/>
    <cellStyle name="Обычный 6 2 13 4 5" xfId="17836"/>
    <cellStyle name="Обычный 6 2 13 4 6" xfId="17837"/>
    <cellStyle name="Обычный 6 2 13 4 7" xfId="17838"/>
    <cellStyle name="Обычный 6 2 13 4 8" xfId="17839"/>
    <cellStyle name="Обычный 6 2 13 4 9" xfId="17840"/>
    <cellStyle name="Обычный 6 2 13 5" xfId="17841"/>
    <cellStyle name="Обычный 6 2 13 6" xfId="17842"/>
    <cellStyle name="Обычный 6 2 13 7" xfId="17843"/>
    <cellStyle name="Обычный 6 2 13 8" xfId="17844"/>
    <cellStyle name="Обычный 6 2 13 9" xfId="17845"/>
    <cellStyle name="Обычный 6 2 14" xfId="4324"/>
    <cellStyle name="Обычный 6 2 14 10" xfId="17846"/>
    <cellStyle name="Обычный 6 2 14 11" xfId="17847"/>
    <cellStyle name="Обычный 6 2 14 2" xfId="4325"/>
    <cellStyle name="Обычный 6 2 14 2 2" xfId="17848"/>
    <cellStyle name="Обычный 6 2 14 2 3" xfId="17849"/>
    <cellStyle name="Обычный 6 2 14 2 4" xfId="17850"/>
    <cellStyle name="Обычный 6 2 14 2 5" xfId="17851"/>
    <cellStyle name="Обычный 6 2 14 2 6" xfId="17852"/>
    <cellStyle name="Обычный 6 2 14 2 7" xfId="17853"/>
    <cellStyle name="Обычный 6 2 14 2 8" xfId="17854"/>
    <cellStyle name="Обычный 6 2 14 2 9" xfId="17855"/>
    <cellStyle name="Обычный 6 2 14 3" xfId="4326"/>
    <cellStyle name="Обычный 6 2 14 3 2" xfId="17856"/>
    <cellStyle name="Обычный 6 2 14 3 3" xfId="17857"/>
    <cellStyle name="Обычный 6 2 14 3 4" xfId="17858"/>
    <cellStyle name="Обычный 6 2 14 3 5" xfId="17859"/>
    <cellStyle name="Обычный 6 2 14 3 6" xfId="17860"/>
    <cellStyle name="Обычный 6 2 14 3 7" xfId="17861"/>
    <cellStyle name="Обычный 6 2 14 3 8" xfId="17862"/>
    <cellStyle name="Обычный 6 2 14 3 9" xfId="17863"/>
    <cellStyle name="Обычный 6 2 14 4" xfId="17864"/>
    <cellStyle name="Обычный 6 2 14 5" xfId="17865"/>
    <cellStyle name="Обычный 6 2 14 6" xfId="17866"/>
    <cellStyle name="Обычный 6 2 14 7" xfId="17867"/>
    <cellStyle name="Обычный 6 2 14 8" xfId="17868"/>
    <cellStyle name="Обычный 6 2 14 9" xfId="17869"/>
    <cellStyle name="Обычный 6 2 15" xfId="4327"/>
    <cellStyle name="Обычный 6 2 15 2" xfId="17870"/>
    <cellStyle name="Обычный 6 2 15 3" xfId="17871"/>
    <cellStyle name="Обычный 6 2 15 4" xfId="17872"/>
    <cellStyle name="Обычный 6 2 15 5" xfId="17873"/>
    <cellStyle name="Обычный 6 2 15 6" xfId="17874"/>
    <cellStyle name="Обычный 6 2 15 7" xfId="17875"/>
    <cellStyle name="Обычный 6 2 15 8" xfId="17876"/>
    <cellStyle name="Обычный 6 2 15 9" xfId="17877"/>
    <cellStyle name="Обычный 6 2 16" xfId="17878"/>
    <cellStyle name="Обычный 6 2 17" xfId="17879"/>
    <cellStyle name="Обычный 6 2 18" xfId="17880"/>
    <cellStyle name="Обычный 6 2 19" xfId="17881"/>
    <cellStyle name="Обычный 6 2 2" xfId="4328"/>
    <cellStyle name="Обычный 6 2 2 2" xfId="4329"/>
    <cellStyle name="Обычный 6 2 2 2 2" xfId="4330"/>
    <cellStyle name="Обычный 6 2 2 2 3" xfId="4331"/>
    <cellStyle name="Обычный 6 2 2 3" xfId="4332"/>
    <cellStyle name="Обычный 6 2 2 4" xfId="4333"/>
    <cellStyle name="Обычный 6 2 2 4 2" xfId="17882"/>
    <cellStyle name="Обычный 6 2 2 4 3" xfId="17883"/>
    <cellStyle name="Обычный 6 2 2 4 4" xfId="17884"/>
    <cellStyle name="Обычный 6 2 2 4 5" xfId="17885"/>
    <cellStyle name="Обычный 6 2 2 5" xfId="17886"/>
    <cellStyle name="Обычный 6 2 2 6" xfId="17887"/>
    <cellStyle name="Обычный 6 2 2 7" xfId="17888"/>
    <cellStyle name="Обычный 6 2 2 8" xfId="17889"/>
    <cellStyle name="Обычный 6 2 20" xfId="17890"/>
    <cellStyle name="Обычный 6 2 21" xfId="17891"/>
    <cellStyle name="Обычный 6 2 22" xfId="17892"/>
    <cellStyle name="Обычный 6 2 23" xfId="17893"/>
    <cellStyle name="Обычный 6 2 3" xfId="4334"/>
    <cellStyle name="Обычный 6 2 3 2" xfId="4335"/>
    <cellStyle name="Обычный 6 2 3 2 2" xfId="4336"/>
    <cellStyle name="Обычный 6 2 3 2 3" xfId="4337"/>
    <cellStyle name="Обычный 6 2 3 3" xfId="4338"/>
    <cellStyle name="Обычный 6 2 3 4" xfId="4339"/>
    <cellStyle name="Обычный 6 2 3 4 2" xfId="17894"/>
    <cellStyle name="Обычный 6 2 3 4 3" xfId="17895"/>
    <cellStyle name="Обычный 6 2 3 4 4" xfId="17896"/>
    <cellStyle name="Обычный 6 2 3 4 5" xfId="17897"/>
    <cellStyle name="Обычный 6 2 3 5" xfId="17898"/>
    <cellStyle name="Обычный 6 2 3 6" xfId="17899"/>
    <cellStyle name="Обычный 6 2 3 7" xfId="17900"/>
    <cellStyle name="Обычный 6 2 3 8" xfId="17901"/>
    <cellStyle name="Обычный 6 2 4" xfId="4340"/>
    <cellStyle name="Обычный 6 2 4 10" xfId="17902"/>
    <cellStyle name="Обычный 6 2 4 11" xfId="17903"/>
    <cellStyle name="Обычный 6 2 4 12" xfId="17904"/>
    <cellStyle name="Обычный 6 2 4 2" xfId="4341"/>
    <cellStyle name="Обычный 6 2 4 2 10" xfId="17905"/>
    <cellStyle name="Обычный 6 2 4 2 11" xfId="17906"/>
    <cellStyle name="Обычный 6 2 4 2 12" xfId="17907"/>
    <cellStyle name="Обычный 6 2 4 2 2" xfId="4342"/>
    <cellStyle name="Обычный 6 2 4 2 2 2" xfId="17908"/>
    <cellStyle name="Обычный 6 2 4 2 2 3" xfId="17909"/>
    <cellStyle name="Обычный 6 2 4 2 2 4" xfId="17910"/>
    <cellStyle name="Обычный 6 2 4 2 2 5" xfId="17911"/>
    <cellStyle name="Обычный 6 2 4 2 2 6" xfId="17912"/>
    <cellStyle name="Обычный 6 2 4 2 2 7" xfId="17913"/>
    <cellStyle name="Обычный 6 2 4 2 2 8" xfId="17914"/>
    <cellStyle name="Обычный 6 2 4 2 2 9" xfId="17915"/>
    <cellStyle name="Обычный 6 2 4 2 3" xfId="4343"/>
    <cellStyle name="Обычный 6 2 4 2 3 2" xfId="17916"/>
    <cellStyle name="Обычный 6 2 4 2 3 3" xfId="17917"/>
    <cellStyle name="Обычный 6 2 4 2 3 4" xfId="17918"/>
    <cellStyle name="Обычный 6 2 4 2 3 5" xfId="17919"/>
    <cellStyle name="Обычный 6 2 4 2 3 6" xfId="17920"/>
    <cellStyle name="Обычный 6 2 4 2 3 7" xfId="17921"/>
    <cellStyle name="Обычный 6 2 4 2 3 8" xfId="17922"/>
    <cellStyle name="Обычный 6 2 4 2 3 9" xfId="17923"/>
    <cellStyle name="Обычный 6 2 4 2 4" xfId="4344"/>
    <cellStyle name="Обычный 6 2 4 2 4 2" xfId="17924"/>
    <cellStyle name="Обычный 6 2 4 2 4 3" xfId="17925"/>
    <cellStyle name="Обычный 6 2 4 2 4 4" xfId="17926"/>
    <cellStyle name="Обычный 6 2 4 2 4 5" xfId="17927"/>
    <cellStyle name="Обычный 6 2 4 2 4 6" xfId="17928"/>
    <cellStyle name="Обычный 6 2 4 2 4 7" xfId="17929"/>
    <cellStyle name="Обычный 6 2 4 2 4 8" xfId="17930"/>
    <cellStyle name="Обычный 6 2 4 2 4 9" xfId="17931"/>
    <cellStyle name="Обычный 6 2 4 2 5" xfId="17932"/>
    <cellStyle name="Обычный 6 2 4 2 6" xfId="17933"/>
    <cellStyle name="Обычный 6 2 4 2 7" xfId="17934"/>
    <cellStyle name="Обычный 6 2 4 2 8" xfId="17935"/>
    <cellStyle name="Обычный 6 2 4 2 9" xfId="17936"/>
    <cellStyle name="Обычный 6 2 4 3" xfId="4345"/>
    <cellStyle name="Обычный 6 2 4 3 10" xfId="17937"/>
    <cellStyle name="Обычный 6 2 4 3 11" xfId="17938"/>
    <cellStyle name="Обычный 6 2 4 3 2" xfId="4346"/>
    <cellStyle name="Обычный 6 2 4 3 2 2" xfId="17939"/>
    <cellStyle name="Обычный 6 2 4 3 2 3" xfId="17940"/>
    <cellStyle name="Обычный 6 2 4 3 2 4" xfId="17941"/>
    <cellStyle name="Обычный 6 2 4 3 2 5" xfId="17942"/>
    <cellStyle name="Обычный 6 2 4 3 2 6" xfId="17943"/>
    <cellStyle name="Обычный 6 2 4 3 2 7" xfId="17944"/>
    <cellStyle name="Обычный 6 2 4 3 2 8" xfId="17945"/>
    <cellStyle name="Обычный 6 2 4 3 2 9" xfId="17946"/>
    <cellStyle name="Обычный 6 2 4 3 3" xfId="4347"/>
    <cellStyle name="Обычный 6 2 4 3 3 2" xfId="17947"/>
    <cellStyle name="Обычный 6 2 4 3 3 3" xfId="17948"/>
    <cellStyle name="Обычный 6 2 4 3 3 4" xfId="17949"/>
    <cellStyle name="Обычный 6 2 4 3 3 5" xfId="17950"/>
    <cellStyle name="Обычный 6 2 4 3 3 6" xfId="17951"/>
    <cellStyle name="Обычный 6 2 4 3 3 7" xfId="17952"/>
    <cellStyle name="Обычный 6 2 4 3 3 8" xfId="17953"/>
    <cellStyle name="Обычный 6 2 4 3 3 9" xfId="17954"/>
    <cellStyle name="Обычный 6 2 4 3 4" xfId="17955"/>
    <cellStyle name="Обычный 6 2 4 3 5" xfId="17956"/>
    <cellStyle name="Обычный 6 2 4 3 6" xfId="17957"/>
    <cellStyle name="Обычный 6 2 4 3 7" xfId="17958"/>
    <cellStyle name="Обычный 6 2 4 3 8" xfId="17959"/>
    <cellStyle name="Обычный 6 2 4 3 9" xfId="17960"/>
    <cellStyle name="Обычный 6 2 4 4" xfId="4348"/>
    <cellStyle name="Обычный 6 2 4 4 2" xfId="17961"/>
    <cellStyle name="Обычный 6 2 4 4 3" xfId="17962"/>
    <cellStyle name="Обычный 6 2 4 4 4" xfId="17963"/>
    <cellStyle name="Обычный 6 2 4 4 5" xfId="17964"/>
    <cellStyle name="Обычный 6 2 4 4 6" xfId="17965"/>
    <cellStyle name="Обычный 6 2 4 4 7" xfId="17966"/>
    <cellStyle name="Обычный 6 2 4 4 8" xfId="17967"/>
    <cellStyle name="Обычный 6 2 4 4 9" xfId="17968"/>
    <cellStyle name="Обычный 6 2 4 5" xfId="17969"/>
    <cellStyle name="Обычный 6 2 4 6" xfId="17970"/>
    <cellStyle name="Обычный 6 2 4 7" xfId="17971"/>
    <cellStyle name="Обычный 6 2 4 8" xfId="17972"/>
    <cellStyle name="Обычный 6 2 4 9" xfId="17973"/>
    <cellStyle name="Обычный 6 2 5" xfId="4349"/>
    <cellStyle name="Обычный 6 2 5 2" xfId="4350"/>
    <cellStyle name="Обычный 6 2 5 2 2" xfId="4351"/>
    <cellStyle name="Обычный 6 2 5 2 3" xfId="4352"/>
    <cellStyle name="Обычный 6 2 5 3" xfId="4353"/>
    <cellStyle name="Обычный 6 2 5 4" xfId="4354"/>
    <cellStyle name="Обычный 6 2 5 4 2" xfId="17974"/>
    <cellStyle name="Обычный 6 2 5 4 3" xfId="17975"/>
    <cellStyle name="Обычный 6 2 5 4 4" xfId="17976"/>
    <cellStyle name="Обычный 6 2 5 4 5" xfId="17977"/>
    <cellStyle name="Обычный 6 2 5 5" xfId="17978"/>
    <cellStyle name="Обычный 6 2 5 6" xfId="17979"/>
    <cellStyle name="Обычный 6 2 5 7" xfId="17980"/>
    <cellStyle name="Обычный 6 2 5 8" xfId="17981"/>
    <cellStyle name="Обычный 6 2 6" xfId="4355"/>
    <cellStyle name="Обычный 6 2 6 2" xfId="4356"/>
    <cellStyle name="Обычный 6 2 6 2 2" xfId="4357"/>
    <cellStyle name="Обычный 6 2 6 2 3" xfId="4358"/>
    <cellStyle name="Обычный 6 2 6 3" xfId="4359"/>
    <cellStyle name="Обычный 6 2 6 4" xfId="4360"/>
    <cellStyle name="Обычный 6 2 6 4 2" xfId="17982"/>
    <cellStyle name="Обычный 6 2 6 4 3" xfId="17983"/>
    <cellStyle name="Обычный 6 2 6 4 4" xfId="17984"/>
    <cellStyle name="Обычный 6 2 6 4 5" xfId="17985"/>
    <cellStyle name="Обычный 6 2 6 5" xfId="17986"/>
    <cellStyle name="Обычный 6 2 6 6" xfId="17987"/>
    <cellStyle name="Обычный 6 2 6 7" xfId="17988"/>
    <cellStyle name="Обычный 6 2 6 8" xfId="17989"/>
    <cellStyle name="Обычный 6 2 7" xfId="4361"/>
    <cellStyle name="Обычный 6 2 7 2" xfId="4362"/>
    <cellStyle name="Обычный 6 2 7 2 2" xfId="4363"/>
    <cellStyle name="Обычный 6 2 7 2 3" xfId="4364"/>
    <cellStyle name="Обычный 6 2 7 3" xfId="4365"/>
    <cellStyle name="Обычный 6 2 7 4" xfId="4366"/>
    <cellStyle name="Обычный 6 2 7 4 2" xfId="17990"/>
    <cellStyle name="Обычный 6 2 7 4 3" xfId="17991"/>
    <cellStyle name="Обычный 6 2 7 4 4" xfId="17992"/>
    <cellStyle name="Обычный 6 2 7 4 5" xfId="17993"/>
    <cellStyle name="Обычный 6 2 7 5" xfId="17994"/>
    <cellStyle name="Обычный 6 2 7 6" xfId="17995"/>
    <cellStyle name="Обычный 6 2 7 7" xfId="17996"/>
    <cellStyle name="Обычный 6 2 7 8" xfId="17997"/>
    <cellStyle name="Обычный 6 2 8" xfId="4367"/>
    <cellStyle name="Обычный 6 2 8 2" xfId="4368"/>
    <cellStyle name="Обычный 6 2 8 2 2" xfId="4369"/>
    <cellStyle name="Обычный 6 2 8 2 3" xfId="4370"/>
    <cellStyle name="Обычный 6 2 8 3" xfId="4371"/>
    <cellStyle name="Обычный 6 2 8 4" xfId="4372"/>
    <cellStyle name="Обычный 6 2 8 4 2" xfId="17998"/>
    <cellStyle name="Обычный 6 2 8 4 3" xfId="17999"/>
    <cellStyle name="Обычный 6 2 8 4 4" xfId="18000"/>
    <cellStyle name="Обычный 6 2 8 4 5" xfId="18001"/>
    <cellStyle name="Обычный 6 2 8 5" xfId="18002"/>
    <cellStyle name="Обычный 6 2 8 6" xfId="18003"/>
    <cellStyle name="Обычный 6 2 8 7" xfId="18004"/>
    <cellStyle name="Обычный 6 2 8 8" xfId="18005"/>
    <cellStyle name="Обычный 6 2 9" xfId="4373"/>
    <cellStyle name="Обычный 6 2 9 2" xfId="4374"/>
    <cellStyle name="Обычный 6 2 9 2 2" xfId="4375"/>
    <cellStyle name="Обычный 6 2 9 2 3" xfId="4376"/>
    <cellStyle name="Обычный 6 2 9 3" xfId="4377"/>
    <cellStyle name="Обычный 6 2 9 4" xfId="4378"/>
    <cellStyle name="Обычный 6 2 9 4 2" xfId="18006"/>
    <cellStyle name="Обычный 6 2 9 4 3" xfId="18007"/>
    <cellStyle name="Обычный 6 2 9 4 4" xfId="18008"/>
    <cellStyle name="Обычный 6 2 9 4 5" xfId="18009"/>
    <cellStyle name="Обычный 6 2 9 5" xfId="18010"/>
    <cellStyle name="Обычный 6 2 9 6" xfId="18011"/>
    <cellStyle name="Обычный 6 2 9 7" xfId="18012"/>
    <cellStyle name="Обычный 6 2 9 8" xfId="18013"/>
    <cellStyle name="Обычный 6 2_Расчет программы" xfId="4379"/>
    <cellStyle name="Обычный 6 3" xfId="4380"/>
    <cellStyle name="Обычный 6 3 10" xfId="18014"/>
    <cellStyle name="Обычный 6 3 11" xfId="18015"/>
    <cellStyle name="Обычный 6 3 12" xfId="18016"/>
    <cellStyle name="Обычный 6 3 2" xfId="4381"/>
    <cellStyle name="Обычный 6 3 2 10" xfId="18017"/>
    <cellStyle name="Обычный 6 3 2 11" xfId="18018"/>
    <cellStyle name="Обычный 6 3 2 12" xfId="18019"/>
    <cellStyle name="Обычный 6 3 2 2" xfId="4382"/>
    <cellStyle name="Обычный 6 3 2 2 2" xfId="18020"/>
    <cellStyle name="Обычный 6 3 2 2 3" xfId="18021"/>
    <cellStyle name="Обычный 6 3 2 2 4" xfId="18022"/>
    <cellStyle name="Обычный 6 3 2 2 5" xfId="18023"/>
    <cellStyle name="Обычный 6 3 2 2 6" xfId="18024"/>
    <cellStyle name="Обычный 6 3 2 2 7" xfId="18025"/>
    <cellStyle name="Обычный 6 3 2 2 8" xfId="18026"/>
    <cellStyle name="Обычный 6 3 2 2 9" xfId="18027"/>
    <cellStyle name="Обычный 6 3 2 3" xfId="4383"/>
    <cellStyle name="Обычный 6 3 2 3 2" xfId="18028"/>
    <cellStyle name="Обычный 6 3 2 3 3" xfId="18029"/>
    <cellStyle name="Обычный 6 3 2 3 4" xfId="18030"/>
    <cellStyle name="Обычный 6 3 2 3 5" xfId="18031"/>
    <cellStyle name="Обычный 6 3 2 3 6" xfId="18032"/>
    <cellStyle name="Обычный 6 3 2 3 7" xfId="18033"/>
    <cellStyle name="Обычный 6 3 2 3 8" xfId="18034"/>
    <cellStyle name="Обычный 6 3 2 3 9" xfId="18035"/>
    <cellStyle name="Обычный 6 3 2 4" xfId="4384"/>
    <cellStyle name="Обычный 6 3 2 4 2" xfId="18036"/>
    <cellStyle name="Обычный 6 3 2 4 3" xfId="18037"/>
    <cellStyle name="Обычный 6 3 2 4 4" xfId="18038"/>
    <cellStyle name="Обычный 6 3 2 4 5" xfId="18039"/>
    <cellStyle name="Обычный 6 3 2 4 6" xfId="18040"/>
    <cellStyle name="Обычный 6 3 2 4 7" xfId="18041"/>
    <cellStyle name="Обычный 6 3 2 4 8" xfId="18042"/>
    <cellStyle name="Обычный 6 3 2 4 9" xfId="18043"/>
    <cellStyle name="Обычный 6 3 2 5" xfId="18044"/>
    <cellStyle name="Обычный 6 3 2 6" xfId="18045"/>
    <cellStyle name="Обычный 6 3 2 7" xfId="18046"/>
    <cellStyle name="Обычный 6 3 2 8" xfId="18047"/>
    <cellStyle name="Обычный 6 3 2 9" xfId="18048"/>
    <cellStyle name="Обычный 6 3 3" xfId="4385"/>
    <cellStyle name="Обычный 6 3 3 10" xfId="18049"/>
    <cellStyle name="Обычный 6 3 3 11" xfId="18050"/>
    <cellStyle name="Обычный 6 3 3 2" xfId="4386"/>
    <cellStyle name="Обычный 6 3 3 2 2" xfId="18051"/>
    <cellStyle name="Обычный 6 3 3 2 3" xfId="18052"/>
    <cellStyle name="Обычный 6 3 3 2 4" xfId="18053"/>
    <cellStyle name="Обычный 6 3 3 2 5" xfId="18054"/>
    <cellStyle name="Обычный 6 3 3 2 6" xfId="18055"/>
    <cellStyle name="Обычный 6 3 3 2 7" xfId="18056"/>
    <cellStyle name="Обычный 6 3 3 2 8" xfId="18057"/>
    <cellStyle name="Обычный 6 3 3 2 9" xfId="18058"/>
    <cellStyle name="Обычный 6 3 3 3" xfId="4387"/>
    <cellStyle name="Обычный 6 3 3 3 2" xfId="18059"/>
    <cellStyle name="Обычный 6 3 3 3 3" xfId="18060"/>
    <cellStyle name="Обычный 6 3 3 3 4" xfId="18061"/>
    <cellStyle name="Обычный 6 3 3 3 5" xfId="18062"/>
    <cellStyle name="Обычный 6 3 3 3 6" xfId="18063"/>
    <cellStyle name="Обычный 6 3 3 3 7" xfId="18064"/>
    <cellStyle name="Обычный 6 3 3 3 8" xfId="18065"/>
    <cellStyle name="Обычный 6 3 3 3 9" xfId="18066"/>
    <cellStyle name="Обычный 6 3 3 4" xfId="18067"/>
    <cellStyle name="Обычный 6 3 3 5" xfId="18068"/>
    <cellStyle name="Обычный 6 3 3 6" xfId="18069"/>
    <cellStyle name="Обычный 6 3 3 7" xfId="18070"/>
    <cellStyle name="Обычный 6 3 3 8" xfId="18071"/>
    <cellStyle name="Обычный 6 3 3 9" xfId="18072"/>
    <cellStyle name="Обычный 6 3 4" xfId="4388"/>
    <cellStyle name="Обычный 6 3 4 2" xfId="18073"/>
    <cellStyle name="Обычный 6 3 4 3" xfId="18074"/>
    <cellStyle name="Обычный 6 3 4 4" xfId="18075"/>
    <cellStyle name="Обычный 6 3 4 5" xfId="18076"/>
    <cellStyle name="Обычный 6 3 4 6" xfId="18077"/>
    <cellStyle name="Обычный 6 3 4 7" xfId="18078"/>
    <cellStyle name="Обычный 6 3 4 8" xfId="18079"/>
    <cellStyle name="Обычный 6 3 4 9" xfId="18080"/>
    <cellStyle name="Обычный 6 3 5" xfId="18081"/>
    <cellStyle name="Обычный 6 3 6" xfId="18082"/>
    <cellStyle name="Обычный 6 3 7" xfId="18083"/>
    <cellStyle name="Обычный 6 3 8" xfId="18084"/>
    <cellStyle name="Обычный 6 3 9" xfId="18085"/>
    <cellStyle name="Обычный 6 4" xfId="4389"/>
    <cellStyle name="Обычный 6 4 10" xfId="18086"/>
    <cellStyle name="Обычный 6 4 11" xfId="18087"/>
    <cellStyle name="Обычный 6 4 12" xfId="18088"/>
    <cellStyle name="Обычный 6 4 2" xfId="4390"/>
    <cellStyle name="Обычный 6 4 2 10" xfId="18089"/>
    <cellStyle name="Обычный 6 4 2 11" xfId="18090"/>
    <cellStyle name="Обычный 6 4 2 12" xfId="18091"/>
    <cellStyle name="Обычный 6 4 2 2" xfId="4391"/>
    <cellStyle name="Обычный 6 4 2 2 2" xfId="18092"/>
    <cellStyle name="Обычный 6 4 2 2 3" xfId="18093"/>
    <cellStyle name="Обычный 6 4 2 2 4" xfId="18094"/>
    <cellStyle name="Обычный 6 4 2 2 5" xfId="18095"/>
    <cellStyle name="Обычный 6 4 2 2 6" xfId="18096"/>
    <cellStyle name="Обычный 6 4 2 2 7" xfId="18097"/>
    <cellStyle name="Обычный 6 4 2 2 8" xfId="18098"/>
    <cellStyle name="Обычный 6 4 2 2 9" xfId="18099"/>
    <cellStyle name="Обычный 6 4 2 3" xfId="4392"/>
    <cellStyle name="Обычный 6 4 2 3 2" xfId="18100"/>
    <cellStyle name="Обычный 6 4 2 3 3" xfId="18101"/>
    <cellStyle name="Обычный 6 4 2 3 4" xfId="18102"/>
    <cellStyle name="Обычный 6 4 2 3 5" xfId="18103"/>
    <cellStyle name="Обычный 6 4 2 3 6" xfId="18104"/>
    <cellStyle name="Обычный 6 4 2 3 7" xfId="18105"/>
    <cellStyle name="Обычный 6 4 2 3 8" xfId="18106"/>
    <cellStyle name="Обычный 6 4 2 3 9" xfId="18107"/>
    <cellStyle name="Обычный 6 4 2 4" xfId="4393"/>
    <cellStyle name="Обычный 6 4 2 4 2" xfId="18108"/>
    <cellStyle name="Обычный 6 4 2 4 3" xfId="18109"/>
    <cellStyle name="Обычный 6 4 2 4 4" xfId="18110"/>
    <cellStyle name="Обычный 6 4 2 4 5" xfId="18111"/>
    <cellStyle name="Обычный 6 4 2 4 6" xfId="18112"/>
    <cellStyle name="Обычный 6 4 2 4 7" xfId="18113"/>
    <cellStyle name="Обычный 6 4 2 4 8" xfId="18114"/>
    <cellStyle name="Обычный 6 4 2 4 9" xfId="18115"/>
    <cellStyle name="Обычный 6 4 2 5" xfId="18116"/>
    <cellStyle name="Обычный 6 4 2 6" xfId="18117"/>
    <cellStyle name="Обычный 6 4 2 7" xfId="18118"/>
    <cellStyle name="Обычный 6 4 2 8" xfId="18119"/>
    <cellStyle name="Обычный 6 4 2 9" xfId="18120"/>
    <cellStyle name="Обычный 6 4 3" xfId="4394"/>
    <cellStyle name="Обычный 6 4 3 10" xfId="18121"/>
    <cellStyle name="Обычный 6 4 3 11" xfId="18122"/>
    <cellStyle name="Обычный 6 4 3 2" xfId="4395"/>
    <cellStyle name="Обычный 6 4 3 2 2" xfId="18123"/>
    <cellStyle name="Обычный 6 4 3 2 3" xfId="18124"/>
    <cellStyle name="Обычный 6 4 3 2 4" xfId="18125"/>
    <cellStyle name="Обычный 6 4 3 2 5" xfId="18126"/>
    <cellStyle name="Обычный 6 4 3 2 6" xfId="18127"/>
    <cellStyle name="Обычный 6 4 3 2 7" xfId="18128"/>
    <cellStyle name="Обычный 6 4 3 2 8" xfId="18129"/>
    <cellStyle name="Обычный 6 4 3 2 9" xfId="18130"/>
    <cellStyle name="Обычный 6 4 3 3" xfId="4396"/>
    <cellStyle name="Обычный 6 4 3 3 2" xfId="18131"/>
    <cellStyle name="Обычный 6 4 3 3 3" xfId="18132"/>
    <cellStyle name="Обычный 6 4 3 3 4" xfId="18133"/>
    <cellStyle name="Обычный 6 4 3 3 5" xfId="18134"/>
    <cellStyle name="Обычный 6 4 3 3 6" xfId="18135"/>
    <cellStyle name="Обычный 6 4 3 3 7" xfId="18136"/>
    <cellStyle name="Обычный 6 4 3 3 8" xfId="18137"/>
    <cellStyle name="Обычный 6 4 3 3 9" xfId="18138"/>
    <cellStyle name="Обычный 6 4 3 4" xfId="18139"/>
    <cellStyle name="Обычный 6 4 3 5" xfId="18140"/>
    <cellStyle name="Обычный 6 4 3 6" xfId="18141"/>
    <cellStyle name="Обычный 6 4 3 7" xfId="18142"/>
    <cellStyle name="Обычный 6 4 3 8" xfId="18143"/>
    <cellStyle name="Обычный 6 4 3 9" xfId="18144"/>
    <cellStyle name="Обычный 6 4 4" xfId="4397"/>
    <cellStyle name="Обычный 6 4 4 2" xfId="18145"/>
    <cellStyle name="Обычный 6 4 4 3" xfId="18146"/>
    <cellStyle name="Обычный 6 4 4 4" xfId="18147"/>
    <cellStyle name="Обычный 6 4 4 5" xfId="18148"/>
    <cellStyle name="Обычный 6 4 4 6" xfId="18149"/>
    <cellStyle name="Обычный 6 4 4 7" xfId="18150"/>
    <cellStyle name="Обычный 6 4 4 8" xfId="18151"/>
    <cellStyle name="Обычный 6 4 4 9" xfId="18152"/>
    <cellStyle name="Обычный 6 4 5" xfId="18153"/>
    <cellStyle name="Обычный 6 4 6" xfId="18154"/>
    <cellStyle name="Обычный 6 4 7" xfId="18155"/>
    <cellStyle name="Обычный 6 4 8" xfId="18156"/>
    <cellStyle name="Обычный 6 4 9" xfId="18157"/>
    <cellStyle name="Обычный 6 5" xfId="4398"/>
    <cellStyle name="Обычный 6 5 10" xfId="18158"/>
    <cellStyle name="Обычный 6 5 11" xfId="18159"/>
    <cellStyle name="Обычный 6 5 12" xfId="18160"/>
    <cellStyle name="Обычный 6 5 2" xfId="4399"/>
    <cellStyle name="Обычный 6 5 2 10" xfId="18161"/>
    <cellStyle name="Обычный 6 5 2 11" xfId="18162"/>
    <cellStyle name="Обычный 6 5 2 12" xfId="18163"/>
    <cellStyle name="Обычный 6 5 2 2" xfId="4400"/>
    <cellStyle name="Обычный 6 5 2 2 2" xfId="18164"/>
    <cellStyle name="Обычный 6 5 2 2 3" xfId="18165"/>
    <cellStyle name="Обычный 6 5 2 2 4" xfId="18166"/>
    <cellStyle name="Обычный 6 5 2 2 5" xfId="18167"/>
    <cellStyle name="Обычный 6 5 2 2 6" xfId="18168"/>
    <cellStyle name="Обычный 6 5 2 2 7" xfId="18169"/>
    <cellStyle name="Обычный 6 5 2 2 8" xfId="18170"/>
    <cellStyle name="Обычный 6 5 2 2 9" xfId="18171"/>
    <cellStyle name="Обычный 6 5 2 3" xfId="4401"/>
    <cellStyle name="Обычный 6 5 2 3 2" xfId="18172"/>
    <cellStyle name="Обычный 6 5 2 3 3" xfId="18173"/>
    <cellStyle name="Обычный 6 5 2 3 4" xfId="18174"/>
    <cellStyle name="Обычный 6 5 2 3 5" xfId="18175"/>
    <cellStyle name="Обычный 6 5 2 3 6" xfId="18176"/>
    <cellStyle name="Обычный 6 5 2 3 7" xfId="18177"/>
    <cellStyle name="Обычный 6 5 2 3 8" xfId="18178"/>
    <cellStyle name="Обычный 6 5 2 3 9" xfId="18179"/>
    <cellStyle name="Обычный 6 5 2 4" xfId="4402"/>
    <cellStyle name="Обычный 6 5 2 4 2" xfId="18180"/>
    <cellStyle name="Обычный 6 5 2 4 3" xfId="18181"/>
    <cellStyle name="Обычный 6 5 2 4 4" xfId="18182"/>
    <cellStyle name="Обычный 6 5 2 4 5" xfId="18183"/>
    <cellStyle name="Обычный 6 5 2 4 6" xfId="18184"/>
    <cellStyle name="Обычный 6 5 2 4 7" xfId="18185"/>
    <cellStyle name="Обычный 6 5 2 4 8" xfId="18186"/>
    <cellStyle name="Обычный 6 5 2 4 9" xfId="18187"/>
    <cellStyle name="Обычный 6 5 2 5" xfId="18188"/>
    <cellStyle name="Обычный 6 5 2 6" xfId="18189"/>
    <cellStyle name="Обычный 6 5 2 7" xfId="18190"/>
    <cellStyle name="Обычный 6 5 2 8" xfId="18191"/>
    <cellStyle name="Обычный 6 5 2 9" xfId="18192"/>
    <cellStyle name="Обычный 6 5 3" xfId="4403"/>
    <cellStyle name="Обычный 6 5 3 10" xfId="18193"/>
    <cellStyle name="Обычный 6 5 3 11" xfId="18194"/>
    <cellStyle name="Обычный 6 5 3 2" xfId="4404"/>
    <cellStyle name="Обычный 6 5 3 2 2" xfId="18195"/>
    <cellStyle name="Обычный 6 5 3 2 3" xfId="18196"/>
    <cellStyle name="Обычный 6 5 3 2 4" xfId="18197"/>
    <cellStyle name="Обычный 6 5 3 2 5" xfId="18198"/>
    <cellStyle name="Обычный 6 5 3 2 6" xfId="18199"/>
    <cellStyle name="Обычный 6 5 3 2 7" xfId="18200"/>
    <cellStyle name="Обычный 6 5 3 2 8" xfId="18201"/>
    <cellStyle name="Обычный 6 5 3 2 9" xfId="18202"/>
    <cellStyle name="Обычный 6 5 3 3" xfId="4405"/>
    <cellStyle name="Обычный 6 5 3 3 2" xfId="18203"/>
    <cellStyle name="Обычный 6 5 3 3 3" xfId="18204"/>
    <cellStyle name="Обычный 6 5 3 3 4" xfId="18205"/>
    <cellStyle name="Обычный 6 5 3 3 5" xfId="18206"/>
    <cellStyle name="Обычный 6 5 3 3 6" xfId="18207"/>
    <cellStyle name="Обычный 6 5 3 3 7" xfId="18208"/>
    <cellStyle name="Обычный 6 5 3 3 8" xfId="18209"/>
    <cellStyle name="Обычный 6 5 3 3 9" xfId="18210"/>
    <cellStyle name="Обычный 6 5 3 4" xfId="18211"/>
    <cellStyle name="Обычный 6 5 3 5" xfId="18212"/>
    <cellStyle name="Обычный 6 5 3 6" xfId="18213"/>
    <cellStyle name="Обычный 6 5 3 7" xfId="18214"/>
    <cellStyle name="Обычный 6 5 3 8" xfId="18215"/>
    <cellStyle name="Обычный 6 5 3 9" xfId="18216"/>
    <cellStyle name="Обычный 6 5 4" xfId="4406"/>
    <cellStyle name="Обычный 6 5 4 2" xfId="18217"/>
    <cellStyle name="Обычный 6 5 4 3" xfId="18218"/>
    <cellStyle name="Обычный 6 5 4 4" xfId="18219"/>
    <cellStyle name="Обычный 6 5 4 5" xfId="18220"/>
    <cellStyle name="Обычный 6 5 4 6" xfId="18221"/>
    <cellStyle name="Обычный 6 5 4 7" xfId="18222"/>
    <cellStyle name="Обычный 6 5 4 8" xfId="18223"/>
    <cellStyle name="Обычный 6 5 4 9" xfId="18224"/>
    <cellStyle name="Обычный 6 5 5" xfId="18225"/>
    <cellStyle name="Обычный 6 5 6" xfId="18226"/>
    <cellStyle name="Обычный 6 5 7" xfId="18227"/>
    <cellStyle name="Обычный 6 5 8" xfId="18228"/>
    <cellStyle name="Обычный 6 5 9" xfId="18229"/>
    <cellStyle name="Обычный 6 6" xfId="4407"/>
    <cellStyle name="Обычный 6 6 10" xfId="18230"/>
    <cellStyle name="Обычный 6 6 11" xfId="18231"/>
    <cellStyle name="Обычный 6 6 12" xfId="18232"/>
    <cellStyle name="Обычный 6 6 2" xfId="4408"/>
    <cellStyle name="Обычный 6 6 2 10" xfId="18233"/>
    <cellStyle name="Обычный 6 6 2 11" xfId="18234"/>
    <cellStyle name="Обычный 6 6 2 12" xfId="18235"/>
    <cellStyle name="Обычный 6 6 2 2" xfId="4409"/>
    <cellStyle name="Обычный 6 6 2 2 2" xfId="18236"/>
    <cellStyle name="Обычный 6 6 2 2 3" xfId="18237"/>
    <cellStyle name="Обычный 6 6 2 2 4" xfId="18238"/>
    <cellStyle name="Обычный 6 6 2 2 5" xfId="18239"/>
    <cellStyle name="Обычный 6 6 2 2 6" xfId="18240"/>
    <cellStyle name="Обычный 6 6 2 2 7" xfId="18241"/>
    <cellStyle name="Обычный 6 6 2 2 8" xfId="18242"/>
    <cellStyle name="Обычный 6 6 2 2 9" xfId="18243"/>
    <cellStyle name="Обычный 6 6 2 3" xfId="4410"/>
    <cellStyle name="Обычный 6 6 2 3 2" xfId="18244"/>
    <cellStyle name="Обычный 6 6 2 3 3" xfId="18245"/>
    <cellStyle name="Обычный 6 6 2 3 4" xfId="18246"/>
    <cellStyle name="Обычный 6 6 2 3 5" xfId="18247"/>
    <cellStyle name="Обычный 6 6 2 3 6" xfId="18248"/>
    <cellStyle name="Обычный 6 6 2 3 7" xfId="18249"/>
    <cellStyle name="Обычный 6 6 2 3 8" xfId="18250"/>
    <cellStyle name="Обычный 6 6 2 3 9" xfId="18251"/>
    <cellStyle name="Обычный 6 6 2 4" xfId="4411"/>
    <cellStyle name="Обычный 6 6 2 4 2" xfId="18252"/>
    <cellStyle name="Обычный 6 6 2 4 3" xfId="18253"/>
    <cellStyle name="Обычный 6 6 2 4 4" xfId="18254"/>
    <cellStyle name="Обычный 6 6 2 4 5" xfId="18255"/>
    <cellStyle name="Обычный 6 6 2 4 6" xfId="18256"/>
    <cellStyle name="Обычный 6 6 2 4 7" xfId="18257"/>
    <cellStyle name="Обычный 6 6 2 4 8" xfId="18258"/>
    <cellStyle name="Обычный 6 6 2 4 9" xfId="18259"/>
    <cellStyle name="Обычный 6 6 2 5" xfId="18260"/>
    <cellStyle name="Обычный 6 6 2 6" xfId="18261"/>
    <cellStyle name="Обычный 6 6 2 7" xfId="18262"/>
    <cellStyle name="Обычный 6 6 2 8" xfId="18263"/>
    <cellStyle name="Обычный 6 6 2 9" xfId="18264"/>
    <cellStyle name="Обычный 6 6 3" xfId="4412"/>
    <cellStyle name="Обычный 6 6 3 10" xfId="18265"/>
    <cellStyle name="Обычный 6 6 3 11" xfId="18266"/>
    <cellStyle name="Обычный 6 6 3 2" xfId="4413"/>
    <cellStyle name="Обычный 6 6 3 2 2" xfId="18267"/>
    <cellStyle name="Обычный 6 6 3 2 3" xfId="18268"/>
    <cellStyle name="Обычный 6 6 3 2 4" xfId="18269"/>
    <cellStyle name="Обычный 6 6 3 2 5" xfId="18270"/>
    <cellStyle name="Обычный 6 6 3 2 6" xfId="18271"/>
    <cellStyle name="Обычный 6 6 3 2 7" xfId="18272"/>
    <cellStyle name="Обычный 6 6 3 2 8" xfId="18273"/>
    <cellStyle name="Обычный 6 6 3 2 9" xfId="18274"/>
    <cellStyle name="Обычный 6 6 3 3" xfId="4414"/>
    <cellStyle name="Обычный 6 6 3 3 2" xfId="18275"/>
    <cellStyle name="Обычный 6 6 3 3 3" xfId="18276"/>
    <cellStyle name="Обычный 6 6 3 3 4" xfId="18277"/>
    <cellStyle name="Обычный 6 6 3 3 5" xfId="18278"/>
    <cellStyle name="Обычный 6 6 3 3 6" xfId="18279"/>
    <cellStyle name="Обычный 6 6 3 3 7" xfId="18280"/>
    <cellStyle name="Обычный 6 6 3 3 8" xfId="18281"/>
    <cellStyle name="Обычный 6 6 3 3 9" xfId="18282"/>
    <cellStyle name="Обычный 6 6 3 4" xfId="18283"/>
    <cellStyle name="Обычный 6 6 3 5" xfId="18284"/>
    <cellStyle name="Обычный 6 6 3 6" xfId="18285"/>
    <cellStyle name="Обычный 6 6 3 7" xfId="18286"/>
    <cellStyle name="Обычный 6 6 3 8" xfId="18287"/>
    <cellStyle name="Обычный 6 6 3 9" xfId="18288"/>
    <cellStyle name="Обычный 6 6 4" xfId="4415"/>
    <cellStyle name="Обычный 6 6 4 2" xfId="18289"/>
    <cellStyle name="Обычный 6 6 4 3" xfId="18290"/>
    <cellStyle name="Обычный 6 6 4 4" xfId="18291"/>
    <cellStyle name="Обычный 6 6 4 5" xfId="18292"/>
    <cellStyle name="Обычный 6 6 4 6" xfId="18293"/>
    <cellStyle name="Обычный 6 6 4 7" xfId="18294"/>
    <cellStyle name="Обычный 6 6 4 8" xfId="18295"/>
    <cellStyle name="Обычный 6 6 4 9" xfId="18296"/>
    <cellStyle name="Обычный 6 6 5" xfId="18297"/>
    <cellStyle name="Обычный 6 6 6" xfId="18298"/>
    <cellStyle name="Обычный 6 6 7" xfId="18299"/>
    <cellStyle name="Обычный 6 6 8" xfId="18300"/>
    <cellStyle name="Обычный 6 6 9" xfId="18301"/>
    <cellStyle name="Обычный 6 7" xfId="4416"/>
    <cellStyle name="Обычный 6 7 2" xfId="4417"/>
    <cellStyle name="Обычный 6 7 2 2" xfId="4418"/>
    <cellStyle name="Обычный 6 7 2 3" xfId="4419"/>
    <cellStyle name="Обычный 6 7 3" xfId="4420"/>
    <cellStyle name="Обычный 6 7 4" xfId="4421"/>
    <cellStyle name="Обычный 6 7 4 2" xfId="18302"/>
    <cellStyle name="Обычный 6 7 4 3" xfId="18303"/>
    <cellStyle name="Обычный 6 7 4 4" xfId="18304"/>
    <cellStyle name="Обычный 6 7 4 5" xfId="18305"/>
    <cellStyle name="Обычный 6 7 5" xfId="18306"/>
    <cellStyle name="Обычный 6 7 6" xfId="18307"/>
    <cellStyle name="Обычный 6 7 7" xfId="18308"/>
    <cellStyle name="Обычный 6 7 8" xfId="18309"/>
    <cellStyle name="Обычный 6 8" xfId="4422"/>
    <cellStyle name="Обычный 6 8 2" xfId="4423"/>
    <cellStyle name="Обычный 6 8 2 2" xfId="4424"/>
    <cellStyle name="Обычный 6 8 2 3" xfId="4425"/>
    <cellStyle name="Обычный 6 8 3" xfId="4426"/>
    <cellStyle name="Обычный 6 8 4" xfId="4427"/>
    <cellStyle name="Обычный 6 8 4 2" xfId="18310"/>
    <cellStyle name="Обычный 6 8 4 3" xfId="18311"/>
    <cellStyle name="Обычный 6 8 4 4" xfId="18312"/>
    <cellStyle name="Обычный 6 8 4 5" xfId="18313"/>
    <cellStyle name="Обычный 6 8 5" xfId="18314"/>
    <cellStyle name="Обычный 6 8 6" xfId="18315"/>
    <cellStyle name="Обычный 6 8 7" xfId="18316"/>
    <cellStyle name="Обычный 6 8 8" xfId="18317"/>
    <cellStyle name="Обычный 6 9" xfId="4428"/>
    <cellStyle name="Обычный 6 9 2" xfId="4429"/>
    <cellStyle name="Обычный 6 9 2 2" xfId="4430"/>
    <cellStyle name="Обычный 6 9 2 3" xfId="4431"/>
    <cellStyle name="Обычный 6 9 3" xfId="4432"/>
    <cellStyle name="Обычный 6 9 4" xfId="4433"/>
    <cellStyle name="Обычный 6 9 4 2" xfId="18318"/>
    <cellStyle name="Обычный 6 9 4 3" xfId="18319"/>
    <cellStyle name="Обычный 6 9 4 4" xfId="18320"/>
    <cellStyle name="Обычный 6 9 4 5" xfId="18321"/>
    <cellStyle name="Обычный 6 9 5" xfId="18322"/>
    <cellStyle name="Обычный 6 9 6" xfId="18323"/>
    <cellStyle name="Обычный 6 9 7" xfId="18324"/>
    <cellStyle name="Обычный 6 9 8" xfId="18325"/>
    <cellStyle name="Обычный 7" xfId="10"/>
    <cellStyle name="Обычный 7 10" xfId="4434"/>
    <cellStyle name="Обычный 7 10 2" xfId="4435"/>
    <cellStyle name="Обычный 7 10 2 2" xfId="4436"/>
    <cellStyle name="Обычный 7 10 2 2 2" xfId="18326"/>
    <cellStyle name="Обычный 7 10 2 2 3" xfId="18327"/>
    <cellStyle name="Обычный 7 10 2 2 4" xfId="18328"/>
    <cellStyle name="Обычный 7 10 2 2 5" xfId="18329"/>
    <cellStyle name="Обычный 7 10 2 2 6" xfId="18330"/>
    <cellStyle name="Обычный 7 10 2 3" xfId="4437"/>
    <cellStyle name="Обычный 7 10 2 3 2" xfId="18331"/>
    <cellStyle name="Обычный 7 10 2 3 3" xfId="18332"/>
    <cellStyle name="Обычный 7 10 2 3 4" xfId="18333"/>
    <cellStyle name="Обычный 7 10 2 3 5" xfId="18334"/>
    <cellStyle name="Обычный 7 10 2 3 6" xfId="18335"/>
    <cellStyle name="Обычный 7 10 2 4" xfId="18336"/>
    <cellStyle name="Обычный 7 10 2 5" xfId="18337"/>
    <cellStyle name="Обычный 7 10 2 6" xfId="18338"/>
    <cellStyle name="Обычный 7 10 2 7" xfId="18339"/>
    <cellStyle name="Обычный 7 10 2 8" xfId="18340"/>
    <cellStyle name="Обычный 7 10 3" xfId="4438"/>
    <cellStyle name="Обычный 7 10 3 2" xfId="18341"/>
    <cellStyle name="Обычный 7 10 3 3" xfId="18342"/>
    <cellStyle name="Обычный 7 10 3 4" xfId="18343"/>
    <cellStyle name="Обычный 7 10 3 5" xfId="18344"/>
    <cellStyle name="Обычный 7 10 3 6" xfId="18345"/>
    <cellStyle name="Обычный 7 10 4" xfId="4439"/>
    <cellStyle name="Обычный 7 10 4 2" xfId="18346"/>
    <cellStyle name="Обычный 7 10 4 3" xfId="18347"/>
    <cellStyle name="Обычный 7 10 4 4" xfId="18348"/>
    <cellStyle name="Обычный 7 10 4 5" xfId="18349"/>
    <cellStyle name="Обычный 7 10 5" xfId="18350"/>
    <cellStyle name="Обычный 7 10 6" xfId="18351"/>
    <cellStyle name="Обычный 7 10 7" xfId="18352"/>
    <cellStyle name="Обычный 7 10 8" xfId="18353"/>
    <cellStyle name="Обычный 7 11" xfId="4440"/>
    <cellStyle name="Обычный 7 11 2" xfId="4441"/>
    <cellStyle name="Обычный 7 11 3" xfId="4442"/>
    <cellStyle name="Обычный 7 12" xfId="4443"/>
    <cellStyle name="Обычный 7 13" xfId="4444"/>
    <cellStyle name="Обычный 7 2" xfId="4445"/>
    <cellStyle name="Обычный 7 2 2" xfId="4446"/>
    <cellStyle name="Обычный 7 2 2 2" xfId="4447"/>
    <cellStyle name="Обычный 7 2 2 2 2" xfId="18354"/>
    <cellStyle name="Обычный 7 2 2 2 3" xfId="18355"/>
    <cellStyle name="Обычный 7 2 2 2 4" xfId="18356"/>
    <cellStyle name="Обычный 7 2 2 2 5" xfId="18357"/>
    <cellStyle name="Обычный 7 2 2 2 6" xfId="18358"/>
    <cellStyle name="Обычный 7 2 2 3" xfId="4448"/>
    <cellStyle name="Обычный 7 2 2 3 2" xfId="18359"/>
    <cellStyle name="Обычный 7 2 2 3 3" xfId="18360"/>
    <cellStyle name="Обычный 7 2 2 3 4" xfId="18361"/>
    <cellStyle name="Обычный 7 2 2 3 5" xfId="18362"/>
    <cellStyle name="Обычный 7 2 2 3 6" xfId="18363"/>
    <cellStyle name="Обычный 7 2 2 4" xfId="18364"/>
    <cellStyle name="Обычный 7 2 2 5" xfId="18365"/>
    <cellStyle name="Обычный 7 2 2 6" xfId="18366"/>
    <cellStyle name="Обычный 7 2 2 7" xfId="18367"/>
    <cellStyle name="Обычный 7 2 2 8" xfId="18368"/>
    <cellStyle name="Обычный 7 2 3" xfId="4449"/>
    <cellStyle name="Обычный 7 2 3 2" xfId="18369"/>
    <cellStyle name="Обычный 7 2 3 3" xfId="18370"/>
    <cellStyle name="Обычный 7 2 3 4" xfId="18371"/>
    <cellStyle name="Обычный 7 2 3 5" xfId="18372"/>
    <cellStyle name="Обычный 7 2 3 6" xfId="18373"/>
    <cellStyle name="Обычный 7 2 4" xfId="4450"/>
    <cellStyle name="Обычный 7 2 4 2" xfId="18374"/>
    <cellStyle name="Обычный 7 2 4 3" xfId="18375"/>
    <cellStyle name="Обычный 7 2 4 4" xfId="18376"/>
    <cellStyle name="Обычный 7 2 4 5" xfId="18377"/>
    <cellStyle name="Обычный 7 2 5" xfId="18378"/>
    <cellStyle name="Обычный 7 2 6" xfId="18379"/>
    <cellStyle name="Обычный 7 2 7" xfId="18380"/>
    <cellStyle name="Обычный 7 2 8" xfId="18381"/>
    <cellStyle name="Обычный 7 3" xfId="4451"/>
    <cellStyle name="Обычный 7 3 2" xfId="4452"/>
    <cellStyle name="Обычный 7 3 2 2" xfId="4453"/>
    <cellStyle name="Обычный 7 3 2 2 2" xfId="18382"/>
    <cellStyle name="Обычный 7 3 2 2 3" xfId="18383"/>
    <cellStyle name="Обычный 7 3 2 2 4" xfId="18384"/>
    <cellStyle name="Обычный 7 3 2 2 5" xfId="18385"/>
    <cellStyle name="Обычный 7 3 2 2 6" xfId="18386"/>
    <cellStyle name="Обычный 7 3 2 3" xfId="4454"/>
    <cellStyle name="Обычный 7 3 2 3 2" xfId="18387"/>
    <cellStyle name="Обычный 7 3 2 3 3" xfId="18388"/>
    <cellStyle name="Обычный 7 3 2 3 4" xfId="18389"/>
    <cellStyle name="Обычный 7 3 2 3 5" xfId="18390"/>
    <cellStyle name="Обычный 7 3 2 3 6" xfId="18391"/>
    <cellStyle name="Обычный 7 3 2 4" xfId="18392"/>
    <cellStyle name="Обычный 7 3 2 5" xfId="18393"/>
    <cellStyle name="Обычный 7 3 2 6" xfId="18394"/>
    <cellStyle name="Обычный 7 3 2 7" xfId="18395"/>
    <cellStyle name="Обычный 7 3 2 8" xfId="18396"/>
    <cellStyle name="Обычный 7 3 3" xfId="4455"/>
    <cellStyle name="Обычный 7 3 3 2" xfId="18397"/>
    <cellStyle name="Обычный 7 3 3 3" xfId="18398"/>
    <cellStyle name="Обычный 7 3 3 4" xfId="18399"/>
    <cellStyle name="Обычный 7 3 3 5" xfId="18400"/>
    <cellStyle name="Обычный 7 3 3 6" xfId="18401"/>
    <cellStyle name="Обычный 7 3 4" xfId="4456"/>
    <cellStyle name="Обычный 7 3 4 2" xfId="18402"/>
    <cellStyle name="Обычный 7 3 4 3" xfId="18403"/>
    <cellStyle name="Обычный 7 3 4 4" xfId="18404"/>
    <cellStyle name="Обычный 7 3 4 5" xfId="18405"/>
    <cellStyle name="Обычный 7 3 5" xfId="18406"/>
    <cellStyle name="Обычный 7 3 6" xfId="18407"/>
    <cellStyle name="Обычный 7 3 7" xfId="18408"/>
    <cellStyle name="Обычный 7 3 8" xfId="18409"/>
    <cellStyle name="Обычный 7 4" xfId="4457"/>
    <cellStyle name="Обычный 7 4 2" xfId="4458"/>
    <cellStyle name="Обычный 7 4 2 2" xfId="4459"/>
    <cellStyle name="Обычный 7 4 2 2 2" xfId="18410"/>
    <cellStyle name="Обычный 7 4 2 2 3" xfId="18411"/>
    <cellStyle name="Обычный 7 4 2 2 4" xfId="18412"/>
    <cellStyle name="Обычный 7 4 2 2 5" xfId="18413"/>
    <cellStyle name="Обычный 7 4 2 2 6" xfId="18414"/>
    <cellStyle name="Обычный 7 4 2 3" xfId="4460"/>
    <cellStyle name="Обычный 7 4 2 3 2" xfId="18415"/>
    <cellStyle name="Обычный 7 4 2 3 3" xfId="18416"/>
    <cellStyle name="Обычный 7 4 2 3 4" xfId="18417"/>
    <cellStyle name="Обычный 7 4 2 3 5" xfId="18418"/>
    <cellStyle name="Обычный 7 4 2 3 6" xfId="18419"/>
    <cellStyle name="Обычный 7 4 2 4" xfId="18420"/>
    <cellStyle name="Обычный 7 4 2 5" xfId="18421"/>
    <cellStyle name="Обычный 7 4 2 6" xfId="18422"/>
    <cellStyle name="Обычный 7 4 2 7" xfId="18423"/>
    <cellStyle name="Обычный 7 4 2 8" xfId="18424"/>
    <cellStyle name="Обычный 7 4 3" xfId="4461"/>
    <cellStyle name="Обычный 7 4 3 2" xfId="18425"/>
    <cellStyle name="Обычный 7 4 3 3" xfId="18426"/>
    <cellStyle name="Обычный 7 4 3 4" xfId="18427"/>
    <cellStyle name="Обычный 7 4 3 5" xfId="18428"/>
    <cellStyle name="Обычный 7 4 3 6" xfId="18429"/>
    <cellStyle name="Обычный 7 4 4" xfId="4462"/>
    <cellStyle name="Обычный 7 4 4 2" xfId="18430"/>
    <cellStyle name="Обычный 7 4 4 3" xfId="18431"/>
    <cellStyle name="Обычный 7 4 4 4" xfId="18432"/>
    <cellStyle name="Обычный 7 4 4 5" xfId="18433"/>
    <cellStyle name="Обычный 7 4 5" xfId="18434"/>
    <cellStyle name="Обычный 7 4 6" xfId="18435"/>
    <cellStyle name="Обычный 7 4 7" xfId="18436"/>
    <cellStyle name="Обычный 7 4 8" xfId="18437"/>
    <cellStyle name="Обычный 7 5" xfId="4463"/>
    <cellStyle name="Обычный 7 5 2" xfId="4464"/>
    <cellStyle name="Обычный 7 5 2 2" xfId="4465"/>
    <cellStyle name="Обычный 7 5 2 2 2" xfId="18438"/>
    <cellStyle name="Обычный 7 5 2 2 3" xfId="18439"/>
    <cellStyle name="Обычный 7 5 2 2 4" xfId="18440"/>
    <cellStyle name="Обычный 7 5 2 2 5" xfId="18441"/>
    <cellStyle name="Обычный 7 5 2 2 6" xfId="18442"/>
    <cellStyle name="Обычный 7 5 2 3" xfId="4466"/>
    <cellStyle name="Обычный 7 5 2 3 2" xfId="18443"/>
    <cellStyle name="Обычный 7 5 2 3 3" xfId="18444"/>
    <cellStyle name="Обычный 7 5 2 3 4" xfId="18445"/>
    <cellStyle name="Обычный 7 5 2 3 5" xfId="18446"/>
    <cellStyle name="Обычный 7 5 2 3 6" xfId="18447"/>
    <cellStyle name="Обычный 7 5 2 4" xfId="18448"/>
    <cellStyle name="Обычный 7 5 2 5" xfId="18449"/>
    <cellStyle name="Обычный 7 5 2 6" xfId="18450"/>
    <cellStyle name="Обычный 7 5 2 7" xfId="18451"/>
    <cellStyle name="Обычный 7 5 2 8" xfId="18452"/>
    <cellStyle name="Обычный 7 5 3" xfId="4467"/>
    <cellStyle name="Обычный 7 5 3 2" xfId="18453"/>
    <cellStyle name="Обычный 7 5 3 3" xfId="18454"/>
    <cellStyle name="Обычный 7 5 3 4" xfId="18455"/>
    <cellStyle name="Обычный 7 5 3 5" xfId="18456"/>
    <cellStyle name="Обычный 7 5 3 6" xfId="18457"/>
    <cellStyle name="Обычный 7 5 4" xfId="4468"/>
    <cellStyle name="Обычный 7 5 4 2" xfId="18458"/>
    <cellStyle name="Обычный 7 5 4 3" xfId="18459"/>
    <cellStyle name="Обычный 7 5 4 4" xfId="18460"/>
    <cellStyle name="Обычный 7 5 4 5" xfId="18461"/>
    <cellStyle name="Обычный 7 5 5" xfId="18462"/>
    <cellStyle name="Обычный 7 5 6" xfId="18463"/>
    <cellStyle name="Обычный 7 5 7" xfId="18464"/>
    <cellStyle name="Обычный 7 5 8" xfId="18465"/>
    <cellStyle name="Обычный 7 6" xfId="4469"/>
    <cellStyle name="Обычный 7 6 2" xfId="4470"/>
    <cellStyle name="Обычный 7 6 2 2" xfId="4471"/>
    <cellStyle name="Обычный 7 6 2 2 2" xfId="18466"/>
    <cellStyle name="Обычный 7 6 2 2 3" xfId="18467"/>
    <cellStyle name="Обычный 7 6 2 2 4" xfId="18468"/>
    <cellStyle name="Обычный 7 6 2 2 5" xfId="18469"/>
    <cellStyle name="Обычный 7 6 2 2 6" xfId="18470"/>
    <cellStyle name="Обычный 7 6 2 3" xfId="4472"/>
    <cellStyle name="Обычный 7 6 2 3 2" xfId="18471"/>
    <cellStyle name="Обычный 7 6 2 3 3" xfId="18472"/>
    <cellStyle name="Обычный 7 6 2 3 4" xfId="18473"/>
    <cellStyle name="Обычный 7 6 2 3 5" xfId="18474"/>
    <cellStyle name="Обычный 7 6 2 3 6" xfId="18475"/>
    <cellStyle name="Обычный 7 6 2 4" xfId="18476"/>
    <cellStyle name="Обычный 7 6 2 5" xfId="18477"/>
    <cellStyle name="Обычный 7 6 2 6" xfId="18478"/>
    <cellStyle name="Обычный 7 6 2 7" xfId="18479"/>
    <cellStyle name="Обычный 7 6 2 8" xfId="18480"/>
    <cellStyle name="Обычный 7 6 3" xfId="4473"/>
    <cellStyle name="Обычный 7 6 3 2" xfId="18481"/>
    <cellStyle name="Обычный 7 6 3 3" xfId="18482"/>
    <cellStyle name="Обычный 7 6 3 4" xfId="18483"/>
    <cellStyle name="Обычный 7 6 3 5" xfId="18484"/>
    <cellStyle name="Обычный 7 6 3 6" xfId="18485"/>
    <cellStyle name="Обычный 7 6 4" xfId="4474"/>
    <cellStyle name="Обычный 7 6 4 2" xfId="18486"/>
    <cellStyle name="Обычный 7 6 4 3" xfId="18487"/>
    <cellStyle name="Обычный 7 6 4 4" xfId="18488"/>
    <cellStyle name="Обычный 7 6 4 5" xfId="18489"/>
    <cellStyle name="Обычный 7 6 5" xfId="18490"/>
    <cellStyle name="Обычный 7 6 6" xfId="18491"/>
    <cellStyle name="Обычный 7 6 7" xfId="18492"/>
    <cellStyle name="Обычный 7 6 8" xfId="18493"/>
    <cellStyle name="Обычный 7 7" xfId="4475"/>
    <cellStyle name="Обычный 7 7 2" xfId="4476"/>
    <cellStyle name="Обычный 7 7 2 2" xfId="4477"/>
    <cellStyle name="Обычный 7 7 2 2 2" xfId="18494"/>
    <cellStyle name="Обычный 7 7 2 2 3" xfId="18495"/>
    <cellStyle name="Обычный 7 7 2 2 4" xfId="18496"/>
    <cellStyle name="Обычный 7 7 2 2 5" xfId="18497"/>
    <cellStyle name="Обычный 7 7 2 2 6" xfId="18498"/>
    <cellStyle name="Обычный 7 7 2 3" xfId="4478"/>
    <cellStyle name="Обычный 7 7 2 3 2" xfId="18499"/>
    <cellStyle name="Обычный 7 7 2 3 3" xfId="18500"/>
    <cellStyle name="Обычный 7 7 2 3 4" xfId="18501"/>
    <cellStyle name="Обычный 7 7 2 3 5" xfId="18502"/>
    <cellStyle name="Обычный 7 7 2 3 6" xfId="18503"/>
    <cellStyle name="Обычный 7 7 2 4" xfId="18504"/>
    <cellStyle name="Обычный 7 7 2 5" xfId="18505"/>
    <cellStyle name="Обычный 7 7 2 6" xfId="18506"/>
    <cellStyle name="Обычный 7 7 2 7" xfId="18507"/>
    <cellStyle name="Обычный 7 7 2 8" xfId="18508"/>
    <cellStyle name="Обычный 7 7 3" xfId="4479"/>
    <cellStyle name="Обычный 7 7 3 2" xfId="18509"/>
    <cellStyle name="Обычный 7 7 3 3" xfId="18510"/>
    <cellStyle name="Обычный 7 7 3 4" xfId="18511"/>
    <cellStyle name="Обычный 7 7 3 5" xfId="18512"/>
    <cellStyle name="Обычный 7 7 3 6" xfId="18513"/>
    <cellStyle name="Обычный 7 7 4" xfId="4480"/>
    <cellStyle name="Обычный 7 7 4 2" xfId="18514"/>
    <cellStyle name="Обычный 7 7 4 3" xfId="18515"/>
    <cellStyle name="Обычный 7 7 4 4" xfId="18516"/>
    <cellStyle name="Обычный 7 7 4 5" xfId="18517"/>
    <cellStyle name="Обычный 7 7 5" xfId="18518"/>
    <cellStyle name="Обычный 7 7 6" xfId="18519"/>
    <cellStyle name="Обычный 7 7 7" xfId="18520"/>
    <cellStyle name="Обычный 7 7 8" xfId="18521"/>
    <cellStyle name="Обычный 7 8" xfId="4481"/>
    <cellStyle name="Обычный 7 8 2" xfId="4482"/>
    <cellStyle name="Обычный 7 8 2 2" xfId="4483"/>
    <cellStyle name="Обычный 7 8 2 2 2" xfId="18522"/>
    <cellStyle name="Обычный 7 8 2 2 3" xfId="18523"/>
    <cellStyle name="Обычный 7 8 2 2 4" xfId="18524"/>
    <cellStyle name="Обычный 7 8 2 2 5" xfId="18525"/>
    <cellStyle name="Обычный 7 8 2 2 6" xfId="18526"/>
    <cellStyle name="Обычный 7 8 2 3" xfId="4484"/>
    <cellStyle name="Обычный 7 8 2 3 2" xfId="18527"/>
    <cellStyle name="Обычный 7 8 2 3 3" xfId="18528"/>
    <cellStyle name="Обычный 7 8 2 3 4" xfId="18529"/>
    <cellStyle name="Обычный 7 8 2 3 5" xfId="18530"/>
    <cellStyle name="Обычный 7 8 2 3 6" xfId="18531"/>
    <cellStyle name="Обычный 7 8 2 4" xfId="18532"/>
    <cellStyle name="Обычный 7 8 2 5" xfId="18533"/>
    <cellStyle name="Обычный 7 8 2 6" xfId="18534"/>
    <cellStyle name="Обычный 7 8 2 7" xfId="18535"/>
    <cellStyle name="Обычный 7 8 2 8" xfId="18536"/>
    <cellStyle name="Обычный 7 8 3" xfId="4485"/>
    <cellStyle name="Обычный 7 8 3 2" xfId="18537"/>
    <cellStyle name="Обычный 7 8 3 3" xfId="18538"/>
    <cellStyle name="Обычный 7 8 3 4" xfId="18539"/>
    <cellStyle name="Обычный 7 8 3 5" xfId="18540"/>
    <cellStyle name="Обычный 7 8 3 6" xfId="18541"/>
    <cellStyle name="Обычный 7 8 4" xfId="4486"/>
    <cellStyle name="Обычный 7 8 4 2" xfId="18542"/>
    <cellStyle name="Обычный 7 8 4 3" xfId="18543"/>
    <cellStyle name="Обычный 7 8 4 4" xfId="18544"/>
    <cellStyle name="Обычный 7 8 4 5" xfId="18545"/>
    <cellStyle name="Обычный 7 8 5" xfId="18546"/>
    <cellStyle name="Обычный 7 8 6" xfId="18547"/>
    <cellStyle name="Обычный 7 8 7" xfId="18548"/>
    <cellStyle name="Обычный 7 8 8" xfId="18549"/>
    <cellStyle name="Обычный 7 9" xfId="4487"/>
    <cellStyle name="Обычный 7 9 2" xfId="4488"/>
    <cellStyle name="Обычный 7 9 2 2" xfId="4489"/>
    <cellStyle name="Обычный 7 9 2 2 2" xfId="18550"/>
    <cellStyle name="Обычный 7 9 2 2 3" xfId="18551"/>
    <cellStyle name="Обычный 7 9 2 2 4" xfId="18552"/>
    <cellStyle name="Обычный 7 9 2 2 5" xfId="18553"/>
    <cellStyle name="Обычный 7 9 2 2 6" xfId="18554"/>
    <cellStyle name="Обычный 7 9 2 3" xfId="4490"/>
    <cellStyle name="Обычный 7 9 2 3 2" xfId="18555"/>
    <cellStyle name="Обычный 7 9 2 3 3" xfId="18556"/>
    <cellStyle name="Обычный 7 9 2 3 4" xfId="18557"/>
    <cellStyle name="Обычный 7 9 2 3 5" xfId="18558"/>
    <cellStyle name="Обычный 7 9 2 3 6" xfId="18559"/>
    <cellStyle name="Обычный 7 9 2 4" xfId="18560"/>
    <cellStyle name="Обычный 7 9 2 5" xfId="18561"/>
    <cellStyle name="Обычный 7 9 2 6" xfId="18562"/>
    <cellStyle name="Обычный 7 9 2 7" xfId="18563"/>
    <cellStyle name="Обычный 7 9 2 8" xfId="18564"/>
    <cellStyle name="Обычный 7 9 3" xfId="4491"/>
    <cellStyle name="Обычный 7 9 3 2" xfId="18565"/>
    <cellStyle name="Обычный 7 9 3 3" xfId="18566"/>
    <cellStyle name="Обычный 7 9 3 4" xfId="18567"/>
    <cellStyle name="Обычный 7 9 3 5" xfId="18568"/>
    <cellStyle name="Обычный 7 9 3 6" xfId="18569"/>
    <cellStyle name="Обычный 7 9 4" xfId="4492"/>
    <cellStyle name="Обычный 7 9 4 2" xfId="18570"/>
    <cellStyle name="Обычный 7 9 4 3" xfId="18571"/>
    <cellStyle name="Обычный 7 9 4 4" xfId="18572"/>
    <cellStyle name="Обычный 7 9 4 5" xfId="18573"/>
    <cellStyle name="Обычный 7 9 5" xfId="18574"/>
    <cellStyle name="Обычный 7 9 6" xfId="18575"/>
    <cellStyle name="Обычный 7 9 7" xfId="18576"/>
    <cellStyle name="Обычный 7 9 8" xfId="18577"/>
    <cellStyle name="Обычный 8" xfId="38"/>
    <cellStyle name="Обычный 8 10" xfId="18578"/>
    <cellStyle name="Обычный 8 11" xfId="18579"/>
    <cellStyle name="Обычный 8 12" xfId="18580"/>
    <cellStyle name="Обычный 8 13" xfId="18581"/>
    <cellStyle name="Обычный 8 14" xfId="18582"/>
    <cellStyle name="Обычный 8 15" xfId="18583"/>
    <cellStyle name="Обычный 8 2" xfId="4493"/>
    <cellStyle name="Обычный 8 2 2" xfId="4494"/>
    <cellStyle name="Обычный 8 2 2 2" xfId="4495"/>
    <cellStyle name="Обычный 8 2 2 2 2" xfId="18584"/>
    <cellStyle name="Обычный 8 2 2 2 3" xfId="18585"/>
    <cellStyle name="Обычный 8 2 2 2 4" xfId="18586"/>
    <cellStyle name="Обычный 8 2 2 2 5" xfId="18587"/>
    <cellStyle name="Обычный 8 2 2 2 6" xfId="18588"/>
    <cellStyle name="Обычный 8 2 2 3" xfId="4496"/>
    <cellStyle name="Обычный 8 2 2 3 2" xfId="18589"/>
    <cellStyle name="Обычный 8 2 2 3 3" xfId="18590"/>
    <cellStyle name="Обычный 8 2 2 3 4" xfId="18591"/>
    <cellStyle name="Обычный 8 2 2 3 5" xfId="18592"/>
    <cellStyle name="Обычный 8 2 2 3 6" xfId="18593"/>
    <cellStyle name="Обычный 8 2 2 4" xfId="18594"/>
    <cellStyle name="Обычный 8 2 2 5" xfId="18595"/>
    <cellStyle name="Обычный 8 2 2 6" xfId="18596"/>
    <cellStyle name="Обычный 8 2 2 7" xfId="18597"/>
    <cellStyle name="Обычный 8 2 2 8" xfId="18598"/>
    <cellStyle name="Обычный 8 2 3" xfId="4497"/>
    <cellStyle name="Обычный 8 2 3 2" xfId="18599"/>
    <cellStyle name="Обычный 8 2 3 3" xfId="18600"/>
    <cellStyle name="Обычный 8 2 3 4" xfId="18601"/>
    <cellStyle name="Обычный 8 2 3 5" xfId="18602"/>
    <cellStyle name="Обычный 8 2 3 6" xfId="18603"/>
    <cellStyle name="Обычный 8 2 4" xfId="4498"/>
    <cellStyle name="Обычный 8 2 4 2" xfId="18604"/>
    <cellStyle name="Обычный 8 2 4 3" xfId="18605"/>
    <cellStyle name="Обычный 8 2 4 4" xfId="18606"/>
    <cellStyle name="Обычный 8 2 4 5" xfId="18607"/>
    <cellStyle name="Обычный 8 2 5" xfId="18608"/>
    <cellStyle name="Обычный 8 2 6" xfId="18609"/>
    <cellStyle name="Обычный 8 2 7" xfId="18610"/>
    <cellStyle name="Обычный 8 2 8" xfId="18611"/>
    <cellStyle name="Обычный 8 3" xfId="4499"/>
    <cellStyle name="Обычный 8 3 10" xfId="18612"/>
    <cellStyle name="Обычный 8 3 11" xfId="18613"/>
    <cellStyle name="Обычный 8 3 12" xfId="18614"/>
    <cellStyle name="Обычный 8 3 2" xfId="4500"/>
    <cellStyle name="Обычный 8 3 2 10" xfId="18615"/>
    <cellStyle name="Обычный 8 3 2 11" xfId="18616"/>
    <cellStyle name="Обычный 8 3 2 12" xfId="18617"/>
    <cellStyle name="Обычный 8 3 2 2" xfId="4501"/>
    <cellStyle name="Обычный 8 3 2 2 2" xfId="18618"/>
    <cellStyle name="Обычный 8 3 2 2 3" xfId="18619"/>
    <cellStyle name="Обычный 8 3 2 2 4" xfId="18620"/>
    <cellStyle name="Обычный 8 3 2 2 5" xfId="18621"/>
    <cellStyle name="Обычный 8 3 2 2 6" xfId="18622"/>
    <cellStyle name="Обычный 8 3 2 2 7" xfId="18623"/>
    <cellStyle name="Обычный 8 3 2 2 8" xfId="18624"/>
    <cellStyle name="Обычный 8 3 2 2 9" xfId="18625"/>
    <cellStyle name="Обычный 8 3 2 3" xfId="4502"/>
    <cellStyle name="Обычный 8 3 2 3 2" xfId="18626"/>
    <cellStyle name="Обычный 8 3 2 3 3" xfId="18627"/>
    <cellStyle name="Обычный 8 3 2 3 4" xfId="18628"/>
    <cellStyle name="Обычный 8 3 2 3 5" xfId="18629"/>
    <cellStyle name="Обычный 8 3 2 3 6" xfId="18630"/>
    <cellStyle name="Обычный 8 3 2 3 7" xfId="18631"/>
    <cellStyle name="Обычный 8 3 2 3 8" xfId="18632"/>
    <cellStyle name="Обычный 8 3 2 3 9" xfId="18633"/>
    <cellStyle name="Обычный 8 3 2 4" xfId="4503"/>
    <cellStyle name="Обычный 8 3 2 4 2" xfId="18634"/>
    <cellStyle name="Обычный 8 3 2 4 3" xfId="18635"/>
    <cellStyle name="Обычный 8 3 2 4 4" xfId="18636"/>
    <cellStyle name="Обычный 8 3 2 4 5" xfId="18637"/>
    <cellStyle name="Обычный 8 3 2 4 6" xfId="18638"/>
    <cellStyle name="Обычный 8 3 2 4 7" xfId="18639"/>
    <cellStyle name="Обычный 8 3 2 4 8" xfId="18640"/>
    <cellStyle name="Обычный 8 3 2 4 9" xfId="18641"/>
    <cellStyle name="Обычный 8 3 2 5" xfId="18642"/>
    <cellStyle name="Обычный 8 3 2 6" xfId="18643"/>
    <cellStyle name="Обычный 8 3 2 7" xfId="18644"/>
    <cellStyle name="Обычный 8 3 2 8" xfId="18645"/>
    <cellStyle name="Обычный 8 3 2 9" xfId="18646"/>
    <cellStyle name="Обычный 8 3 3" xfId="4504"/>
    <cellStyle name="Обычный 8 3 3 10" xfId="18647"/>
    <cellStyle name="Обычный 8 3 3 11" xfId="18648"/>
    <cellStyle name="Обычный 8 3 3 2" xfId="4505"/>
    <cellStyle name="Обычный 8 3 3 2 2" xfId="18649"/>
    <cellStyle name="Обычный 8 3 3 2 3" xfId="18650"/>
    <cellStyle name="Обычный 8 3 3 2 4" xfId="18651"/>
    <cellStyle name="Обычный 8 3 3 2 5" xfId="18652"/>
    <cellStyle name="Обычный 8 3 3 2 6" xfId="18653"/>
    <cellStyle name="Обычный 8 3 3 2 7" xfId="18654"/>
    <cellStyle name="Обычный 8 3 3 2 8" xfId="18655"/>
    <cellStyle name="Обычный 8 3 3 2 9" xfId="18656"/>
    <cellStyle name="Обычный 8 3 3 3" xfId="4506"/>
    <cellStyle name="Обычный 8 3 3 3 2" xfId="18657"/>
    <cellStyle name="Обычный 8 3 3 3 3" xfId="18658"/>
    <cellStyle name="Обычный 8 3 3 3 4" xfId="18659"/>
    <cellStyle name="Обычный 8 3 3 3 5" xfId="18660"/>
    <cellStyle name="Обычный 8 3 3 3 6" xfId="18661"/>
    <cellStyle name="Обычный 8 3 3 3 7" xfId="18662"/>
    <cellStyle name="Обычный 8 3 3 3 8" xfId="18663"/>
    <cellStyle name="Обычный 8 3 3 3 9" xfId="18664"/>
    <cellStyle name="Обычный 8 3 3 4" xfId="18665"/>
    <cellStyle name="Обычный 8 3 3 5" xfId="18666"/>
    <cellStyle name="Обычный 8 3 3 6" xfId="18667"/>
    <cellStyle name="Обычный 8 3 3 7" xfId="18668"/>
    <cellStyle name="Обычный 8 3 3 8" xfId="18669"/>
    <cellStyle name="Обычный 8 3 3 9" xfId="18670"/>
    <cellStyle name="Обычный 8 3 4" xfId="4507"/>
    <cellStyle name="Обычный 8 3 4 2" xfId="18671"/>
    <cellStyle name="Обычный 8 3 4 3" xfId="18672"/>
    <cellStyle name="Обычный 8 3 4 4" xfId="18673"/>
    <cellStyle name="Обычный 8 3 4 5" xfId="18674"/>
    <cellStyle name="Обычный 8 3 4 6" xfId="18675"/>
    <cellStyle name="Обычный 8 3 4 7" xfId="18676"/>
    <cellStyle name="Обычный 8 3 4 8" xfId="18677"/>
    <cellStyle name="Обычный 8 3 4 9" xfId="18678"/>
    <cellStyle name="Обычный 8 3 5" xfId="18679"/>
    <cellStyle name="Обычный 8 3 6" xfId="18680"/>
    <cellStyle name="Обычный 8 3 7" xfId="18681"/>
    <cellStyle name="Обычный 8 3 8" xfId="18682"/>
    <cellStyle name="Обычный 8 3 9" xfId="18683"/>
    <cellStyle name="Обычный 8 4" xfId="4508"/>
    <cellStyle name="Обычный 8 4 10" xfId="18684"/>
    <cellStyle name="Обычный 8 4 11" xfId="18685"/>
    <cellStyle name="Обычный 8 4 12" xfId="18686"/>
    <cellStyle name="Обычный 8 4 2" xfId="4509"/>
    <cellStyle name="Обычный 8 4 2 10" xfId="18687"/>
    <cellStyle name="Обычный 8 4 2 11" xfId="18688"/>
    <cellStyle name="Обычный 8 4 2 12" xfId="18689"/>
    <cellStyle name="Обычный 8 4 2 2" xfId="4510"/>
    <cellStyle name="Обычный 8 4 2 2 2" xfId="18690"/>
    <cellStyle name="Обычный 8 4 2 2 3" xfId="18691"/>
    <cellStyle name="Обычный 8 4 2 2 4" xfId="18692"/>
    <cellStyle name="Обычный 8 4 2 2 5" xfId="18693"/>
    <cellStyle name="Обычный 8 4 2 2 6" xfId="18694"/>
    <cellStyle name="Обычный 8 4 2 2 7" xfId="18695"/>
    <cellStyle name="Обычный 8 4 2 2 8" xfId="18696"/>
    <cellStyle name="Обычный 8 4 2 2 9" xfId="18697"/>
    <cellStyle name="Обычный 8 4 2 3" xfId="4511"/>
    <cellStyle name="Обычный 8 4 2 3 2" xfId="18698"/>
    <cellStyle name="Обычный 8 4 2 3 3" xfId="18699"/>
    <cellStyle name="Обычный 8 4 2 3 4" xfId="18700"/>
    <cellStyle name="Обычный 8 4 2 3 5" xfId="18701"/>
    <cellStyle name="Обычный 8 4 2 3 6" xfId="18702"/>
    <cellStyle name="Обычный 8 4 2 3 7" xfId="18703"/>
    <cellStyle name="Обычный 8 4 2 3 8" xfId="18704"/>
    <cellStyle name="Обычный 8 4 2 3 9" xfId="18705"/>
    <cellStyle name="Обычный 8 4 2 4" xfId="4512"/>
    <cellStyle name="Обычный 8 4 2 4 2" xfId="18706"/>
    <cellStyle name="Обычный 8 4 2 4 3" xfId="18707"/>
    <cellStyle name="Обычный 8 4 2 4 4" xfId="18708"/>
    <cellStyle name="Обычный 8 4 2 4 5" xfId="18709"/>
    <cellStyle name="Обычный 8 4 2 4 6" xfId="18710"/>
    <cellStyle name="Обычный 8 4 2 4 7" xfId="18711"/>
    <cellStyle name="Обычный 8 4 2 4 8" xfId="18712"/>
    <cellStyle name="Обычный 8 4 2 4 9" xfId="18713"/>
    <cellStyle name="Обычный 8 4 2 5" xfId="18714"/>
    <cellStyle name="Обычный 8 4 2 6" xfId="18715"/>
    <cellStyle name="Обычный 8 4 2 7" xfId="18716"/>
    <cellStyle name="Обычный 8 4 2 8" xfId="18717"/>
    <cellStyle name="Обычный 8 4 2 9" xfId="18718"/>
    <cellStyle name="Обычный 8 4 3" xfId="4513"/>
    <cellStyle name="Обычный 8 4 3 10" xfId="18719"/>
    <cellStyle name="Обычный 8 4 3 11" xfId="18720"/>
    <cellStyle name="Обычный 8 4 3 2" xfId="4514"/>
    <cellStyle name="Обычный 8 4 3 2 2" xfId="18721"/>
    <cellStyle name="Обычный 8 4 3 2 3" xfId="18722"/>
    <cellStyle name="Обычный 8 4 3 2 4" xfId="18723"/>
    <cellStyle name="Обычный 8 4 3 2 5" xfId="18724"/>
    <cellStyle name="Обычный 8 4 3 2 6" xfId="18725"/>
    <cellStyle name="Обычный 8 4 3 2 7" xfId="18726"/>
    <cellStyle name="Обычный 8 4 3 2 8" xfId="18727"/>
    <cellStyle name="Обычный 8 4 3 2 9" xfId="18728"/>
    <cellStyle name="Обычный 8 4 3 3" xfId="4515"/>
    <cellStyle name="Обычный 8 4 3 3 2" xfId="18729"/>
    <cellStyle name="Обычный 8 4 3 3 3" xfId="18730"/>
    <cellStyle name="Обычный 8 4 3 3 4" xfId="18731"/>
    <cellStyle name="Обычный 8 4 3 3 5" xfId="18732"/>
    <cellStyle name="Обычный 8 4 3 3 6" xfId="18733"/>
    <cellStyle name="Обычный 8 4 3 3 7" xfId="18734"/>
    <cellStyle name="Обычный 8 4 3 3 8" xfId="18735"/>
    <cellStyle name="Обычный 8 4 3 3 9" xfId="18736"/>
    <cellStyle name="Обычный 8 4 3 4" xfId="18737"/>
    <cellStyle name="Обычный 8 4 3 5" xfId="18738"/>
    <cellStyle name="Обычный 8 4 3 6" xfId="18739"/>
    <cellStyle name="Обычный 8 4 3 7" xfId="18740"/>
    <cellStyle name="Обычный 8 4 3 8" xfId="18741"/>
    <cellStyle name="Обычный 8 4 3 9" xfId="18742"/>
    <cellStyle name="Обычный 8 4 4" xfId="4516"/>
    <cellStyle name="Обычный 8 4 4 2" xfId="18743"/>
    <cellStyle name="Обычный 8 4 4 3" xfId="18744"/>
    <cellStyle name="Обычный 8 4 4 4" xfId="18745"/>
    <cellStyle name="Обычный 8 4 4 5" xfId="18746"/>
    <cellStyle name="Обычный 8 4 4 6" xfId="18747"/>
    <cellStyle name="Обычный 8 4 4 7" xfId="18748"/>
    <cellStyle name="Обычный 8 4 4 8" xfId="18749"/>
    <cellStyle name="Обычный 8 4 4 9" xfId="18750"/>
    <cellStyle name="Обычный 8 4 5" xfId="18751"/>
    <cellStyle name="Обычный 8 4 6" xfId="18752"/>
    <cellStyle name="Обычный 8 4 7" xfId="18753"/>
    <cellStyle name="Обычный 8 4 8" xfId="18754"/>
    <cellStyle name="Обычный 8 4 9" xfId="18755"/>
    <cellStyle name="Обычный 8 5" xfId="4517"/>
    <cellStyle name="Обычный 8 5 10" xfId="18756"/>
    <cellStyle name="Обычный 8 5 11" xfId="18757"/>
    <cellStyle name="Обычный 8 5 12" xfId="18758"/>
    <cellStyle name="Обычный 8 5 2" xfId="4518"/>
    <cellStyle name="Обычный 8 5 2 2" xfId="18759"/>
    <cellStyle name="Обычный 8 5 2 3" xfId="18760"/>
    <cellStyle name="Обычный 8 5 2 4" xfId="18761"/>
    <cellStyle name="Обычный 8 5 2 5" xfId="18762"/>
    <cellStyle name="Обычный 8 5 2 6" xfId="18763"/>
    <cellStyle name="Обычный 8 5 2 7" xfId="18764"/>
    <cellStyle name="Обычный 8 5 2 8" xfId="18765"/>
    <cellStyle name="Обычный 8 5 2 9" xfId="18766"/>
    <cellStyle name="Обычный 8 5 3" xfId="4519"/>
    <cellStyle name="Обычный 8 5 3 2" xfId="18767"/>
    <cellStyle name="Обычный 8 5 3 3" xfId="18768"/>
    <cellStyle name="Обычный 8 5 3 4" xfId="18769"/>
    <cellStyle name="Обычный 8 5 3 5" xfId="18770"/>
    <cellStyle name="Обычный 8 5 3 6" xfId="18771"/>
    <cellStyle name="Обычный 8 5 3 7" xfId="18772"/>
    <cellStyle name="Обычный 8 5 3 8" xfId="18773"/>
    <cellStyle name="Обычный 8 5 3 9" xfId="18774"/>
    <cellStyle name="Обычный 8 5 4" xfId="4520"/>
    <cellStyle name="Обычный 8 5 4 2" xfId="18775"/>
    <cellStyle name="Обычный 8 5 4 3" xfId="18776"/>
    <cellStyle name="Обычный 8 5 4 4" xfId="18777"/>
    <cellStyle name="Обычный 8 5 4 5" xfId="18778"/>
    <cellStyle name="Обычный 8 5 4 6" xfId="18779"/>
    <cellStyle name="Обычный 8 5 4 7" xfId="18780"/>
    <cellStyle name="Обычный 8 5 4 8" xfId="18781"/>
    <cellStyle name="Обычный 8 5 4 9" xfId="18782"/>
    <cellStyle name="Обычный 8 5 5" xfId="18783"/>
    <cellStyle name="Обычный 8 5 6" xfId="18784"/>
    <cellStyle name="Обычный 8 5 7" xfId="18785"/>
    <cellStyle name="Обычный 8 5 8" xfId="18786"/>
    <cellStyle name="Обычный 8 5 9" xfId="18787"/>
    <cellStyle name="Обычный 8 6" xfId="4521"/>
    <cellStyle name="Обычный 8 6 10" xfId="18788"/>
    <cellStyle name="Обычный 8 6 11" xfId="18789"/>
    <cellStyle name="Обычный 8 6 2" xfId="4522"/>
    <cellStyle name="Обычный 8 6 2 2" xfId="18790"/>
    <cellStyle name="Обычный 8 6 2 3" xfId="18791"/>
    <cellStyle name="Обычный 8 6 2 4" xfId="18792"/>
    <cellStyle name="Обычный 8 6 2 5" xfId="18793"/>
    <cellStyle name="Обычный 8 6 2 6" xfId="18794"/>
    <cellStyle name="Обычный 8 6 2 7" xfId="18795"/>
    <cellStyle name="Обычный 8 6 2 8" xfId="18796"/>
    <cellStyle name="Обычный 8 6 2 9" xfId="18797"/>
    <cellStyle name="Обычный 8 6 3" xfId="4523"/>
    <cellStyle name="Обычный 8 6 3 2" xfId="18798"/>
    <cellStyle name="Обычный 8 6 3 3" xfId="18799"/>
    <cellStyle name="Обычный 8 6 3 4" xfId="18800"/>
    <cellStyle name="Обычный 8 6 3 5" xfId="18801"/>
    <cellStyle name="Обычный 8 6 3 6" xfId="18802"/>
    <cellStyle name="Обычный 8 6 3 7" xfId="18803"/>
    <cellStyle name="Обычный 8 6 3 8" xfId="18804"/>
    <cellStyle name="Обычный 8 6 3 9" xfId="18805"/>
    <cellStyle name="Обычный 8 6 4" xfId="18806"/>
    <cellStyle name="Обычный 8 6 5" xfId="18807"/>
    <cellStyle name="Обычный 8 6 6" xfId="18808"/>
    <cellStyle name="Обычный 8 6 7" xfId="18809"/>
    <cellStyle name="Обычный 8 6 8" xfId="18810"/>
    <cellStyle name="Обычный 8 6 9" xfId="18811"/>
    <cellStyle name="Обычный 8 7" xfId="4524"/>
    <cellStyle name="Обычный 8 7 2" xfId="18812"/>
    <cellStyle name="Обычный 8 7 3" xfId="18813"/>
    <cellStyle name="Обычный 8 7 4" xfId="18814"/>
    <cellStyle name="Обычный 8 7 5" xfId="18815"/>
    <cellStyle name="Обычный 8 7 6" xfId="18816"/>
    <cellStyle name="Обычный 8 7 7" xfId="18817"/>
    <cellStyle name="Обычный 8 7 8" xfId="18818"/>
    <cellStyle name="Обычный 8 7 9" xfId="18819"/>
    <cellStyle name="Обычный 8 8" xfId="18820"/>
    <cellStyle name="Обычный 8 9" xfId="18821"/>
    <cellStyle name="Обычный 9" xfId="40"/>
    <cellStyle name="Обычный 9 2" xfId="4525"/>
    <cellStyle name="Обычный 9 2 2" xfId="4526"/>
    <cellStyle name="Обычный 9 2 2 2" xfId="18822"/>
    <cellStyle name="Обычный 9 2 2 3" xfId="18823"/>
    <cellStyle name="Обычный 9 2 2 4" xfId="18824"/>
    <cellStyle name="Обычный 9 2 2 5" xfId="18825"/>
    <cellStyle name="Обычный 9 2 2 6" xfId="18826"/>
    <cellStyle name="Обычный 9 2 3" xfId="4527"/>
    <cellStyle name="Обычный 9 2 3 2" xfId="18827"/>
    <cellStyle name="Обычный 9 2 3 3" xfId="18828"/>
    <cellStyle name="Обычный 9 2 3 4" xfId="18829"/>
    <cellStyle name="Обычный 9 2 3 5" xfId="18830"/>
    <cellStyle name="Обычный 9 2 3 6" xfId="18831"/>
    <cellStyle name="Обычный 9 2 4" xfId="18832"/>
    <cellStyle name="Обычный 9 2 5" xfId="18833"/>
    <cellStyle name="Обычный 9 2 6" xfId="18834"/>
    <cellStyle name="Обычный 9 2 7" xfId="18835"/>
    <cellStyle name="Обычный 9 2 8" xfId="18836"/>
    <cellStyle name="Обычный 9 3" xfId="4528"/>
    <cellStyle name="Обычный 9 3 2" xfId="18837"/>
    <cellStyle name="Обычный 9 3 3" xfId="18838"/>
    <cellStyle name="Обычный 9 3 4" xfId="18839"/>
    <cellStyle name="Обычный 9 3 5" xfId="18840"/>
    <cellStyle name="Обычный 9 3 6" xfId="18841"/>
    <cellStyle name="Обычный 9 4" xfId="4529"/>
    <cellStyle name="Обычный 9 4 2" xfId="18842"/>
    <cellStyle name="Обычный 9 4 3" xfId="18843"/>
    <cellStyle name="Обычный 9 4 4" xfId="18844"/>
    <cellStyle name="Обычный 9 4 5" xfId="18845"/>
    <cellStyle name="Обычный 9 5" xfId="18846"/>
    <cellStyle name="Обычный 9 6" xfId="18847"/>
    <cellStyle name="Обычный 9 7" xfId="18848"/>
    <cellStyle name="Обычный 9 8" xfId="18849"/>
    <cellStyle name="Плохой 2" xfId="4530"/>
    <cellStyle name="Плохой 2 10" xfId="18850"/>
    <cellStyle name="Плохой 2 11" xfId="18851"/>
    <cellStyle name="Плохой 2 12" xfId="18852"/>
    <cellStyle name="Плохой 2 13" xfId="18853"/>
    <cellStyle name="Плохой 2 2" xfId="4531"/>
    <cellStyle name="Плохой 2 2 2" xfId="4532"/>
    <cellStyle name="Плохой 2 2 2 2" xfId="4533"/>
    <cellStyle name="Плохой 2 2 2 2 2" xfId="18854"/>
    <cellStyle name="Плохой 2 2 2 2 3" xfId="18855"/>
    <cellStyle name="Плохой 2 2 2 2 4" xfId="18856"/>
    <cellStyle name="Плохой 2 2 2 2 5" xfId="18857"/>
    <cellStyle name="Плохой 2 2 2 2 6" xfId="18858"/>
    <cellStyle name="Плохой 2 2 2 3" xfId="4534"/>
    <cellStyle name="Плохой 2 2 2 3 2" xfId="18859"/>
    <cellStyle name="Плохой 2 2 2 3 3" xfId="18860"/>
    <cellStyle name="Плохой 2 2 2 3 4" xfId="18861"/>
    <cellStyle name="Плохой 2 2 2 3 5" xfId="18862"/>
    <cellStyle name="Плохой 2 2 2 3 6" xfId="18863"/>
    <cellStyle name="Плохой 2 2 2 4" xfId="18864"/>
    <cellStyle name="Плохой 2 2 2 5" xfId="18865"/>
    <cellStyle name="Плохой 2 2 2 6" xfId="18866"/>
    <cellStyle name="Плохой 2 2 2 7" xfId="18867"/>
    <cellStyle name="Плохой 2 2 2 8" xfId="18868"/>
    <cellStyle name="Плохой 2 2 3" xfId="4535"/>
    <cellStyle name="Плохой 2 2 3 2" xfId="18869"/>
    <cellStyle name="Плохой 2 2 3 3" xfId="18870"/>
    <cellStyle name="Плохой 2 2 3 4" xfId="18871"/>
    <cellStyle name="Плохой 2 2 3 5" xfId="18872"/>
    <cellStyle name="Плохой 2 2 3 6" xfId="18873"/>
    <cellStyle name="Плохой 2 2 4" xfId="4536"/>
    <cellStyle name="Плохой 2 2 4 2" xfId="18874"/>
    <cellStyle name="Плохой 2 2 4 3" xfId="18875"/>
    <cellStyle name="Плохой 2 2 4 4" xfId="18876"/>
    <cellStyle name="Плохой 2 2 4 5" xfId="18877"/>
    <cellStyle name="Плохой 2 2 5" xfId="18878"/>
    <cellStyle name="Плохой 2 2 6" xfId="18879"/>
    <cellStyle name="Плохой 2 2 7" xfId="18880"/>
    <cellStyle name="Плохой 2 2 8" xfId="18881"/>
    <cellStyle name="Плохой 2 3" xfId="4537"/>
    <cellStyle name="Плохой 2 3 2" xfId="4538"/>
    <cellStyle name="Плохой 2 3 2 2" xfId="4539"/>
    <cellStyle name="Плохой 2 3 2 2 2" xfId="18882"/>
    <cellStyle name="Плохой 2 3 2 2 3" xfId="18883"/>
    <cellStyle name="Плохой 2 3 2 2 4" xfId="18884"/>
    <cellStyle name="Плохой 2 3 2 2 5" xfId="18885"/>
    <cellStyle name="Плохой 2 3 2 2 6" xfId="18886"/>
    <cellStyle name="Плохой 2 3 2 3" xfId="4540"/>
    <cellStyle name="Плохой 2 3 2 3 2" xfId="18887"/>
    <cellStyle name="Плохой 2 3 2 3 3" xfId="18888"/>
    <cellStyle name="Плохой 2 3 2 3 4" xfId="18889"/>
    <cellStyle name="Плохой 2 3 2 3 5" xfId="18890"/>
    <cellStyle name="Плохой 2 3 2 3 6" xfId="18891"/>
    <cellStyle name="Плохой 2 3 2 4" xfId="18892"/>
    <cellStyle name="Плохой 2 3 2 5" xfId="18893"/>
    <cellStyle name="Плохой 2 3 2 6" xfId="18894"/>
    <cellStyle name="Плохой 2 3 2 7" xfId="18895"/>
    <cellStyle name="Плохой 2 3 2 8" xfId="18896"/>
    <cellStyle name="Плохой 2 3 3" xfId="4541"/>
    <cellStyle name="Плохой 2 3 3 2" xfId="18897"/>
    <cellStyle name="Плохой 2 3 3 3" xfId="18898"/>
    <cellStyle name="Плохой 2 3 3 4" xfId="18899"/>
    <cellStyle name="Плохой 2 3 3 5" xfId="18900"/>
    <cellStyle name="Плохой 2 3 3 6" xfId="18901"/>
    <cellStyle name="Плохой 2 3 4" xfId="4542"/>
    <cellStyle name="Плохой 2 3 4 2" xfId="18902"/>
    <cellStyle name="Плохой 2 3 4 3" xfId="18903"/>
    <cellStyle name="Плохой 2 3 4 4" xfId="18904"/>
    <cellStyle name="Плохой 2 3 4 5" xfId="18905"/>
    <cellStyle name="Плохой 2 3 5" xfId="18906"/>
    <cellStyle name="Плохой 2 3 6" xfId="18907"/>
    <cellStyle name="Плохой 2 3 7" xfId="18908"/>
    <cellStyle name="Плохой 2 3 8" xfId="18909"/>
    <cellStyle name="Плохой 2 4" xfId="4543"/>
    <cellStyle name="Плохой 2 4 2" xfId="4544"/>
    <cellStyle name="Плохой 2 4 2 2" xfId="4545"/>
    <cellStyle name="Плохой 2 4 2 2 2" xfId="18910"/>
    <cellStyle name="Плохой 2 4 2 2 3" xfId="18911"/>
    <cellStyle name="Плохой 2 4 2 2 4" xfId="18912"/>
    <cellStyle name="Плохой 2 4 2 2 5" xfId="18913"/>
    <cellStyle name="Плохой 2 4 2 2 6" xfId="18914"/>
    <cellStyle name="Плохой 2 4 2 3" xfId="4546"/>
    <cellStyle name="Плохой 2 4 2 3 2" xfId="18915"/>
    <cellStyle name="Плохой 2 4 2 3 3" xfId="18916"/>
    <cellStyle name="Плохой 2 4 2 3 4" xfId="18917"/>
    <cellStyle name="Плохой 2 4 2 3 5" xfId="18918"/>
    <cellStyle name="Плохой 2 4 2 3 6" xfId="18919"/>
    <cellStyle name="Плохой 2 4 2 4" xfId="18920"/>
    <cellStyle name="Плохой 2 4 2 5" xfId="18921"/>
    <cellStyle name="Плохой 2 4 2 6" xfId="18922"/>
    <cellStyle name="Плохой 2 4 2 7" xfId="18923"/>
    <cellStyle name="Плохой 2 4 2 8" xfId="18924"/>
    <cellStyle name="Плохой 2 4 3" xfId="4547"/>
    <cellStyle name="Плохой 2 4 3 2" xfId="18925"/>
    <cellStyle name="Плохой 2 4 3 3" xfId="18926"/>
    <cellStyle name="Плохой 2 4 3 4" xfId="18927"/>
    <cellStyle name="Плохой 2 4 3 5" xfId="18928"/>
    <cellStyle name="Плохой 2 4 3 6" xfId="18929"/>
    <cellStyle name="Плохой 2 4 4" xfId="4548"/>
    <cellStyle name="Плохой 2 4 4 2" xfId="18930"/>
    <cellStyle name="Плохой 2 4 4 3" xfId="18931"/>
    <cellStyle name="Плохой 2 4 4 4" xfId="18932"/>
    <cellStyle name="Плохой 2 4 4 5" xfId="18933"/>
    <cellStyle name="Плохой 2 4 5" xfId="18934"/>
    <cellStyle name="Плохой 2 4 6" xfId="18935"/>
    <cellStyle name="Плохой 2 4 7" xfId="18936"/>
    <cellStyle name="Плохой 2 4 8" xfId="18937"/>
    <cellStyle name="Плохой 2 5" xfId="4549"/>
    <cellStyle name="Плохой 2 5 2" xfId="4550"/>
    <cellStyle name="Плохой 2 5 2 2" xfId="4551"/>
    <cellStyle name="Плохой 2 5 2 2 2" xfId="18938"/>
    <cellStyle name="Плохой 2 5 2 2 3" xfId="18939"/>
    <cellStyle name="Плохой 2 5 2 2 4" xfId="18940"/>
    <cellStyle name="Плохой 2 5 2 2 5" xfId="18941"/>
    <cellStyle name="Плохой 2 5 2 2 6" xfId="18942"/>
    <cellStyle name="Плохой 2 5 2 3" xfId="4552"/>
    <cellStyle name="Плохой 2 5 2 3 2" xfId="18943"/>
    <cellStyle name="Плохой 2 5 2 3 3" xfId="18944"/>
    <cellStyle name="Плохой 2 5 2 3 4" xfId="18945"/>
    <cellStyle name="Плохой 2 5 2 3 5" xfId="18946"/>
    <cellStyle name="Плохой 2 5 2 3 6" xfId="18947"/>
    <cellStyle name="Плохой 2 5 2 4" xfId="18948"/>
    <cellStyle name="Плохой 2 5 2 5" xfId="18949"/>
    <cellStyle name="Плохой 2 5 2 6" xfId="18950"/>
    <cellStyle name="Плохой 2 5 2 7" xfId="18951"/>
    <cellStyle name="Плохой 2 5 2 8" xfId="18952"/>
    <cellStyle name="Плохой 2 5 3" xfId="4553"/>
    <cellStyle name="Плохой 2 5 3 2" xfId="18953"/>
    <cellStyle name="Плохой 2 5 3 3" xfId="18954"/>
    <cellStyle name="Плохой 2 5 3 4" xfId="18955"/>
    <cellStyle name="Плохой 2 5 3 5" xfId="18956"/>
    <cellStyle name="Плохой 2 5 3 6" xfId="18957"/>
    <cellStyle name="Плохой 2 5 4" xfId="4554"/>
    <cellStyle name="Плохой 2 5 4 2" xfId="18958"/>
    <cellStyle name="Плохой 2 5 4 3" xfId="18959"/>
    <cellStyle name="Плохой 2 5 4 4" xfId="18960"/>
    <cellStyle name="Плохой 2 5 4 5" xfId="18961"/>
    <cellStyle name="Плохой 2 5 5" xfId="18962"/>
    <cellStyle name="Плохой 2 5 6" xfId="18963"/>
    <cellStyle name="Плохой 2 5 7" xfId="18964"/>
    <cellStyle name="Плохой 2 5 8" xfId="18965"/>
    <cellStyle name="Плохой 2 6" xfId="4555"/>
    <cellStyle name="Плохой 2 6 2" xfId="4556"/>
    <cellStyle name="Плохой 2 6 2 2" xfId="4557"/>
    <cellStyle name="Плохой 2 6 2 3" xfId="4558"/>
    <cellStyle name="Плохой 2 6 3" xfId="4559"/>
    <cellStyle name="Плохой 2 6 4" xfId="4560"/>
    <cellStyle name="Плохой 2 6 4 2" xfId="18966"/>
    <cellStyle name="Плохой 2 6 4 3" xfId="18967"/>
    <cellStyle name="Плохой 2 6 4 4" xfId="18968"/>
    <cellStyle name="Плохой 2 6 4 5" xfId="18969"/>
    <cellStyle name="Плохой 2 6 5" xfId="18970"/>
    <cellStyle name="Плохой 2 6 6" xfId="18971"/>
    <cellStyle name="Плохой 2 6 7" xfId="18972"/>
    <cellStyle name="Плохой 2 6 8" xfId="18973"/>
    <cellStyle name="Плохой 2 7" xfId="4561"/>
    <cellStyle name="Плохой 2 7 2" xfId="4562"/>
    <cellStyle name="Плохой 2 7 2 2" xfId="18974"/>
    <cellStyle name="Плохой 2 7 2 3" xfId="18975"/>
    <cellStyle name="Плохой 2 7 2 4" xfId="18976"/>
    <cellStyle name="Плохой 2 7 2 5" xfId="18977"/>
    <cellStyle name="Плохой 2 7 2 6" xfId="18978"/>
    <cellStyle name="Плохой 2 7 3" xfId="4563"/>
    <cellStyle name="Плохой 2 7 3 2" xfId="18979"/>
    <cellStyle name="Плохой 2 7 3 3" xfId="18980"/>
    <cellStyle name="Плохой 2 7 3 4" xfId="18981"/>
    <cellStyle name="Плохой 2 7 3 5" xfId="18982"/>
    <cellStyle name="Плохой 2 7 3 6" xfId="18983"/>
    <cellStyle name="Плохой 2 7 4" xfId="18984"/>
    <cellStyle name="Плохой 2 7 5" xfId="18985"/>
    <cellStyle name="Плохой 2 7 6" xfId="18986"/>
    <cellStyle name="Плохой 2 7 7" xfId="18987"/>
    <cellStyle name="Плохой 2 7 8" xfId="18988"/>
    <cellStyle name="Плохой 2 8" xfId="4564"/>
    <cellStyle name="Плохой 2 8 2" xfId="18989"/>
    <cellStyle name="Плохой 2 8 3" xfId="18990"/>
    <cellStyle name="Плохой 2 8 4" xfId="18991"/>
    <cellStyle name="Плохой 2 8 5" xfId="18992"/>
    <cellStyle name="Плохой 2 8 6" xfId="18993"/>
    <cellStyle name="Плохой 2 9" xfId="4565"/>
    <cellStyle name="Плохой 2 9 2" xfId="18994"/>
    <cellStyle name="Плохой 2 9 3" xfId="18995"/>
    <cellStyle name="Плохой 2 9 4" xfId="18996"/>
    <cellStyle name="Плохой 2 9 5" xfId="18997"/>
    <cellStyle name="Плохой 3" xfId="4566"/>
    <cellStyle name="Плохой 3 2" xfId="4567"/>
    <cellStyle name="Плохой 3 2 2" xfId="4568"/>
    <cellStyle name="Плохой 3 2 2 2" xfId="18998"/>
    <cellStyle name="Плохой 3 2 2 3" xfId="18999"/>
    <cellStyle name="Плохой 3 2 2 4" xfId="19000"/>
    <cellStyle name="Плохой 3 2 2 5" xfId="19001"/>
    <cellStyle name="Плохой 3 2 2 6" xfId="19002"/>
    <cellStyle name="Плохой 3 2 3" xfId="4569"/>
    <cellStyle name="Плохой 3 2 3 2" xfId="19003"/>
    <cellStyle name="Плохой 3 2 3 3" xfId="19004"/>
    <cellStyle name="Плохой 3 2 3 4" xfId="19005"/>
    <cellStyle name="Плохой 3 2 3 5" xfId="19006"/>
    <cellStyle name="Плохой 3 2 3 6" xfId="19007"/>
    <cellStyle name="Плохой 3 2 4" xfId="19008"/>
    <cellStyle name="Плохой 3 2 5" xfId="19009"/>
    <cellStyle name="Плохой 3 2 6" xfId="19010"/>
    <cellStyle name="Плохой 3 2 7" xfId="19011"/>
    <cellStyle name="Плохой 3 2 8" xfId="19012"/>
    <cellStyle name="Плохой 3 3" xfId="4570"/>
    <cellStyle name="Плохой 3 3 2" xfId="19013"/>
    <cellStyle name="Плохой 3 3 3" xfId="19014"/>
    <cellStyle name="Плохой 3 3 4" xfId="19015"/>
    <cellStyle name="Плохой 3 3 5" xfId="19016"/>
    <cellStyle name="Плохой 3 3 6" xfId="19017"/>
    <cellStyle name="Плохой 3 4" xfId="4571"/>
    <cellStyle name="Плохой 3 4 2" xfId="19018"/>
    <cellStyle name="Плохой 3 4 3" xfId="19019"/>
    <cellStyle name="Плохой 3 4 4" xfId="19020"/>
    <cellStyle name="Плохой 3 4 5" xfId="19021"/>
    <cellStyle name="Плохой 3 5" xfId="19022"/>
    <cellStyle name="Плохой 3 6" xfId="19023"/>
    <cellStyle name="Плохой 3 7" xfId="19024"/>
    <cellStyle name="Плохой 3 8" xfId="19025"/>
    <cellStyle name="Плохой 4" xfId="4572"/>
    <cellStyle name="Плохой 4 2" xfId="4573"/>
    <cellStyle name="Плохой 4 2 2" xfId="4574"/>
    <cellStyle name="Плохой 4 2 2 2" xfId="19026"/>
    <cellStyle name="Плохой 4 2 2 3" xfId="19027"/>
    <cellStyle name="Плохой 4 2 2 4" xfId="19028"/>
    <cellStyle name="Плохой 4 2 2 5" xfId="19029"/>
    <cellStyle name="Плохой 4 2 2 6" xfId="19030"/>
    <cellStyle name="Плохой 4 2 3" xfId="4575"/>
    <cellStyle name="Плохой 4 2 3 2" xfId="19031"/>
    <cellStyle name="Плохой 4 2 3 3" xfId="19032"/>
    <cellStyle name="Плохой 4 2 3 4" xfId="19033"/>
    <cellStyle name="Плохой 4 2 3 5" xfId="19034"/>
    <cellStyle name="Плохой 4 2 3 6" xfId="19035"/>
    <cellStyle name="Плохой 4 2 4" xfId="19036"/>
    <cellStyle name="Плохой 4 2 5" xfId="19037"/>
    <cellStyle name="Плохой 4 2 6" xfId="19038"/>
    <cellStyle name="Плохой 4 2 7" xfId="19039"/>
    <cellStyle name="Плохой 4 2 8" xfId="19040"/>
    <cellStyle name="Плохой 4 3" xfId="4576"/>
    <cellStyle name="Плохой 4 3 2" xfId="19041"/>
    <cellStyle name="Плохой 4 3 3" xfId="19042"/>
    <cellStyle name="Плохой 4 3 4" xfId="19043"/>
    <cellStyle name="Плохой 4 3 5" xfId="19044"/>
    <cellStyle name="Плохой 4 3 6" xfId="19045"/>
    <cellStyle name="Плохой 4 4" xfId="4577"/>
    <cellStyle name="Плохой 4 4 2" xfId="19046"/>
    <cellStyle name="Плохой 4 4 3" xfId="19047"/>
    <cellStyle name="Плохой 4 4 4" xfId="19048"/>
    <cellStyle name="Плохой 4 4 5" xfId="19049"/>
    <cellStyle name="Плохой 4 5" xfId="19050"/>
    <cellStyle name="Плохой 4 6" xfId="19051"/>
    <cellStyle name="Плохой 4 7" xfId="19052"/>
    <cellStyle name="Плохой 4 8" xfId="19053"/>
    <cellStyle name="Плохой 5" xfId="4578"/>
    <cellStyle name="Плохой 5 2" xfId="4579"/>
    <cellStyle name="Плохой 5 2 2" xfId="4580"/>
    <cellStyle name="Плохой 5 2 2 2" xfId="19054"/>
    <cellStyle name="Плохой 5 2 2 3" xfId="19055"/>
    <cellStyle name="Плохой 5 2 2 4" xfId="19056"/>
    <cellStyle name="Плохой 5 2 2 5" xfId="19057"/>
    <cellStyle name="Плохой 5 2 2 6" xfId="19058"/>
    <cellStyle name="Плохой 5 2 3" xfId="4581"/>
    <cellStyle name="Плохой 5 2 3 2" xfId="19059"/>
    <cellStyle name="Плохой 5 2 3 3" xfId="19060"/>
    <cellStyle name="Плохой 5 2 3 4" xfId="19061"/>
    <cellStyle name="Плохой 5 2 3 5" xfId="19062"/>
    <cellStyle name="Плохой 5 2 3 6" xfId="19063"/>
    <cellStyle name="Плохой 5 2 4" xfId="19064"/>
    <cellStyle name="Плохой 5 2 5" xfId="19065"/>
    <cellStyle name="Плохой 5 2 6" xfId="19066"/>
    <cellStyle name="Плохой 5 2 7" xfId="19067"/>
    <cellStyle name="Плохой 5 2 8" xfId="19068"/>
    <cellStyle name="Плохой 5 3" xfId="4582"/>
    <cellStyle name="Плохой 5 3 2" xfId="19069"/>
    <cellStyle name="Плохой 5 3 3" xfId="19070"/>
    <cellStyle name="Плохой 5 3 4" xfId="19071"/>
    <cellStyle name="Плохой 5 3 5" xfId="19072"/>
    <cellStyle name="Плохой 5 3 6" xfId="19073"/>
    <cellStyle name="Плохой 5 4" xfId="4583"/>
    <cellStyle name="Плохой 5 4 2" xfId="19074"/>
    <cellStyle name="Плохой 5 4 3" xfId="19075"/>
    <cellStyle name="Плохой 5 4 4" xfId="19076"/>
    <cellStyle name="Плохой 5 4 5" xfId="19077"/>
    <cellStyle name="Плохой 5 5" xfId="19078"/>
    <cellStyle name="Плохой 5 6" xfId="19079"/>
    <cellStyle name="Плохой 5 7" xfId="19080"/>
    <cellStyle name="Плохой 5 8" xfId="19081"/>
    <cellStyle name="Плохой 6" xfId="4584"/>
    <cellStyle name="Плохой 6 2" xfId="4585"/>
    <cellStyle name="Плохой 6 2 2" xfId="4586"/>
    <cellStyle name="Плохой 6 2 2 2" xfId="19082"/>
    <cellStyle name="Плохой 6 2 2 3" xfId="19083"/>
    <cellStyle name="Плохой 6 2 2 4" xfId="19084"/>
    <cellStyle name="Плохой 6 2 2 5" xfId="19085"/>
    <cellStyle name="Плохой 6 2 2 6" xfId="19086"/>
    <cellStyle name="Плохой 6 2 3" xfId="4587"/>
    <cellStyle name="Плохой 6 2 3 2" xfId="19087"/>
    <cellStyle name="Плохой 6 2 3 3" xfId="19088"/>
    <cellStyle name="Плохой 6 2 3 4" xfId="19089"/>
    <cellStyle name="Плохой 6 2 3 5" xfId="19090"/>
    <cellStyle name="Плохой 6 2 3 6" xfId="19091"/>
    <cellStyle name="Плохой 6 2 4" xfId="19092"/>
    <cellStyle name="Плохой 6 2 5" xfId="19093"/>
    <cellStyle name="Плохой 6 2 6" xfId="19094"/>
    <cellStyle name="Плохой 6 2 7" xfId="19095"/>
    <cellStyle name="Плохой 6 2 8" xfId="19096"/>
    <cellStyle name="Плохой 6 3" xfId="4588"/>
    <cellStyle name="Плохой 6 3 2" xfId="19097"/>
    <cellStyle name="Плохой 6 3 3" xfId="19098"/>
    <cellStyle name="Плохой 6 3 4" xfId="19099"/>
    <cellStyle name="Плохой 6 3 5" xfId="19100"/>
    <cellStyle name="Плохой 6 3 6" xfId="19101"/>
    <cellStyle name="Плохой 6 4" xfId="4589"/>
    <cellStyle name="Плохой 6 4 2" xfId="19102"/>
    <cellStyle name="Плохой 6 4 3" xfId="19103"/>
    <cellStyle name="Плохой 6 4 4" xfId="19104"/>
    <cellStyle name="Плохой 6 4 5" xfId="19105"/>
    <cellStyle name="Плохой 6 5" xfId="19106"/>
    <cellStyle name="Плохой 6 6" xfId="19107"/>
    <cellStyle name="Плохой 6 7" xfId="19108"/>
    <cellStyle name="Плохой 6 8" xfId="19109"/>
    <cellStyle name="Пояснение 2" xfId="4590"/>
    <cellStyle name="Пояснение 2 2" xfId="4591"/>
    <cellStyle name="Пояснение 2 2 2" xfId="4592"/>
    <cellStyle name="Пояснение 2 2 2 2" xfId="4593"/>
    <cellStyle name="Пояснение 2 2 2 3" xfId="4594"/>
    <cellStyle name="Пояснение 2 2 3" xfId="4595"/>
    <cellStyle name="Пояснение 2 2 4" xfId="4596"/>
    <cellStyle name="Пояснение 2 2 4 2" xfId="19110"/>
    <cellStyle name="Пояснение 2 2 4 3" xfId="19111"/>
    <cellStyle name="Пояснение 2 2 4 4" xfId="19112"/>
    <cellStyle name="Пояснение 2 2 4 5" xfId="19113"/>
    <cellStyle name="Пояснение 2 2 5" xfId="19114"/>
    <cellStyle name="Пояснение 2 2 6" xfId="19115"/>
    <cellStyle name="Пояснение 2 2 7" xfId="19116"/>
    <cellStyle name="Пояснение 2 2 8" xfId="19117"/>
    <cellStyle name="Пояснение 2 3" xfId="4597"/>
    <cellStyle name="Пояснение 2 3 2" xfId="4598"/>
    <cellStyle name="Пояснение 2 3 2 2" xfId="19118"/>
    <cellStyle name="Пояснение 2 3 2 3" xfId="19119"/>
    <cellStyle name="Пояснение 2 3 2 4" xfId="19120"/>
    <cellStyle name="Пояснение 2 3 2 5" xfId="19121"/>
    <cellStyle name="Пояснение 2 3 2 6" xfId="19122"/>
    <cellStyle name="Пояснение 2 3 3" xfId="4599"/>
    <cellStyle name="Пояснение 2 3 3 2" xfId="19123"/>
    <cellStyle name="Пояснение 2 3 3 3" xfId="19124"/>
    <cellStyle name="Пояснение 2 3 3 4" xfId="19125"/>
    <cellStyle name="Пояснение 2 3 3 5" xfId="19126"/>
    <cellStyle name="Пояснение 2 3 3 6" xfId="19127"/>
    <cellStyle name="Пояснение 2 3 4" xfId="19128"/>
    <cellStyle name="Пояснение 2 3 5" xfId="19129"/>
    <cellStyle name="Пояснение 2 3 6" xfId="19130"/>
    <cellStyle name="Пояснение 2 3 7" xfId="19131"/>
    <cellStyle name="Пояснение 2 3 8" xfId="19132"/>
    <cellStyle name="Пояснение 2 4" xfId="4600"/>
    <cellStyle name="Пояснение 2 4 2" xfId="19133"/>
    <cellStyle name="Пояснение 2 4 3" xfId="19134"/>
    <cellStyle name="Пояснение 2 4 4" xfId="19135"/>
    <cellStyle name="Пояснение 2 4 5" xfId="19136"/>
    <cellStyle name="Пояснение 2 4 6" xfId="19137"/>
    <cellStyle name="Пояснение 2 5" xfId="4601"/>
    <cellStyle name="Пояснение 2 5 2" xfId="19138"/>
    <cellStyle name="Пояснение 2 5 3" xfId="19139"/>
    <cellStyle name="Пояснение 2 5 4" xfId="19140"/>
    <cellStyle name="Пояснение 2 5 5" xfId="19141"/>
    <cellStyle name="Пояснение 2 6" xfId="19142"/>
    <cellStyle name="Пояснение 2 7" xfId="19143"/>
    <cellStyle name="Пояснение 2 8" xfId="19144"/>
    <cellStyle name="Пояснение 2 9" xfId="19145"/>
    <cellStyle name="Пояснение 3" xfId="4602"/>
    <cellStyle name="Пояснение 3 2" xfId="4603"/>
    <cellStyle name="Пояснение 3 2 2" xfId="4604"/>
    <cellStyle name="Пояснение 3 2 2 2" xfId="19146"/>
    <cellStyle name="Пояснение 3 2 2 3" xfId="19147"/>
    <cellStyle name="Пояснение 3 2 2 4" xfId="19148"/>
    <cellStyle name="Пояснение 3 2 2 5" xfId="19149"/>
    <cellStyle name="Пояснение 3 2 2 6" xfId="19150"/>
    <cellStyle name="Пояснение 3 2 3" xfId="4605"/>
    <cellStyle name="Пояснение 3 2 3 2" xfId="19151"/>
    <cellStyle name="Пояснение 3 2 3 3" xfId="19152"/>
    <cellStyle name="Пояснение 3 2 3 4" xfId="19153"/>
    <cellStyle name="Пояснение 3 2 3 5" xfId="19154"/>
    <cellStyle name="Пояснение 3 2 3 6" xfId="19155"/>
    <cellStyle name="Пояснение 3 2 4" xfId="19156"/>
    <cellStyle name="Пояснение 3 2 5" xfId="19157"/>
    <cellStyle name="Пояснение 3 2 6" xfId="19158"/>
    <cellStyle name="Пояснение 3 2 7" xfId="19159"/>
    <cellStyle name="Пояснение 3 2 8" xfId="19160"/>
    <cellStyle name="Пояснение 3 3" xfId="4606"/>
    <cellStyle name="Пояснение 3 3 2" xfId="19161"/>
    <cellStyle name="Пояснение 3 3 3" xfId="19162"/>
    <cellStyle name="Пояснение 3 3 4" xfId="19163"/>
    <cellStyle name="Пояснение 3 3 5" xfId="19164"/>
    <cellStyle name="Пояснение 3 3 6" xfId="19165"/>
    <cellStyle name="Пояснение 3 4" xfId="4607"/>
    <cellStyle name="Пояснение 3 4 2" xfId="19166"/>
    <cellStyle name="Пояснение 3 4 3" xfId="19167"/>
    <cellStyle name="Пояснение 3 4 4" xfId="19168"/>
    <cellStyle name="Пояснение 3 4 5" xfId="19169"/>
    <cellStyle name="Пояснение 3 5" xfId="19170"/>
    <cellStyle name="Пояснение 3 6" xfId="19171"/>
    <cellStyle name="Пояснение 3 7" xfId="19172"/>
    <cellStyle name="Пояснение 3 8" xfId="19173"/>
    <cellStyle name="Пояснение 4" xfId="4608"/>
    <cellStyle name="Пояснение 4 2" xfId="4609"/>
    <cellStyle name="Пояснение 4 2 2" xfId="4610"/>
    <cellStyle name="Пояснение 4 2 2 2" xfId="19174"/>
    <cellStyle name="Пояснение 4 2 2 3" xfId="19175"/>
    <cellStyle name="Пояснение 4 2 2 4" xfId="19176"/>
    <cellStyle name="Пояснение 4 2 2 5" xfId="19177"/>
    <cellStyle name="Пояснение 4 2 2 6" xfId="19178"/>
    <cellStyle name="Пояснение 4 2 3" xfId="4611"/>
    <cellStyle name="Пояснение 4 2 3 2" xfId="19179"/>
    <cellStyle name="Пояснение 4 2 3 3" xfId="19180"/>
    <cellStyle name="Пояснение 4 2 3 4" xfId="19181"/>
    <cellStyle name="Пояснение 4 2 3 5" xfId="19182"/>
    <cellStyle name="Пояснение 4 2 3 6" xfId="19183"/>
    <cellStyle name="Пояснение 4 2 4" xfId="19184"/>
    <cellStyle name="Пояснение 4 2 5" xfId="19185"/>
    <cellStyle name="Пояснение 4 2 6" xfId="19186"/>
    <cellStyle name="Пояснение 4 2 7" xfId="19187"/>
    <cellStyle name="Пояснение 4 2 8" xfId="19188"/>
    <cellStyle name="Пояснение 4 3" xfId="4612"/>
    <cellStyle name="Пояснение 4 3 2" xfId="19189"/>
    <cellStyle name="Пояснение 4 3 3" xfId="19190"/>
    <cellStyle name="Пояснение 4 3 4" xfId="19191"/>
    <cellStyle name="Пояснение 4 3 5" xfId="19192"/>
    <cellStyle name="Пояснение 4 3 6" xfId="19193"/>
    <cellStyle name="Пояснение 4 4" xfId="4613"/>
    <cellStyle name="Пояснение 4 4 2" xfId="19194"/>
    <cellStyle name="Пояснение 4 4 3" xfId="19195"/>
    <cellStyle name="Пояснение 4 4 4" xfId="19196"/>
    <cellStyle name="Пояснение 4 4 5" xfId="19197"/>
    <cellStyle name="Пояснение 4 5" xfId="19198"/>
    <cellStyle name="Пояснение 4 6" xfId="19199"/>
    <cellStyle name="Пояснение 4 7" xfId="19200"/>
    <cellStyle name="Пояснение 4 8" xfId="19201"/>
    <cellStyle name="Пояснение 5" xfId="4614"/>
    <cellStyle name="Пояснение 5 2" xfId="4615"/>
    <cellStyle name="Пояснение 5 2 2" xfId="4616"/>
    <cellStyle name="Пояснение 5 2 2 2" xfId="19202"/>
    <cellStyle name="Пояснение 5 2 2 3" xfId="19203"/>
    <cellStyle name="Пояснение 5 2 2 4" xfId="19204"/>
    <cellStyle name="Пояснение 5 2 2 5" xfId="19205"/>
    <cellStyle name="Пояснение 5 2 2 6" xfId="19206"/>
    <cellStyle name="Пояснение 5 2 3" xfId="4617"/>
    <cellStyle name="Пояснение 5 2 3 2" xfId="19207"/>
    <cellStyle name="Пояснение 5 2 3 3" xfId="19208"/>
    <cellStyle name="Пояснение 5 2 3 4" xfId="19209"/>
    <cellStyle name="Пояснение 5 2 3 5" xfId="19210"/>
    <cellStyle name="Пояснение 5 2 3 6" xfId="19211"/>
    <cellStyle name="Пояснение 5 2 4" xfId="19212"/>
    <cellStyle name="Пояснение 5 2 5" xfId="19213"/>
    <cellStyle name="Пояснение 5 2 6" xfId="19214"/>
    <cellStyle name="Пояснение 5 2 7" xfId="19215"/>
    <cellStyle name="Пояснение 5 2 8" xfId="19216"/>
    <cellStyle name="Пояснение 5 3" xfId="4618"/>
    <cellStyle name="Пояснение 5 3 2" xfId="19217"/>
    <cellStyle name="Пояснение 5 3 3" xfId="19218"/>
    <cellStyle name="Пояснение 5 3 4" xfId="19219"/>
    <cellStyle name="Пояснение 5 3 5" xfId="19220"/>
    <cellStyle name="Пояснение 5 3 6" xfId="19221"/>
    <cellStyle name="Пояснение 5 4" xfId="4619"/>
    <cellStyle name="Пояснение 5 4 2" xfId="19222"/>
    <cellStyle name="Пояснение 5 4 3" xfId="19223"/>
    <cellStyle name="Пояснение 5 4 4" xfId="19224"/>
    <cellStyle name="Пояснение 5 4 5" xfId="19225"/>
    <cellStyle name="Пояснение 5 5" xfId="19226"/>
    <cellStyle name="Пояснение 5 6" xfId="19227"/>
    <cellStyle name="Пояснение 5 7" xfId="19228"/>
    <cellStyle name="Пояснение 5 8" xfId="19229"/>
    <cellStyle name="Пояснение 6" xfId="4620"/>
    <cellStyle name="Пояснение 6 2" xfId="4621"/>
    <cellStyle name="Пояснение 6 2 2" xfId="4622"/>
    <cellStyle name="Пояснение 6 2 2 2" xfId="19230"/>
    <cellStyle name="Пояснение 6 2 2 3" xfId="19231"/>
    <cellStyle name="Пояснение 6 2 2 4" xfId="19232"/>
    <cellStyle name="Пояснение 6 2 2 5" xfId="19233"/>
    <cellStyle name="Пояснение 6 2 2 6" xfId="19234"/>
    <cellStyle name="Пояснение 6 2 3" xfId="4623"/>
    <cellStyle name="Пояснение 6 2 3 2" xfId="19235"/>
    <cellStyle name="Пояснение 6 2 3 3" xfId="19236"/>
    <cellStyle name="Пояснение 6 2 3 4" xfId="19237"/>
    <cellStyle name="Пояснение 6 2 3 5" xfId="19238"/>
    <cellStyle name="Пояснение 6 2 3 6" xfId="19239"/>
    <cellStyle name="Пояснение 6 2 4" xfId="19240"/>
    <cellStyle name="Пояснение 6 2 5" xfId="19241"/>
    <cellStyle name="Пояснение 6 2 6" xfId="19242"/>
    <cellStyle name="Пояснение 6 2 7" xfId="19243"/>
    <cellStyle name="Пояснение 6 2 8" xfId="19244"/>
    <cellStyle name="Пояснение 6 3" xfId="4624"/>
    <cellStyle name="Пояснение 6 3 2" xfId="19245"/>
    <cellStyle name="Пояснение 6 3 3" xfId="19246"/>
    <cellStyle name="Пояснение 6 3 4" xfId="19247"/>
    <cellStyle name="Пояснение 6 3 5" xfId="19248"/>
    <cellStyle name="Пояснение 6 3 6" xfId="19249"/>
    <cellStyle name="Пояснение 6 4" xfId="4625"/>
    <cellStyle name="Пояснение 6 4 2" xfId="19250"/>
    <cellStyle name="Пояснение 6 4 3" xfId="19251"/>
    <cellStyle name="Пояснение 6 4 4" xfId="19252"/>
    <cellStyle name="Пояснение 6 4 5" xfId="19253"/>
    <cellStyle name="Пояснение 6 5" xfId="19254"/>
    <cellStyle name="Пояснение 6 6" xfId="19255"/>
    <cellStyle name="Пояснение 6 7" xfId="19256"/>
    <cellStyle name="Пояснение 6 8" xfId="19257"/>
    <cellStyle name="Примечание 2" xfId="4626"/>
    <cellStyle name="Примечание 2 10" xfId="19258"/>
    <cellStyle name="Примечание 2 11" xfId="19259"/>
    <cellStyle name="Примечание 2 12" xfId="19260"/>
    <cellStyle name="Примечание 2 13" xfId="19261"/>
    <cellStyle name="Примечание 2 14" xfId="19262"/>
    <cellStyle name="Примечание 2 15" xfId="19263"/>
    <cellStyle name="Примечание 2 16" xfId="19264"/>
    <cellStyle name="Примечание 2 2" xfId="4627"/>
    <cellStyle name="Примечание 2 2 10" xfId="19265"/>
    <cellStyle name="Примечание 2 2 11" xfId="19266"/>
    <cellStyle name="Примечание 2 2 12" xfId="19267"/>
    <cellStyle name="Примечание 2 2 13" xfId="19268"/>
    <cellStyle name="Примечание 2 2 14" xfId="19269"/>
    <cellStyle name="Примечание 2 2 2" xfId="4628"/>
    <cellStyle name="Примечание 2 2 2 10" xfId="19270"/>
    <cellStyle name="Примечание 2 2 2 11" xfId="19271"/>
    <cellStyle name="Примечание 2 2 2 12" xfId="19272"/>
    <cellStyle name="Примечание 2 2 2 2" xfId="4629"/>
    <cellStyle name="Примечание 2 2 2 2 2" xfId="19273"/>
    <cellStyle name="Примечание 2 2 2 2 3" xfId="19274"/>
    <cellStyle name="Примечание 2 2 2 2 4" xfId="19275"/>
    <cellStyle name="Примечание 2 2 2 2 5" xfId="19276"/>
    <cellStyle name="Примечание 2 2 2 3" xfId="4630"/>
    <cellStyle name="Примечание 2 2 2 3 2" xfId="19277"/>
    <cellStyle name="Примечание 2 2 2 3 3" xfId="19278"/>
    <cellStyle name="Примечание 2 2 2 3 4" xfId="19279"/>
    <cellStyle name="Примечание 2 2 2 3 5" xfId="19280"/>
    <cellStyle name="Примечание 2 2 2 4" xfId="4631"/>
    <cellStyle name="Примечание 2 2 2 4 2" xfId="19281"/>
    <cellStyle name="Примечание 2 2 2 4 3" xfId="19282"/>
    <cellStyle name="Примечание 2 2 2 4 4" xfId="19283"/>
    <cellStyle name="Примечание 2 2 2 4 5" xfId="19284"/>
    <cellStyle name="Примечание 2 2 2 5" xfId="19285"/>
    <cellStyle name="Примечание 2 2 2 5 2" xfId="19286"/>
    <cellStyle name="Примечание 2 2 2 5 3" xfId="19287"/>
    <cellStyle name="Примечание 2 2 2 5 4" xfId="19288"/>
    <cellStyle name="Примечание 2 2 2 6" xfId="19289"/>
    <cellStyle name="Примечание 2 2 2 7" xfId="19290"/>
    <cellStyle name="Примечание 2 2 2 8" xfId="19291"/>
    <cellStyle name="Примечание 2 2 2 9" xfId="19292"/>
    <cellStyle name="Примечание 2 2 3" xfId="4632"/>
    <cellStyle name="Примечание 2 2 3 10" xfId="19293"/>
    <cellStyle name="Примечание 2 2 3 11" xfId="19294"/>
    <cellStyle name="Примечание 2 2 3 2" xfId="4633"/>
    <cellStyle name="Примечание 2 2 3 2 2" xfId="19295"/>
    <cellStyle name="Примечание 2 2 3 2 3" xfId="19296"/>
    <cellStyle name="Примечание 2 2 3 2 4" xfId="19297"/>
    <cellStyle name="Примечание 2 2 3 2 5" xfId="19298"/>
    <cellStyle name="Примечание 2 2 3 3" xfId="4634"/>
    <cellStyle name="Примечание 2 2 3 3 2" xfId="19299"/>
    <cellStyle name="Примечание 2 2 3 3 3" xfId="19300"/>
    <cellStyle name="Примечание 2 2 3 3 4" xfId="19301"/>
    <cellStyle name="Примечание 2 2 3 3 5" xfId="19302"/>
    <cellStyle name="Примечание 2 2 3 4" xfId="19303"/>
    <cellStyle name="Примечание 2 2 3 4 2" xfId="19304"/>
    <cellStyle name="Примечание 2 2 3 4 3" xfId="19305"/>
    <cellStyle name="Примечание 2 2 3 4 4" xfId="19306"/>
    <cellStyle name="Примечание 2 2 3 5" xfId="19307"/>
    <cellStyle name="Примечание 2 2 3 6" xfId="19308"/>
    <cellStyle name="Примечание 2 2 3 7" xfId="19309"/>
    <cellStyle name="Примечание 2 2 3 8" xfId="19310"/>
    <cellStyle name="Примечание 2 2 3 9" xfId="19311"/>
    <cellStyle name="Примечание 2 2 4" xfId="4635"/>
    <cellStyle name="Примечание 2 2 4 2" xfId="19312"/>
    <cellStyle name="Примечание 2 2 4 3" xfId="19313"/>
    <cellStyle name="Примечание 2 2 4 4" xfId="19314"/>
    <cellStyle name="Примечание 2 2 4 5" xfId="19315"/>
    <cellStyle name="Примечание 2 2 4 6" xfId="19316"/>
    <cellStyle name="Примечание 2 2 4 7" xfId="19317"/>
    <cellStyle name="Примечание 2 2 4 8" xfId="19318"/>
    <cellStyle name="Примечание 2 2 5" xfId="4636"/>
    <cellStyle name="Примечание 2 2 5 2" xfId="19319"/>
    <cellStyle name="Примечание 2 2 5 3" xfId="19320"/>
    <cellStyle name="Примечание 2 2 5 4" xfId="19321"/>
    <cellStyle name="Примечание 2 2 5 5" xfId="19322"/>
    <cellStyle name="Примечание 2 2 5 6" xfId="19323"/>
    <cellStyle name="Примечание 2 2 5 7" xfId="19324"/>
    <cellStyle name="Примечание 2 2 5 8" xfId="19325"/>
    <cellStyle name="Примечание 2 2 6" xfId="4637"/>
    <cellStyle name="Примечание 2 2 6 2" xfId="19326"/>
    <cellStyle name="Примечание 2 2 6 3" xfId="19327"/>
    <cellStyle name="Примечание 2 2 6 4" xfId="19328"/>
    <cellStyle name="Примечание 2 2 6 5" xfId="19329"/>
    <cellStyle name="Примечание 2 2 6 6" xfId="19330"/>
    <cellStyle name="Примечание 2 2 6 7" xfId="19331"/>
    <cellStyle name="Примечание 2 2 6 8" xfId="19332"/>
    <cellStyle name="Примечание 2 2 7" xfId="19333"/>
    <cellStyle name="Примечание 2 2 7 2" xfId="19334"/>
    <cellStyle name="Примечание 2 2 7 3" xfId="19335"/>
    <cellStyle name="Примечание 2 2 7 4" xfId="19336"/>
    <cellStyle name="Примечание 2 2 8" xfId="19337"/>
    <cellStyle name="Примечание 2 2 9" xfId="19338"/>
    <cellStyle name="Примечание 2 3" xfId="4638"/>
    <cellStyle name="Примечание 2 3 10" xfId="19339"/>
    <cellStyle name="Примечание 2 3 11" xfId="19340"/>
    <cellStyle name="Примечание 2 3 12" xfId="19341"/>
    <cellStyle name="Примечание 2 3 13" xfId="19342"/>
    <cellStyle name="Примечание 2 3 14" xfId="19343"/>
    <cellStyle name="Примечание 2 3 2" xfId="4639"/>
    <cellStyle name="Примечание 2 3 2 10" xfId="19344"/>
    <cellStyle name="Примечание 2 3 2 11" xfId="19345"/>
    <cellStyle name="Примечание 2 3 2 12" xfId="19346"/>
    <cellStyle name="Примечание 2 3 2 2" xfId="4640"/>
    <cellStyle name="Примечание 2 3 2 2 2" xfId="19347"/>
    <cellStyle name="Примечание 2 3 2 2 3" xfId="19348"/>
    <cellStyle name="Примечание 2 3 2 2 4" xfId="19349"/>
    <cellStyle name="Примечание 2 3 2 2 5" xfId="19350"/>
    <cellStyle name="Примечание 2 3 2 3" xfId="4641"/>
    <cellStyle name="Примечание 2 3 2 3 2" xfId="19351"/>
    <cellStyle name="Примечание 2 3 2 3 3" xfId="19352"/>
    <cellStyle name="Примечание 2 3 2 3 4" xfId="19353"/>
    <cellStyle name="Примечание 2 3 2 3 5" xfId="19354"/>
    <cellStyle name="Примечание 2 3 2 4" xfId="4642"/>
    <cellStyle name="Примечание 2 3 2 4 2" xfId="19355"/>
    <cellStyle name="Примечание 2 3 2 4 3" xfId="19356"/>
    <cellStyle name="Примечание 2 3 2 4 4" xfId="19357"/>
    <cellStyle name="Примечание 2 3 2 4 5" xfId="19358"/>
    <cellStyle name="Примечание 2 3 2 5" xfId="19359"/>
    <cellStyle name="Примечание 2 3 2 5 2" xfId="19360"/>
    <cellStyle name="Примечание 2 3 2 5 3" xfId="19361"/>
    <cellStyle name="Примечание 2 3 2 5 4" xfId="19362"/>
    <cellStyle name="Примечание 2 3 2 6" xfId="19363"/>
    <cellStyle name="Примечание 2 3 2 7" xfId="19364"/>
    <cellStyle name="Примечание 2 3 2 8" xfId="19365"/>
    <cellStyle name="Примечание 2 3 2 9" xfId="19366"/>
    <cellStyle name="Примечание 2 3 3" xfId="4643"/>
    <cellStyle name="Примечание 2 3 3 10" xfId="19367"/>
    <cellStyle name="Примечание 2 3 3 11" xfId="19368"/>
    <cellStyle name="Примечание 2 3 3 2" xfId="4644"/>
    <cellStyle name="Примечание 2 3 3 2 2" xfId="19369"/>
    <cellStyle name="Примечание 2 3 3 2 3" xfId="19370"/>
    <cellStyle name="Примечание 2 3 3 2 4" xfId="19371"/>
    <cellStyle name="Примечание 2 3 3 2 5" xfId="19372"/>
    <cellStyle name="Примечание 2 3 3 3" xfId="4645"/>
    <cellStyle name="Примечание 2 3 3 3 2" xfId="19373"/>
    <cellStyle name="Примечание 2 3 3 3 3" xfId="19374"/>
    <cellStyle name="Примечание 2 3 3 3 4" xfId="19375"/>
    <cellStyle name="Примечание 2 3 3 3 5" xfId="19376"/>
    <cellStyle name="Примечание 2 3 3 4" xfId="19377"/>
    <cellStyle name="Примечание 2 3 3 4 2" xfId="19378"/>
    <cellStyle name="Примечание 2 3 3 4 3" xfId="19379"/>
    <cellStyle name="Примечание 2 3 3 4 4" xfId="19380"/>
    <cellStyle name="Примечание 2 3 3 5" xfId="19381"/>
    <cellStyle name="Примечание 2 3 3 6" xfId="19382"/>
    <cellStyle name="Примечание 2 3 3 7" xfId="19383"/>
    <cellStyle name="Примечание 2 3 3 8" xfId="19384"/>
    <cellStyle name="Примечание 2 3 3 9" xfId="19385"/>
    <cellStyle name="Примечание 2 3 4" xfId="4646"/>
    <cellStyle name="Примечание 2 3 4 2" xfId="19386"/>
    <cellStyle name="Примечание 2 3 4 3" xfId="19387"/>
    <cellStyle name="Примечание 2 3 4 4" xfId="19388"/>
    <cellStyle name="Примечание 2 3 4 5" xfId="19389"/>
    <cellStyle name="Примечание 2 3 4 6" xfId="19390"/>
    <cellStyle name="Примечание 2 3 4 7" xfId="19391"/>
    <cellStyle name="Примечание 2 3 4 8" xfId="19392"/>
    <cellStyle name="Примечание 2 3 5" xfId="4647"/>
    <cellStyle name="Примечание 2 3 5 2" xfId="19393"/>
    <cellStyle name="Примечание 2 3 5 3" xfId="19394"/>
    <cellStyle name="Примечание 2 3 5 4" xfId="19395"/>
    <cellStyle name="Примечание 2 3 5 5" xfId="19396"/>
    <cellStyle name="Примечание 2 3 5 6" xfId="19397"/>
    <cellStyle name="Примечание 2 3 5 7" xfId="19398"/>
    <cellStyle name="Примечание 2 3 5 8" xfId="19399"/>
    <cellStyle name="Примечание 2 3 6" xfId="4648"/>
    <cellStyle name="Примечание 2 3 6 2" xfId="19400"/>
    <cellStyle name="Примечание 2 3 6 3" xfId="19401"/>
    <cellStyle name="Примечание 2 3 6 4" xfId="19402"/>
    <cellStyle name="Примечание 2 3 6 5" xfId="19403"/>
    <cellStyle name="Примечание 2 3 6 6" xfId="19404"/>
    <cellStyle name="Примечание 2 3 6 7" xfId="19405"/>
    <cellStyle name="Примечание 2 3 6 8" xfId="19406"/>
    <cellStyle name="Примечание 2 3 7" xfId="19407"/>
    <cellStyle name="Примечание 2 3 7 2" xfId="19408"/>
    <cellStyle name="Примечание 2 3 7 3" xfId="19409"/>
    <cellStyle name="Примечание 2 3 7 4" xfId="19410"/>
    <cellStyle name="Примечание 2 3 8" xfId="19411"/>
    <cellStyle name="Примечание 2 3 9" xfId="19412"/>
    <cellStyle name="Примечание 2 4" xfId="4649"/>
    <cellStyle name="Примечание 2 4 10" xfId="19413"/>
    <cellStyle name="Примечание 2 4 11" xfId="19414"/>
    <cellStyle name="Примечание 2 4 12" xfId="19415"/>
    <cellStyle name="Примечание 2 4 2" xfId="4650"/>
    <cellStyle name="Примечание 2 4 2 2" xfId="19416"/>
    <cellStyle name="Примечание 2 4 2 3" xfId="19417"/>
    <cellStyle name="Примечание 2 4 2 4" xfId="19418"/>
    <cellStyle name="Примечание 2 4 2 5" xfId="19419"/>
    <cellStyle name="Примечание 2 4 3" xfId="4651"/>
    <cellStyle name="Примечание 2 4 3 2" xfId="19420"/>
    <cellStyle name="Примечание 2 4 3 3" xfId="19421"/>
    <cellStyle name="Примечание 2 4 3 4" xfId="19422"/>
    <cellStyle name="Примечание 2 4 3 5" xfId="19423"/>
    <cellStyle name="Примечание 2 4 4" xfId="4652"/>
    <cellStyle name="Примечание 2 4 4 2" xfId="19424"/>
    <cellStyle name="Примечание 2 4 4 3" xfId="19425"/>
    <cellStyle name="Примечание 2 4 4 4" xfId="19426"/>
    <cellStyle name="Примечание 2 4 4 5" xfId="19427"/>
    <cellStyle name="Примечание 2 4 5" xfId="19428"/>
    <cellStyle name="Примечание 2 4 5 2" xfId="19429"/>
    <cellStyle name="Примечание 2 4 5 3" xfId="19430"/>
    <cellStyle name="Примечание 2 4 5 4" xfId="19431"/>
    <cellStyle name="Примечание 2 4 6" xfId="19432"/>
    <cellStyle name="Примечание 2 4 7" xfId="19433"/>
    <cellStyle name="Примечание 2 4 8" xfId="19434"/>
    <cellStyle name="Примечание 2 4 9" xfId="19435"/>
    <cellStyle name="Примечание 2 5" xfId="4653"/>
    <cellStyle name="Примечание 2 5 10" xfId="19436"/>
    <cellStyle name="Примечание 2 5 11" xfId="19437"/>
    <cellStyle name="Примечание 2 5 2" xfId="4654"/>
    <cellStyle name="Примечание 2 5 2 2" xfId="19438"/>
    <cellStyle name="Примечание 2 5 2 3" xfId="19439"/>
    <cellStyle name="Примечание 2 5 2 4" xfId="19440"/>
    <cellStyle name="Примечание 2 5 2 5" xfId="19441"/>
    <cellStyle name="Примечание 2 5 3" xfId="4655"/>
    <cellStyle name="Примечание 2 5 3 2" xfId="19442"/>
    <cellStyle name="Примечание 2 5 3 3" xfId="19443"/>
    <cellStyle name="Примечание 2 5 3 4" xfId="19444"/>
    <cellStyle name="Примечание 2 5 3 5" xfId="19445"/>
    <cellStyle name="Примечание 2 5 4" xfId="19446"/>
    <cellStyle name="Примечание 2 5 4 2" xfId="19447"/>
    <cellStyle name="Примечание 2 5 4 3" xfId="19448"/>
    <cellStyle name="Примечание 2 5 4 4" xfId="19449"/>
    <cellStyle name="Примечание 2 5 5" xfId="19450"/>
    <cellStyle name="Примечание 2 5 6" xfId="19451"/>
    <cellStyle name="Примечание 2 5 7" xfId="19452"/>
    <cellStyle name="Примечание 2 5 8" xfId="19453"/>
    <cellStyle name="Примечание 2 5 9" xfId="19454"/>
    <cellStyle name="Примечание 2 6" xfId="4656"/>
    <cellStyle name="Примечание 2 6 2" xfId="19455"/>
    <cellStyle name="Примечание 2 6 3" xfId="19456"/>
    <cellStyle name="Примечание 2 6 4" xfId="19457"/>
    <cellStyle name="Примечание 2 6 5" xfId="19458"/>
    <cellStyle name="Примечание 2 6 6" xfId="19459"/>
    <cellStyle name="Примечание 2 6 7" xfId="19460"/>
    <cellStyle name="Примечание 2 6 8" xfId="19461"/>
    <cellStyle name="Примечание 2 7" xfId="4657"/>
    <cellStyle name="Примечание 2 7 2" xfId="19462"/>
    <cellStyle name="Примечание 2 7 3" xfId="19463"/>
    <cellStyle name="Примечание 2 7 4" xfId="19464"/>
    <cellStyle name="Примечание 2 7 5" xfId="19465"/>
    <cellStyle name="Примечание 2 7 6" xfId="19466"/>
    <cellStyle name="Примечание 2 7 7" xfId="19467"/>
    <cellStyle name="Примечание 2 7 8" xfId="19468"/>
    <cellStyle name="Примечание 2 8" xfId="4658"/>
    <cellStyle name="Примечание 2 8 2" xfId="19469"/>
    <cellStyle name="Примечание 2 8 3" xfId="19470"/>
    <cellStyle name="Примечание 2 8 4" xfId="19471"/>
    <cellStyle name="Примечание 2 8 5" xfId="19472"/>
    <cellStyle name="Примечание 2 8 6" xfId="19473"/>
    <cellStyle name="Примечание 2 8 7" xfId="19474"/>
    <cellStyle name="Примечание 2 8 8" xfId="19475"/>
    <cellStyle name="Примечание 2 9" xfId="19476"/>
    <cellStyle name="Примечание 2 9 2" xfId="19477"/>
    <cellStyle name="Примечание 2 9 3" xfId="19478"/>
    <cellStyle name="Примечание 2 9 4" xfId="19479"/>
    <cellStyle name="Примечание 3" xfId="4659"/>
    <cellStyle name="Примечание 3 10" xfId="19480"/>
    <cellStyle name="Примечание 3 11" xfId="19481"/>
    <cellStyle name="Примечание 3 12" xfId="19482"/>
    <cellStyle name="Примечание 3 13" xfId="19483"/>
    <cellStyle name="Примечание 3 14" xfId="19484"/>
    <cellStyle name="Примечание 3 2" xfId="4660"/>
    <cellStyle name="Примечание 3 2 10" xfId="19485"/>
    <cellStyle name="Примечание 3 2 11" xfId="19486"/>
    <cellStyle name="Примечание 3 2 12" xfId="19487"/>
    <cellStyle name="Примечание 3 2 2" xfId="4661"/>
    <cellStyle name="Примечание 3 2 2 2" xfId="19488"/>
    <cellStyle name="Примечание 3 2 2 3" xfId="19489"/>
    <cellStyle name="Примечание 3 2 2 4" xfId="19490"/>
    <cellStyle name="Примечание 3 2 2 5" xfId="19491"/>
    <cellStyle name="Примечание 3 2 3" xfId="4662"/>
    <cellStyle name="Примечание 3 2 3 2" xfId="19492"/>
    <cellStyle name="Примечание 3 2 3 3" xfId="19493"/>
    <cellStyle name="Примечание 3 2 3 4" xfId="19494"/>
    <cellStyle name="Примечание 3 2 3 5" xfId="19495"/>
    <cellStyle name="Примечание 3 2 4" xfId="4663"/>
    <cellStyle name="Примечание 3 2 4 2" xfId="19496"/>
    <cellStyle name="Примечание 3 2 4 3" xfId="19497"/>
    <cellStyle name="Примечание 3 2 4 4" xfId="19498"/>
    <cellStyle name="Примечание 3 2 4 5" xfId="19499"/>
    <cellStyle name="Примечание 3 2 5" xfId="19500"/>
    <cellStyle name="Примечание 3 2 5 2" xfId="19501"/>
    <cellStyle name="Примечание 3 2 5 3" xfId="19502"/>
    <cellStyle name="Примечание 3 2 5 4" xfId="19503"/>
    <cellStyle name="Примечание 3 2 6" xfId="19504"/>
    <cellStyle name="Примечание 3 2 7" xfId="19505"/>
    <cellStyle name="Примечание 3 2 8" xfId="19506"/>
    <cellStyle name="Примечание 3 2 9" xfId="19507"/>
    <cellStyle name="Примечание 3 3" xfId="4664"/>
    <cellStyle name="Примечание 3 3 10" xfId="19508"/>
    <cellStyle name="Примечание 3 3 11" xfId="19509"/>
    <cellStyle name="Примечание 3 3 2" xfId="4665"/>
    <cellStyle name="Примечание 3 3 2 2" xfId="19510"/>
    <cellStyle name="Примечание 3 3 2 3" xfId="19511"/>
    <cellStyle name="Примечание 3 3 2 4" xfId="19512"/>
    <cellStyle name="Примечание 3 3 2 5" xfId="19513"/>
    <cellStyle name="Примечание 3 3 3" xfId="4666"/>
    <cellStyle name="Примечание 3 3 3 2" xfId="19514"/>
    <cellStyle name="Примечание 3 3 3 3" xfId="19515"/>
    <cellStyle name="Примечание 3 3 3 4" xfId="19516"/>
    <cellStyle name="Примечание 3 3 3 5" xfId="19517"/>
    <cellStyle name="Примечание 3 3 4" xfId="19518"/>
    <cellStyle name="Примечание 3 3 4 2" xfId="19519"/>
    <cellStyle name="Примечание 3 3 4 3" xfId="19520"/>
    <cellStyle name="Примечание 3 3 4 4" xfId="19521"/>
    <cellStyle name="Примечание 3 3 5" xfId="19522"/>
    <cellStyle name="Примечание 3 3 6" xfId="19523"/>
    <cellStyle name="Примечание 3 3 7" xfId="19524"/>
    <cellStyle name="Примечание 3 3 8" xfId="19525"/>
    <cellStyle name="Примечание 3 3 9" xfId="19526"/>
    <cellStyle name="Примечание 3 4" xfId="4667"/>
    <cellStyle name="Примечание 3 4 2" xfId="19527"/>
    <cellStyle name="Примечание 3 4 3" xfId="19528"/>
    <cellStyle name="Примечание 3 4 4" xfId="19529"/>
    <cellStyle name="Примечание 3 4 5" xfId="19530"/>
    <cellStyle name="Примечание 3 4 6" xfId="19531"/>
    <cellStyle name="Примечание 3 4 7" xfId="19532"/>
    <cellStyle name="Примечание 3 4 8" xfId="19533"/>
    <cellStyle name="Примечание 3 5" xfId="4668"/>
    <cellStyle name="Примечание 3 5 2" xfId="19534"/>
    <cellStyle name="Примечание 3 5 3" xfId="19535"/>
    <cellStyle name="Примечание 3 5 4" xfId="19536"/>
    <cellStyle name="Примечание 3 5 5" xfId="19537"/>
    <cellStyle name="Примечание 3 5 6" xfId="19538"/>
    <cellStyle name="Примечание 3 5 7" xfId="19539"/>
    <cellStyle name="Примечание 3 5 8" xfId="19540"/>
    <cellStyle name="Примечание 3 6" xfId="4669"/>
    <cellStyle name="Примечание 3 6 2" xfId="19541"/>
    <cellStyle name="Примечание 3 6 3" xfId="19542"/>
    <cellStyle name="Примечание 3 6 4" xfId="19543"/>
    <cellStyle name="Примечание 3 6 5" xfId="19544"/>
    <cellStyle name="Примечание 3 6 6" xfId="19545"/>
    <cellStyle name="Примечание 3 6 7" xfId="19546"/>
    <cellStyle name="Примечание 3 6 8" xfId="19547"/>
    <cellStyle name="Примечание 3 7" xfId="19548"/>
    <cellStyle name="Примечание 3 7 2" xfId="19549"/>
    <cellStyle name="Примечание 3 7 3" xfId="19550"/>
    <cellStyle name="Примечание 3 7 4" xfId="19551"/>
    <cellStyle name="Примечание 3 8" xfId="19552"/>
    <cellStyle name="Примечание 3 9" xfId="19553"/>
    <cellStyle name="Примечание 4" xfId="4670"/>
    <cellStyle name="Примечание 4 10" xfId="19554"/>
    <cellStyle name="Примечание 4 11" xfId="19555"/>
    <cellStyle name="Примечание 4 12" xfId="19556"/>
    <cellStyle name="Примечание 4 13" xfId="19557"/>
    <cellStyle name="Примечание 4 14" xfId="19558"/>
    <cellStyle name="Примечание 4 2" xfId="4671"/>
    <cellStyle name="Примечание 4 2 10" xfId="19559"/>
    <cellStyle name="Примечание 4 2 11" xfId="19560"/>
    <cellStyle name="Примечание 4 2 12" xfId="19561"/>
    <cellStyle name="Примечание 4 2 2" xfId="4672"/>
    <cellStyle name="Примечание 4 2 2 2" xfId="19562"/>
    <cellStyle name="Примечание 4 2 2 3" xfId="19563"/>
    <cellStyle name="Примечание 4 2 2 4" xfId="19564"/>
    <cellStyle name="Примечание 4 2 2 5" xfId="19565"/>
    <cellStyle name="Примечание 4 2 3" xfId="4673"/>
    <cellStyle name="Примечание 4 2 3 2" xfId="19566"/>
    <cellStyle name="Примечание 4 2 3 3" xfId="19567"/>
    <cellStyle name="Примечание 4 2 3 4" xfId="19568"/>
    <cellStyle name="Примечание 4 2 3 5" xfId="19569"/>
    <cellStyle name="Примечание 4 2 4" xfId="4674"/>
    <cellStyle name="Примечание 4 2 4 2" xfId="19570"/>
    <cellStyle name="Примечание 4 2 4 3" xfId="19571"/>
    <cellStyle name="Примечание 4 2 4 4" xfId="19572"/>
    <cellStyle name="Примечание 4 2 4 5" xfId="19573"/>
    <cellStyle name="Примечание 4 2 5" xfId="19574"/>
    <cellStyle name="Примечание 4 2 5 2" xfId="19575"/>
    <cellStyle name="Примечание 4 2 5 3" xfId="19576"/>
    <cellStyle name="Примечание 4 2 5 4" xfId="19577"/>
    <cellStyle name="Примечание 4 2 6" xfId="19578"/>
    <cellStyle name="Примечание 4 2 7" xfId="19579"/>
    <cellStyle name="Примечание 4 2 8" xfId="19580"/>
    <cellStyle name="Примечание 4 2 9" xfId="19581"/>
    <cellStyle name="Примечание 4 3" xfId="4675"/>
    <cellStyle name="Примечание 4 3 10" xfId="19582"/>
    <cellStyle name="Примечание 4 3 11" xfId="19583"/>
    <cellStyle name="Примечание 4 3 2" xfId="4676"/>
    <cellStyle name="Примечание 4 3 2 2" xfId="19584"/>
    <cellStyle name="Примечание 4 3 2 3" xfId="19585"/>
    <cellStyle name="Примечание 4 3 2 4" xfId="19586"/>
    <cellStyle name="Примечание 4 3 2 5" xfId="19587"/>
    <cellStyle name="Примечание 4 3 3" xfId="4677"/>
    <cellStyle name="Примечание 4 3 3 2" xfId="19588"/>
    <cellStyle name="Примечание 4 3 3 3" xfId="19589"/>
    <cellStyle name="Примечание 4 3 3 4" xfId="19590"/>
    <cellStyle name="Примечание 4 3 3 5" xfId="19591"/>
    <cellStyle name="Примечание 4 3 4" xfId="19592"/>
    <cellStyle name="Примечание 4 3 4 2" xfId="19593"/>
    <cellStyle name="Примечание 4 3 4 3" xfId="19594"/>
    <cellStyle name="Примечание 4 3 4 4" xfId="19595"/>
    <cellStyle name="Примечание 4 3 5" xfId="19596"/>
    <cellStyle name="Примечание 4 3 6" xfId="19597"/>
    <cellStyle name="Примечание 4 3 7" xfId="19598"/>
    <cellStyle name="Примечание 4 3 8" xfId="19599"/>
    <cellStyle name="Примечание 4 3 9" xfId="19600"/>
    <cellStyle name="Примечание 4 4" xfId="4678"/>
    <cellStyle name="Примечание 4 4 2" xfId="19601"/>
    <cellStyle name="Примечание 4 4 3" xfId="19602"/>
    <cellStyle name="Примечание 4 4 4" xfId="19603"/>
    <cellStyle name="Примечание 4 4 5" xfId="19604"/>
    <cellStyle name="Примечание 4 4 6" xfId="19605"/>
    <cellStyle name="Примечание 4 4 7" xfId="19606"/>
    <cellStyle name="Примечание 4 4 8" xfId="19607"/>
    <cellStyle name="Примечание 4 5" xfId="4679"/>
    <cellStyle name="Примечание 4 5 2" xfId="19608"/>
    <cellStyle name="Примечание 4 5 3" xfId="19609"/>
    <cellStyle name="Примечание 4 5 4" xfId="19610"/>
    <cellStyle name="Примечание 4 5 5" xfId="19611"/>
    <cellStyle name="Примечание 4 5 6" xfId="19612"/>
    <cellStyle name="Примечание 4 5 7" xfId="19613"/>
    <cellStyle name="Примечание 4 5 8" xfId="19614"/>
    <cellStyle name="Примечание 4 6" xfId="4680"/>
    <cellStyle name="Примечание 4 6 2" xfId="19615"/>
    <cellStyle name="Примечание 4 6 3" xfId="19616"/>
    <cellStyle name="Примечание 4 6 4" xfId="19617"/>
    <cellStyle name="Примечание 4 6 5" xfId="19618"/>
    <cellStyle name="Примечание 4 6 6" xfId="19619"/>
    <cellStyle name="Примечание 4 6 7" xfId="19620"/>
    <cellStyle name="Примечание 4 6 8" xfId="19621"/>
    <cellStyle name="Примечание 4 7" xfId="19622"/>
    <cellStyle name="Примечание 4 7 2" xfId="19623"/>
    <cellStyle name="Примечание 4 7 3" xfId="19624"/>
    <cellStyle name="Примечание 4 7 4" xfId="19625"/>
    <cellStyle name="Примечание 4 8" xfId="19626"/>
    <cellStyle name="Примечание 4 9" xfId="19627"/>
    <cellStyle name="Примечание 5" xfId="4681"/>
    <cellStyle name="Примечание 5 10" xfId="19628"/>
    <cellStyle name="Примечание 5 11" xfId="19629"/>
    <cellStyle name="Примечание 5 12" xfId="19630"/>
    <cellStyle name="Примечание 5 13" xfId="19631"/>
    <cellStyle name="Примечание 5 14" xfId="19632"/>
    <cellStyle name="Примечание 5 2" xfId="4682"/>
    <cellStyle name="Примечание 5 2 10" xfId="19633"/>
    <cellStyle name="Примечание 5 2 11" xfId="19634"/>
    <cellStyle name="Примечание 5 2 12" xfId="19635"/>
    <cellStyle name="Примечание 5 2 2" xfId="4683"/>
    <cellStyle name="Примечание 5 2 2 2" xfId="19636"/>
    <cellStyle name="Примечание 5 2 2 3" xfId="19637"/>
    <cellStyle name="Примечание 5 2 2 4" xfId="19638"/>
    <cellStyle name="Примечание 5 2 2 5" xfId="19639"/>
    <cellStyle name="Примечание 5 2 3" xfId="4684"/>
    <cellStyle name="Примечание 5 2 3 2" xfId="19640"/>
    <cellStyle name="Примечание 5 2 3 3" xfId="19641"/>
    <cellStyle name="Примечание 5 2 3 4" xfId="19642"/>
    <cellStyle name="Примечание 5 2 3 5" xfId="19643"/>
    <cellStyle name="Примечание 5 2 4" xfId="4685"/>
    <cellStyle name="Примечание 5 2 4 2" xfId="19644"/>
    <cellStyle name="Примечание 5 2 4 3" xfId="19645"/>
    <cellStyle name="Примечание 5 2 4 4" xfId="19646"/>
    <cellStyle name="Примечание 5 2 4 5" xfId="19647"/>
    <cellStyle name="Примечание 5 2 5" xfId="19648"/>
    <cellStyle name="Примечание 5 2 5 2" xfId="19649"/>
    <cellStyle name="Примечание 5 2 5 3" xfId="19650"/>
    <cellStyle name="Примечание 5 2 5 4" xfId="19651"/>
    <cellStyle name="Примечание 5 2 6" xfId="19652"/>
    <cellStyle name="Примечание 5 2 7" xfId="19653"/>
    <cellStyle name="Примечание 5 2 8" xfId="19654"/>
    <cellStyle name="Примечание 5 2 9" xfId="19655"/>
    <cellStyle name="Примечание 5 3" xfId="4686"/>
    <cellStyle name="Примечание 5 3 10" xfId="19656"/>
    <cellStyle name="Примечание 5 3 11" xfId="19657"/>
    <cellStyle name="Примечание 5 3 2" xfId="4687"/>
    <cellStyle name="Примечание 5 3 2 2" xfId="19658"/>
    <cellStyle name="Примечание 5 3 2 3" xfId="19659"/>
    <cellStyle name="Примечание 5 3 2 4" xfId="19660"/>
    <cellStyle name="Примечание 5 3 2 5" xfId="19661"/>
    <cellStyle name="Примечание 5 3 3" xfId="4688"/>
    <cellStyle name="Примечание 5 3 3 2" xfId="19662"/>
    <cellStyle name="Примечание 5 3 3 3" xfId="19663"/>
    <cellStyle name="Примечание 5 3 3 4" xfId="19664"/>
    <cellStyle name="Примечание 5 3 3 5" xfId="19665"/>
    <cellStyle name="Примечание 5 3 4" xfId="19666"/>
    <cellStyle name="Примечание 5 3 4 2" xfId="19667"/>
    <cellStyle name="Примечание 5 3 4 3" xfId="19668"/>
    <cellStyle name="Примечание 5 3 4 4" xfId="19669"/>
    <cellStyle name="Примечание 5 3 5" xfId="19670"/>
    <cellStyle name="Примечание 5 3 6" xfId="19671"/>
    <cellStyle name="Примечание 5 3 7" xfId="19672"/>
    <cellStyle name="Примечание 5 3 8" xfId="19673"/>
    <cellStyle name="Примечание 5 3 9" xfId="19674"/>
    <cellStyle name="Примечание 5 4" xfId="4689"/>
    <cellStyle name="Примечание 5 4 2" xfId="19675"/>
    <cellStyle name="Примечание 5 4 3" xfId="19676"/>
    <cellStyle name="Примечание 5 4 4" xfId="19677"/>
    <cellStyle name="Примечание 5 4 5" xfId="19678"/>
    <cellStyle name="Примечание 5 4 6" xfId="19679"/>
    <cellStyle name="Примечание 5 4 7" xfId="19680"/>
    <cellStyle name="Примечание 5 4 8" xfId="19681"/>
    <cellStyle name="Примечание 5 5" xfId="4690"/>
    <cellStyle name="Примечание 5 5 2" xfId="19682"/>
    <cellStyle name="Примечание 5 5 3" xfId="19683"/>
    <cellStyle name="Примечание 5 5 4" xfId="19684"/>
    <cellStyle name="Примечание 5 5 5" xfId="19685"/>
    <cellStyle name="Примечание 5 5 6" xfId="19686"/>
    <cellStyle name="Примечание 5 5 7" xfId="19687"/>
    <cellStyle name="Примечание 5 5 8" xfId="19688"/>
    <cellStyle name="Примечание 5 6" xfId="4691"/>
    <cellStyle name="Примечание 5 6 2" xfId="19689"/>
    <cellStyle name="Примечание 5 6 3" xfId="19690"/>
    <cellStyle name="Примечание 5 6 4" xfId="19691"/>
    <cellStyle name="Примечание 5 6 5" xfId="19692"/>
    <cellStyle name="Примечание 5 6 6" xfId="19693"/>
    <cellStyle name="Примечание 5 6 7" xfId="19694"/>
    <cellStyle name="Примечание 5 6 8" xfId="19695"/>
    <cellStyle name="Примечание 5 7" xfId="19696"/>
    <cellStyle name="Примечание 5 7 2" xfId="19697"/>
    <cellStyle name="Примечание 5 7 3" xfId="19698"/>
    <cellStyle name="Примечание 5 7 4" xfId="19699"/>
    <cellStyle name="Примечание 5 8" xfId="19700"/>
    <cellStyle name="Примечание 5 9" xfId="19701"/>
    <cellStyle name="Примечание 6" xfId="4692"/>
    <cellStyle name="Примечание 6 10" xfId="19702"/>
    <cellStyle name="Примечание 6 11" xfId="19703"/>
    <cellStyle name="Примечание 6 12" xfId="19704"/>
    <cellStyle name="Примечание 6 13" xfId="19705"/>
    <cellStyle name="Примечание 6 14" xfId="19706"/>
    <cellStyle name="Примечание 6 2" xfId="4693"/>
    <cellStyle name="Примечание 6 2 10" xfId="19707"/>
    <cellStyle name="Примечание 6 2 11" xfId="19708"/>
    <cellStyle name="Примечание 6 2 12" xfId="19709"/>
    <cellStyle name="Примечание 6 2 2" xfId="4694"/>
    <cellStyle name="Примечание 6 2 2 2" xfId="19710"/>
    <cellStyle name="Примечание 6 2 2 3" xfId="19711"/>
    <cellStyle name="Примечание 6 2 2 4" xfId="19712"/>
    <cellStyle name="Примечание 6 2 2 5" xfId="19713"/>
    <cellStyle name="Примечание 6 2 3" xfId="4695"/>
    <cellStyle name="Примечание 6 2 3 2" xfId="19714"/>
    <cellStyle name="Примечание 6 2 3 3" xfId="19715"/>
    <cellStyle name="Примечание 6 2 3 4" xfId="19716"/>
    <cellStyle name="Примечание 6 2 3 5" xfId="19717"/>
    <cellStyle name="Примечание 6 2 4" xfId="4696"/>
    <cellStyle name="Примечание 6 2 4 2" xfId="19718"/>
    <cellStyle name="Примечание 6 2 4 3" xfId="19719"/>
    <cellStyle name="Примечание 6 2 4 4" xfId="19720"/>
    <cellStyle name="Примечание 6 2 4 5" xfId="19721"/>
    <cellStyle name="Примечание 6 2 5" xfId="19722"/>
    <cellStyle name="Примечание 6 2 5 2" xfId="19723"/>
    <cellStyle name="Примечание 6 2 5 3" xfId="19724"/>
    <cellStyle name="Примечание 6 2 5 4" xfId="19725"/>
    <cellStyle name="Примечание 6 2 6" xfId="19726"/>
    <cellStyle name="Примечание 6 2 7" xfId="19727"/>
    <cellStyle name="Примечание 6 2 8" xfId="19728"/>
    <cellStyle name="Примечание 6 2 9" xfId="19729"/>
    <cellStyle name="Примечание 6 3" xfId="4697"/>
    <cellStyle name="Примечание 6 3 10" xfId="19730"/>
    <cellStyle name="Примечание 6 3 11" xfId="19731"/>
    <cellStyle name="Примечание 6 3 2" xfId="4698"/>
    <cellStyle name="Примечание 6 3 2 2" xfId="19732"/>
    <cellStyle name="Примечание 6 3 2 3" xfId="19733"/>
    <cellStyle name="Примечание 6 3 2 4" xfId="19734"/>
    <cellStyle name="Примечание 6 3 2 5" xfId="19735"/>
    <cellStyle name="Примечание 6 3 3" xfId="4699"/>
    <cellStyle name="Примечание 6 3 3 2" xfId="19736"/>
    <cellStyle name="Примечание 6 3 3 3" xfId="19737"/>
    <cellStyle name="Примечание 6 3 3 4" xfId="19738"/>
    <cellStyle name="Примечание 6 3 3 5" xfId="19739"/>
    <cellStyle name="Примечание 6 3 4" xfId="19740"/>
    <cellStyle name="Примечание 6 3 4 2" xfId="19741"/>
    <cellStyle name="Примечание 6 3 4 3" xfId="19742"/>
    <cellStyle name="Примечание 6 3 4 4" xfId="19743"/>
    <cellStyle name="Примечание 6 3 5" xfId="19744"/>
    <cellStyle name="Примечание 6 3 6" xfId="19745"/>
    <cellStyle name="Примечание 6 3 7" xfId="19746"/>
    <cellStyle name="Примечание 6 3 8" xfId="19747"/>
    <cellStyle name="Примечание 6 3 9" xfId="19748"/>
    <cellStyle name="Примечание 6 4" xfId="4700"/>
    <cellStyle name="Примечание 6 4 2" xfId="19749"/>
    <cellStyle name="Примечание 6 4 3" xfId="19750"/>
    <cellStyle name="Примечание 6 4 4" xfId="19751"/>
    <cellStyle name="Примечание 6 4 5" xfId="19752"/>
    <cellStyle name="Примечание 6 4 6" xfId="19753"/>
    <cellStyle name="Примечание 6 4 7" xfId="19754"/>
    <cellStyle name="Примечание 6 4 8" xfId="19755"/>
    <cellStyle name="Примечание 6 5" xfId="4701"/>
    <cellStyle name="Примечание 6 5 2" xfId="19756"/>
    <cellStyle name="Примечание 6 5 3" xfId="19757"/>
    <cellStyle name="Примечание 6 5 4" xfId="19758"/>
    <cellStyle name="Примечание 6 5 5" xfId="19759"/>
    <cellStyle name="Примечание 6 5 6" xfId="19760"/>
    <cellStyle name="Примечание 6 5 7" xfId="19761"/>
    <cellStyle name="Примечание 6 5 8" xfId="19762"/>
    <cellStyle name="Примечание 6 6" xfId="4702"/>
    <cellStyle name="Примечание 6 6 2" xfId="19763"/>
    <cellStyle name="Примечание 6 6 3" xfId="19764"/>
    <cellStyle name="Примечание 6 6 4" xfId="19765"/>
    <cellStyle name="Примечание 6 6 5" xfId="19766"/>
    <cellStyle name="Примечание 6 6 6" xfId="19767"/>
    <cellStyle name="Примечание 6 6 7" xfId="19768"/>
    <cellStyle name="Примечание 6 6 8" xfId="19769"/>
    <cellStyle name="Примечание 6 7" xfId="19770"/>
    <cellStyle name="Примечание 6 7 2" xfId="19771"/>
    <cellStyle name="Примечание 6 7 3" xfId="19772"/>
    <cellStyle name="Примечание 6 7 4" xfId="19773"/>
    <cellStyle name="Примечание 6 8" xfId="19774"/>
    <cellStyle name="Примечание 6 9" xfId="19775"/>
    <cellStyle name="Процентный" xfId="23907" builtinId="5"/>
    <cellStyle name="Процентный 2" xfId="4703"/>
    <cellStyle name="Процентный 2 10" xfId="4704"/>
    <cellStyle name="Процентный 2 10 10" xfId="19776"/>
    <cellStyle name="Процентный 2 10 11" xfId="19777"/>
    <cellStyle name="Процентный 2 10 12" xfId="19778"/>
    <cellStyle name="Процентный 2 10 2" xfId="4705"/>
    <cellStyle name="Процентный 2 10 2 2" xfId="19779"/>
    <cellStyle name="Процентный 2 10 2 3" xfId="19780"/>
    <cellStyle name="Процентный 2 10 2 4" xfId="19781"/>
    <cellStyle name="Процентный 2 10 2 5" xfId="19782"/>
    <cellStyle name="Процентный 2 10 2 6" xfId="19783"/>
    <cellStyle name="Процентный 2 10 2 7" xfId="19784"/>
    <cellStyle name="Процентный 2 10 2 8" xfId="19785"/>
    <cellStyle name="Процентный 2 10 2 9" xfId="19786"/>
    <cellStyle name="Процентный 2 10 3" xfId="4706"/>
    <cellStyle name="Процентный 2 10 3 2" xfId="19787"/>
    <cellStyle name="Процентный 2 10 3 3" xfId="19788"/>
    <cellStyle name="Процентный 2 10 3 4" xfId="19789"/>
    <cellStyle name="Процентный 2 10 3 5" xfId="19790"/>
    <cellStyle name="Процентный 2 10 3 6" xfId="19791"/>
    <cellStyle name="Процентный 2 10 3 7" xfId="19792"/>
    <cellStyle name="Процентный 2 10 3 8" xfId="19793"/>
    <cellStyle name="Процентный 2 10 3 9" xfId="19794"/>
    <cellStyle name="Процентный 2 10 4" xfId="4707"/>
    <cellStyle name="Процентный 2 10 4 2" xfId="19795"/>
    <cellStyle name="Процентный 2 10 4 3" xfId="19796"/>
    <cellStyle name="Процентный 2 10 4 4" xfId="19797"/>
    <cellStyle name="Процентный 2 10 4 5" xfId="19798"/>
    <cellStyle name="Процентный 2 10 4 6" xfId="19799"/>
    <cellStyle name="Процентный 2 10 4 7" xfId="19800"/>
    <cellStyle name="Процентный 2 10 4 8" xfId="19801"/>
    <cellStyle name="Процентный 2 10 4 9" xfId="19802"/>
    <cellStyle name="Процентный 2 10 5" xfId="19803"/>
    <cellStyle name="Процентный 2 10 6" xfId="19804"/>
    <cellStyle name="Процентный 2 10 7" xfId="19805"/>
    <cellStyle name="Процентный 2 10 8" xfId="19806"/>
    <cellStyle name="Процентный 2 10 9" xfId="19807"/>
    <cellStyle name="Процентный 2 11" xfId="4708"/>
    <cellStyle name="Процентный 2 11 10" xfId="19808"/>
    <cellStyle name="Процентный 2 11 11" xfId="19809"/>
    <cellStyle name="Процентный 2 11 2" xfId="4709"/>
    <cellStyle name="Процентный 2 11 2 2" xfId="19810"/>
    <cellStyle name="Процентный 2 11 2 3" xfId="19811"/>
    <cellStyle name="Процентный 2 11 2 4" xfId="19812"/>
    <cellStyle name="Процентный 2 11 2 5" xfId="19813"/>
    <cellStyle name="Процентный 2 11 2 6" xfId="19814"/>
    <cellStyle name="Процентный 2 11 2 7" xfId="19815"/>
    <cellStyle name="Процентный 2 11 2 8" xfId="19816"/>
    <cellStyle name="Процентный 2 11 2 9" xfId="19817"/>
    <cellStyle name="Процентный 2 11 3" xfId="4710"/>
    <cellStyle name="Процентный 2 11 3 2" xfId="19818"/>
    <cellStyle name="Процентный 2 11 3 3" xfId="19819"/>
    <cellStyle name="Процентный 2 11 3 4" xfId="19820"/>
    <cellStyle name="Процентный 2 11 3 5" xfId="19821"/>
    <cellStyle name="Процентный 2 11 3 6" xfId="19822"/>
    <cellStyle name="Процентный 2 11 3 7" xfId="19823"/>
    <cellStyle name="Процентный 2 11 3 8" xfId="19824"/>
    <cellStyle name="Процентный 2 11 3 9" xfId="19825"/>
    <cellStyle name="Процентный 2 11 4" xfId="19826"/>
    <cellStyle name="Процентный 2 11 5" xfId="19827"/>
    <cellStyle name="Процентный 2 11 6" xfId="19828"/>
    <cellStyle name="Процентный 2 11 7" xfId="19829"/>
    <cellStyle name="Процентный 2 11 8" xfId="19830"/>
    <cellStyle name="Процентный 2 11 9" xfId="19831"/>
    <cellStyle name="Процентный 2 12" xfId="4711"/>
    <cellStyle name="Процентный 2 12 2" xfId="19832"/>
    <cellStyle name="Процентный 2 12 3" xfId="19833"/>
    <cellStyle name="Процентный 2 12 4" xfId="19834"/>
    <cellStyle name="Процентный 2 12 5" xfId="19835"/>
    <cellStyle name="Процентный 2 12 6" xfId="19836"/>
    <cellStyle name="Процентный 2 12 7" xfId="19837"/>
    <cellStyle name="Процентный 2 12 8" xfId="19838"/>
    <cellStyle name="Процентный 2 12 9" xfId="19839"/>
    <cellStyle name="Процентный 2 13" xfId="19840"/>
    <cellStyle name="Процентный 2 14" xfId="19841"/>
    <cellStyle name="Процентный 2 15" xfId="19842"/>
    <cellStyle name="Процентный 2 16" xfId="19843"/>
    <cellStyle name="Процентный 2 17" xfId="19844"/>
    <cellStyle name="Процентный 2 18" xfId="19845"/>
    <cellStyle name="Процентный 2 19" xfId="19846"/>
    <cellStyle name="Процентный 2 2" xfId="3"/>
    <cellStyle name="Процентный 2 2 2" xfId="4712"/>
    <cellStyle name="Процентный 2 2 2 2" xfId="4713"/>
    <cellStyle name="Процентный 2 2 2 3" xfId="4714"/>
    <cellStyle name="Процентный 2 2 3" xfId="4715"/>
    <cellStyle name="Процентный 2 2 4" xfId="4716"/>
    <cellStyle name="Процентный 2 2 4 2" xfId="19847"/>
    <cellStyle name="Процентный 2 2 4 3" xfId="19848"/>
    <cellStyle name="Процентный 2 2 4 4" xfId="19849"/>
    <cellStyle name="Процентный 2 2 4 5" xfId="19850"/>
    <cellStyle name="Процентный 2 2 5" xfId="19851"/>
    <cellStyle name="Процентный 2 2 5 2" xfId="23837"/>
    <cellStyle name="Процентный 2 2 5 2 2" xfId="23901"/>
    <cellStyle name="Процентный 2 2 6" xfId="19852"/>
    <cellStyle name="Процентный 2 2 7" xfId="19853"/>
    <cellStyle name="Процентный 2 2 8" xfId="19854"/>
    <cellStyle name="Процентный 2 20" xfId="19855"/>
    <cellStyle name="Процентный 2 3" xfId="4717"/>
    <cellStyle name="Процентный 2 3 10" xfId="19856"/>
    <cellStyle name="Процентный 2 3 11" xfId="19857"/>
    <cellStyle name="Процентный 2 3 12" xfId="19858"/>
    <cellStyle name="Процентный 2 3 2" xfId="4718"/>
    <cellStyle name="Процентный 2 3 2 10" xfId="19859"/>
    <cellStyle name="Процентный 2 3 2 11" xfId="19860"/>
    <cellStyle name="Процентный 2 3 2 12" xfId="19861"/>
    <cellStyle name="Процентный 2 3 2 2" xfId="4719"/>
    <cellStyle name="Процентный 2 3 2 2 2" xfId="19862"/>
    <cellStyle name="Процентный 2 3 2 2 3" xfId="19863"/>
    <cellStyle name="Процентный 2 3 2 2 4" xfId="19864"/>
    <cellStyle name="Процентный 2 3 2 2 5" xfId="19865"/>
    <cellStyle name="Процентный 2 3 2 2 6" xfId="19866"/>
    <cellStyle name="Процентный 2 3 2 2 7" xfId="19867"/>
    <cellStyle name="Процентный 2 3 2 2 8" xfId="19868"/>
    <cellStyle name="Процентный 2 3 2 2 9" xfId="19869"/>
    <cellStyle name="Процентный 2 3 2 3" xfId="4720"/>
    <cellStyle name="Процентный 2 3 2 3 2" xfId="19870"/>
    <cellStyle name="Процентный 2 3 2 3 3" xfId="19871"/>
    <cellStyle name="Процентный 2 3 2 3 4" xfId="19872"/>
    <cellStyle name="Процентный 2 3 2 3 5" xfId="19873"/>
    <cellStyle name="Процентный 2 3 2 3 6" xfId="19874"/>
    <cellStyle name="Процентный 2 3 2 3 7" xfId="19875"/>
    <cellStyle name="Процентный 2 3 2 3 8" xfId="19876"/>
    <cellStyle name="Процентный 2 3 2 3 9" xfId="19877"/>
    <cellStyle name="Процентный 2 3 2 4" xfId="4721"/>
    <cellStyle name="Процентный 2 3 2 4 2" xfId="19878"/>
    <cellStyle name="Процентный 2 3 2 4 3" xfId="19879"/>
    <cellStyle name="Процентный 2 3 2 4 4" xfId="19880"/>
    <cellStyle name="Процентный 2 3 2 4 5" xfId="19881"/>
    <cellStyle name="Процентный 2 3 2 4 6" xfId="19882"/>
    <cellStyle name="Процентный 2 3 2 4 7" xfId="19883"/>
    <cellStyle name="Процентный 2 3 2 4 8" xfId="19884"/>
    <cellStyle name="Процентный 2 3 2 4 9" xfId="19885"/>
    <cellStyle name="Процентный 2 3 2 5" xfId="19886"/>
    <cellStyle name="Процентный 2 3 2 6" xfId="19887"/>
    <cellStyle name="Процентный 2 3 2 7" xfId="19888"/>
    <cellStyle name="Процентный 2 3 2 8" xfId="19889"/>
    <cellStyle name="Процентный 2 3 2 9" xfId="19890"/>
    <cellStyle name="Процентный 2 3 3" xfId="4722"/>
    <cellStyle name="Процентный 2 3 3 10" xfId="19891"/>
    <cellStyle name="Процентный 2 3 3 11" xfId="19892"/>
    <cellStyle name="Процентный 2 3 3 2" xfId="4723"/>
    <cellStyle name="Процентный 2 3 3 2 2" xfId="19893"/>
    <cellStyle name="Процентный 2 3 3 2 3" xfId="19894"/>
    <cellStyle name="Процентный 2 3 3 2 4" xfId="19895"/>
    <cellStyle name="Процентный 2 3 3 2 5" xfId="19896"/>
    <cellStyle name="Процентный 2 3 3 2 6" xfId="19897"/>
    <cellStyle name="Процентный 2 3 3 2 7" xfId="19898"/>
    <cellStyle name="Процентный 2 3 3 2 8" xfId="19899"/>
    <cellStyle name="Процентный 2 3 3 2 9" xfId="19900"/>
    <cellStyle name="Процентный 2 3 3 3" xfId="4724"/>
    <cellStyle name="Процентный 2 3 3 3 2" xfId="19901"/>
    <cellStyle name="Процентный 2 3 3 3 3" xfId="19902"/>
    <cellStyle name="Процентный 2 3 3 3 4" xfId="19903"/>
    <cellStyle name="Процентный 2 3 3 3 5" xfId="19904"/>
    <cellStyle name="Процентный 2 3 3 3 6" xfId="19905"/>
    <cellStyle name="Процентный 2 3 3 3 7" xfId="19906"/>
    <cellStyle name="Процентный 2 3 3 3 8" xfId="19907"/>
    <cellStyle name="Процентный 2 3 3 3 9" xfId="19908"/>
    <cellStyle name="Процентный 2 3 3 4" xfId="19909"/>
    <cellStyle name="Процентный 2 3 3 5" xfId="19910"/>
    <cellStyle name="Процентный 2 3 3 6" xfId="19911"/>
    <cellStyle name="Процентный 2 3 3 7" xfId="19912"/>
    <cellStyle name="Процентный 2 3 3 8" xfId="19913"/>
    <cellStyle name="Процентный 2 3 3 9" xfId="19914"/>
    <cellStyle name="Процентный 2 3 4" xfId="4725"/>
    <cellStyle name="Процентный 2 3 4 2" xfId="19915"/>
    <cellStyle name="Процентный 2 3 4 3" xfId="19916"/>
    <cellStyle name="Процентный 2 3 4 4" xfId="19917"/>
    <cellStyle name="Процентный 2 3 4 5" xfId="19918"/>
    <cellStyle name="Процентный 2 3 4 6" xfId="19919"/>
    <cellStyle name="Процентный 2 3 4 7" xfId="19920"/>
    <cellStyle name="Процентный 2 3 4 8" xfId="19921"/>
    <cellStyle name="Процентный 2 3 4 9" xfId="19922"/>
    <cellStyle name="Процентный 2 3 5" xfId="19923"/>
    <cellStyle name="Процентный 2 3 6" xfId="19924"/>
    <cellStyle name="Процентный 2 3 7" xfId="19925"/>
    <cellStyle name="Процентный 2 3 8" xfId="19926"/>
    <cellStyle name="Процентный 2 3 9" xfId="19927"/>
    <cellStyle name="Процентный 2 4" xfId="4726"/>
    <cellStyle name="Процентный 2 4 10" xfId="19928"/>
    <cellStyle name="Процентный 2 4 11" xfId="19929"/>
    <cellStyle name="Процентный 2 4 12" xfId="19930"/>
    <cellStyle name="Процентный 2 4 2" xfId="4727"/>
    <cellStyle name="Процентный 2 4 2 10" xfId="19931"/>
    <cellStyle name="Процентный 2 4 2 11" xfId="19932"/>
    <cellStyle name="Процентный 2 4 2 12" xfId="19933"/>
    <cellStyle name="Процентный 2 4 2 2" xfId="4728"/>
    <cellStyle name="Процентный 2 4 2 2 2" xfId="19934"/>
    <cellStyle name="Процентный 2 4 2 2 3" xfId="19935"/>
    <cellStyle name="Процентный 2 4 2 2 4" xfId="19936"/>
    <cellStyle name="Процентный 2 4 2 2 5" xfId="19937"/>
    <cellStyle name="Процентный 2 4 2 2 6" xfId="19938"/>
    <cellStyle name="Процентный 2 4 2 2 7" xfId="19939"/>
    <cellStyle name="Процентный 2 4 2 2 8" xfId="19940"/>
    <cellStyle name="Процентный 2 4 2 2 9" xfId="19941"/>
    <cellStyle name="Процентный 2 4 2 3" xfId="4729"/>
    <cellStyle name="Процентный 2 4 2 3 2" xfId="19942"/>
    <cellStyle name="Процентный 2 4 2 3 3" xfId="19943"/>
    <cellStyle name="Процентный 2 4 2 3 4" xfId="19944"/>
    <cellStyle name="Процентный 2 4 2 3 5" xfId="19945"/>
    <cellStyle name="Процентный 2 4 2 3 6" xfId="19946"/>
    <cellStyle name="Процентный 2 4 2 3 7" xfId="19947"/>
    <cellStyle name="Процентный 2 4 2 3 8" xfId="19948"/>
    <cellStyle name="Процентный 2 4 2 3 9" xfId="19949"/>
    <cellStyle name="Процентный 2 4 2 4" xfId="4730"/>
    <cellStyle name="Процентный 2 4 2 4 2" xfId="19950"/>
    <cellStyle name="Процентный 2 4 2 4 3" xfId="19951"/>
    <cellStyle name="Процентный 2 4 2 4 4" xfId="19952"/>
    <cellStyle name="Процентный 2 4 2 4 5" xfId="19953"/>
    <cellStyle name="Процентный 2 4 2 4 6" xfId="19954"/>
    <cellStyle name="Процентный 2 4 2 4 7" xfId="19955"/>
    <cellStyle name="Процентный 2 4 2 4 8" xfId="19956"/>
    <cellStyle name="Процентный 2 4 2 4 9" xfId="19957"/>
    <cellStyle name="Процентный 2 4 2 5" xfId="19958"/>
    <cellStyle name="Процентный 2 4 2 6" xfId="19959"/>
    <cellStyle name="Процентный 2 4 2 7" xfId="19960"/>
    <cellStyle name="Процентный 2 4 2 8" xfId="19961"/>
    <cellStyle name="Процентный 2 4 2 9" xfId="19962"/>
    <cellStyle name="Процентный 2 4 3" xfId="4731"/>
    <cellStyle name="Процентный 2 4 3 10" xfId="19963"/>
    <cellStyle name="Процентный 2 4 3 11" xfId="19964"/>
    <cellStyle name="Процентный 2 4 3 2" xfId="4732"/>
    <cellStyle name="Процентный 2 4 3 2 2" xfId="19965"/>
    <cellStyle name="Процентный 2 4 3 2 3" xfId="19966"/>
    <cellStyle name="Процентный 2 4 3 2 4" xfId="19967"/>
    <cellStyle name="Процентный 2 4 3 2 5" xfId="19968"/>
    <cellStyle name="Процентный 2 4 3 2 6" xfId="19969"/>
    <cellStyle name="Процентный 2 4 3 2 7" xfId="19970"/>
    <cellStyle name="Процентный 2 4 3 2 8" xfId="19971"/>
    <cellStyle name="Процентный 2 4 3 2 9" xfId="19972"/>
    <cellStyle name="Процентный 2 4 3 3" xfId="4733"/>
    <cellStyle name="Процентный 2 4 3 3 2" xfId="19973"/>
    <cellStyle name="Процентный 2 4 3 3 3" xfId="19974"/>
    <cellStyle name="Процентный 2 4 3 3 4" xfId="19975"/>
    <cellStyle name="Процентный 2 4 3 3 5" xfId="19976"/>
    <cellStyle name="Процентный 2 4 3 3 6" xfId="19977"/>
    <cellStyle name="Процентный 2 4 3 3 7" xfId="19978"/>
    <cellStyle name="Процентный 2 4 3 3 8" xfId="19979"/>
    <cellStyle name="Процентный 2 4 3 3 9" xfId="19980"/>
    <cellStyle name="Процентный 2 4 3 4" xfId="19981"/>
    <cellStyle name="Процентный 2 4 3 5" xfId="19982"/>
    <cellStyle name="Процентный 2 4 3 6" xfId="19983"/>
    <cellStyle name="Процентный 2 4 3 7" xfId="19984"/>
    <cellStyle name="Процентный 2 4 3 8" xfId="19985"/>
    <cellStyle name="Процентный 2 4 3 9" xfId="19986"/>
    <cellStyle name="Процентный 2 4 4" xfId="4734"/>
    <cellStyle name="Процентный 2 4 4 2" xfId="19987"/>
    <cellStyle name="Процентный 2 4 4 3" xfId="19988"/>
    <cellStyle name="Процентный 2 4 4 4" xfId="19989"/>
    <cellStyle name="Процентный 2 4 4 5" xfId="19990"/>
    <cellStyle name="Процентный 2 4 4 6" xfId="19991"/>
    <cellStyle name="Процентный 2 4 4 7" xfId="19992"/>
    <cellStyle name="Процентный 2 4 4 8" xfId="19993"/>
    <cellStyle name="Процентный 2 4 4 9" xfId="19994"/>
    <cellStyle name="Процентный 2 4 5" xfId="19995"/>
    <cellStyle name="Процентный 2 4 6" xfId="19996"/>
    <cellStyle name="Процентный 2 4 7" xfId="19997"/>
    <cellStyle name="Процентный 2 4 8" xfId="19998"/>
    <cellStyle name="Процентный 2 4 9" xfId="19999"/>
    <cellStyle name="Процентный 2 5" xfId="4735"/>
    <cellStyle name="Процентный 2 5 10" xfId="20000"/>
    <cellStyle name="Процентный 2 5 11" xfId="20001"/>
    <cellStyle name="Процентный 2 5 12" xfId="20002"/>
    <cellStyle name="Процентный 2 5 2" xfId="4736"/>
    <cellStyle name="Процентный 2 5 2 10" xfId="20003"/>
    <cellStyle name="Процентный 2 5 2 11" xfId="20004"/>
    <cellStyle name="Процентный 2 5 2 12" xfId="20005"/>
    <cellStyle name="Процентный 2 5 2 2" xfId="4737"/>
    <cellStyle name="Процентный 2 5 2 2 2" xfId="20006"/>
    <cellStyle name="Процентный 2 5 2 2 3" xfId="20007"/>
    <cellStyle name="Процентный 2 5 2 2 4" xfId="20008"/>
    <cellStyle name="Процентный 2 5 2 2 5" xfId="20009"/>
    <cellStyle name="Процентный 2 5 2 2 6" xfId="20010"/>
    <cellStyle name="Процентный 2 5 2 2 7" xfId="20011"/>
    <cellStyle name="Процентный 2 5 2 2 8" xfId="20012"/>
    <cellStyle name="Процентный 2 5 2 2 9" xfId="20013"/>
    <cellStyle name="Процентный 2 5 2 3" xfId="4738"/>
    <cellStyle name="Процентный 2 5 2 3 2" xfId="20014"/>
    <cellStyle name="Процентный 2 5 2 3 3" xfId="20015"/>
    <cellStyle name="Процентный 2 5 2 3 4" xfId="20016"/>
    <cellStyle name="Процентный 2 5 2 3 5" xfId="20017"/>
    <cellStyle name="Процентный 2 5 2 3 6" xfId="20018"/>
    <cellStyle name="Процентный 2 5 2 3 7" xfId="20019"/>
    <cellStyle name="Процентный 2 5 2 3 8" xfId="20020"/>
    <cellStyle name="Процентный 2 5 2 3 9" xfId="20021"/>
    <cellStyle name="Процентный 2 5 2 4" xfId="4739"/>
    <cellStyle name="Процентный 2 5 2 4 2" xfId="20022"/>
    <cellStyle name="Процентный 2 5 2 4 3" xfId="20023"/>
    <cellStyle name="Процентный 2 5 2 4 4" xfId="20024"/>
    <cellStyle name="Процентный 2 5 2 4 5" xfId="20025"/>
    <cellStyle name="Процентный 2 5 2 4 6" xfId="20026"/>
    <cellStyle name="Процентный 2 5 2 4 7" xfId="20027"/>
    <cellStyle name="Процентный 2 5 2 4 8" xfId="20028"/>
    <cellStyle name="Процентный 2 5 2 4 9" xfId="20029"/>
    <cellStyle name="Процентный 2 5 2 5" xfId="20030"/>
    <cellStyle name="Процентный 2 5 2 6" xfId="20031"/>
    <cellStyle name="Процентный 2 5 2 7" xfId="20032"/>
    <cellStyle name="Процентный 2 5 2 8" xfId="20033"/>
    <cellStyle name="Процентный 2 5 2 9" xfId="20034"/>
    <cellStyle name="Процентный 2 5 3" xfId="4740"/>
    <cellStyle name="Процентный 2 5 3 10" xfId="20035"/>
    <cellStyle name="Процентный 2 5 3 11" xfId="20036"/>
    <cellStyle name="Процентный 2 5 3 2" xfId="4741"/>
    <cellStyle name="Процентный 2 5 3 2 2" xfId="20037"/>
    <cellStyle name="Процентный 2 5 3 2 3" xfId="20038"/>
    <cellStyle name="Процентный 2 5 3 2 4" xfId="20039"/>
    <cellStyle name="Процентный 2 5 3 2 5" xfId="20040"/>
    <cellStyle name="Процентный 2 5 3 2 6" xfId="20041"/>
    <cellStyle name="Процентный 2 5 3 2 7" xfId="20042"/>
    <cellStyle name="Процентный 2 5 3 2 8" xfId="20043"/>
    <cellStyle name="Процентный 2 5 3 2 9" xfId="20044"/>
    <cellStyle name="Процентный 2 5 3 3" xfId="4742"/>
    <cellStyle name="Процентный 2 5 3 3 2" xfId="20045"/>
    <cellStyle name="Процентный 2 5 3 3 3" xfId="20046"/>
    <cellStyle name="Процентный 2 5 3 3 4" xfId="20047"/>
    <cellStyle name="Процентный 2 5 3 3 5" xfId="20048"/>
    <cellStyle name="Процентный 2 5 3 3 6" xfId="20049"/>
    <cellStyle name="Процентный 2 5 3 3 7" xfId="20050"/>
    <cellStyle name="Процентный 2 5 3 3 8" xfId="20051"/>
    <cellStyle name="Процентный 2 5 3 3 9" xfId="20052"/>
    <cellStyle name="Процентный 2 5 3 4" xfId="20053"/>
    <cellStyle name="Процентный 2 5 3 5" xfId="20054"/>
    <cellStyle name="Процентный 2 5 3 6" xfId="20055"/>
    <cellStyle name="Процентный 2 5 3 7" xfId="20056"/>
    <cellStyle name="Процентный 2 5 3 8" xfId="20057"/>
    <cellStyle name="Процентный 2 5 3 9" xfId="20058"/>
    <cellStyle name="Процентный 2 5 4" xfId="4743"/>
    <cellStyle name="Процентный 2 5 4 2" xfId="20059"/>
    <cellStyle name="Процентный 2 5 4 3" xfId="20060"/>
    <cellStyle name="Процентный 2 5 4 4" xfId="20061"/>
    <cellStyle name="Процентный 2 5 4 5" xfId="20062"/>
    <cellStyle name="Процентный 2 5 4 6" xfId="20063"/>
    <cellStyle name="Процентный 2 5 4 7" xfId="20064"/>
    <cellStyle name="Процентный 2 5 4 8" xfId="20065"/>
    <cellStyle name="Процентный 2 5 4 9" xfId="20066"/>
    <cellStyle name="Процентный 2 5 5" xfId="20067"/>
    <cellStyle name="Процентный 2 5 6" xfId="20068"/>
    <cellStyle name="Процентный 2 5 7" xfId="20069"/>
    <cellStyle name="Процентный 2 5 8" xfId="20070"/>
    <cellStyle name="Процентный 2 5 9" xfId="20071"/>
    <cellStyle name="Процентный 2 6" xfId="4744"/>
    <cellStyle name="Процентный 2 6 10" xfId="20072"/>
    <cellStyle name="Процентный 2 6 11" xfId="20073"/>
    <cellStyle name="Процентный 2 6 12" xfId="20074"/>
    <cellStyle name="Процентный 2 6 2" xfId="4745"/>
    <cellStyle name="Процентный 2 6 2 10" xfId="20075"/>
    <cellStyle name="Процентный 2 6 2 11" xfId="20076"/>
    <cellStyle name="Процентный 2 6 2 12" xfId="20077"/>
    <cellStyle name="Процентный 2 6 2 2" xfId="4746"/>
    <cellStyle name="Процентный 2 6 2 2 2" xfId="20078"/>
    <cellStyle name="Процентный 2 6 2 2 3" xfId="20079"/>
    <cellStyle name="Процентный 2 6 2 2 4" xfId="20080"/>
    <cellStyle name="Процентный 2 6 2 2 5" xfId="20081"/>
    <cellStyle name="Процентный 2 6 2 2 6" xfId="20082"/>
    <cellStyle name="Процентный 2 6 2 2 7" xfId="20083"/>
    <cellStyle name="Процентный 2 6 2 2 8" xfId="20084"/>
    <cellStyle name="Процентный 2 6 2 2 9" xfId="20085"/>
    <cellStyle name="Процентный 2 6 2 3" xfId="4747"/>
    <cellStyle name="Процентный 2 6 2 3 2" xfId="20086"/>
    <cellStyle name="Процентный 2 6 2 3 3" xfId="20087"/>
    <cellStyle name="Процентный 2 6 2 3 4" xfId="20088"/>
    <cellStyle name="Процентный 2 6 2 3 5" xfId="20089"/>
    <cellStyle name="Процентный 2 6 2 3 6" xfId="20090"/>
    <cellStyle name="Процентный 2 6 2 3 7" xfId="20091"/>
    <cellStyle name="Процентный 2 6 2 3 8" xfId="20092"/>
    <cellStyle name="Процентный 2 6 2 3 9" xfId="20093"/>
    <cellStyle name="Процентный 2 6 2 4" xfId="4748"/>
    <cellStyle name="Процентный 2 6 2 4 2" xfId="20094"/>
    <cellStyle name="Процентный 2 6 2 4 3" xfId="20095"/>
    <cellStyle name="Процентный 2 6 2 4 4" xfId="20096"/>
    <cellStyle name="Процентный 2 6 2 4 5" xfId="20097"/>
    <cellStyle name="Процентный 2 6 2 4 6" xfId="20098"/>
    <cellStyle name="Процентный 2 6 2 4 7" xfId="20099"/>
    <cellStyle name="Процентный 2 6 2 4 8" xfId="20100"/>
    <cellStyle name="Процентный 2 6 2 4 9" xfId="20101"/>
    <cellStyle name="Процентный 2 6 2 5" xfId="20102"/>
    <cellStyle name="Процентный 2 6 2 6" xfId="20103"/>
    <cellStyle name="Процентный 2 6 2 7" xfId="20104"/>
    <cellStyle name="Процентный 2 6 2 8" xfId="20105"/>
    <cellStyle name="Процентный 2 6 2 9" xfId="20106"/>
    <cellStyle name="Процентный 2 6 3" xfId="4749"/>
    <cellStyle name="Процентный 2 6 3 10" xfId="20107"/>
    <cellStyle name="Процентный 2 6 3 11" xfId="20108"/>
    <cellStyle name="Процентный 2 6 3 2" xfId="4750"/>
    <cellStyle name="Процентный 2 6 3 2 2" xfId="20109"/>
    <cellStyle name="Процентный 2 6 3 2 3" xfId="20110"/>
    <cellStyle name="Процентный 2 6 3 2 4" xfId="20111"/>
    <cellStyle name="Процентный 2 6 3 2 5" xfId="20112"/>
    <cellStyle name="Процентный 2 6 3 2 6" xfId="20113"/>
    <cellStyle name="Процентный 2 6 3 2 7" xfId="20114"/>
    <cellStyle name="Процентный 2 6 3 2 8" xfId="20115"/>
    <cellStyle name="Процентный 2 6 3 2 9" xfId="20116"/>
    <cellStyle name="Процентный 2 6 3 3" xfId="4751"/>
    <cellStyle name="Процентный 2 6 3 3 2" xfId="20117"/>
    <cellStyle name="Процентный 2 6 3 3 3" xfId="20118"/>
    <cellStyle name="Процентный 2 6 3 3 4" xfId="20119"/>
    <cellStyle name="Процентный 2 6 3 3 5" xfId="20120"/>
    <cellStyle name="Процентный 2 6 3 3 6" xfId="20121"/>
    <cellStyle name="Процентный 2 6 3 3 7" xfId="20122"/>
    <cellStyle name="Процентный 2 6 3 3 8" xfId="20123"/>
    <cellStyle name="Процентный 2 6 3 3 9" xfId="20124"/>
    <cellStyle name="Процентный 2 6 3 4" xfId="20125"/>
    <cellStyle name="Процентный 2 6 3 5" xfId="20126"/>
    <cellStyle name="Процентный 2 6 3 6" xfId="20127"/>
    <cellStyle name="Процентный 2 6 3 7" xfId="20128"/>
    <cellStyle name="Процентный 2 6 3 8" xfId="20129"/>
    <cellStyle name="Процентный 2 6 3 9" xfId="20130"/>
    <cellStyle name="Процентный 2 6 4" xfId="4752"/>
    <cellStyle name="Процентный 2 6 4 2" xfId="20131"/>
    <cellStyle name="Процентный 2 6 4 3" xfId="20132"/>
    <cellStyle name="Процентный 2 6 4 4" xfId="20133"/>
    <cellStyle name="Процентный 2 6 4 5" xfId="20134"/>
    <cellStyle name="Процентный 2 6 4 6" xfId="20135"/>
    <cellStyle name="Процентный 2 6 4 7" xfId="20136"/>
    <cellStyle name="Процентный 2 6 4 8" xfId="20137"/>
    <cellStyle name="Процентный 2 6 4 9" xfId="20138"/>
    <cellStyle name="Процентный 2 6 5" xfId="20139"/>
    <cellStyle name="Процентный 2 6 6" xfId="20140"/>
    <cellStyle name="Процентный 2 6 7" xfId="20141"/>
    <cellStyle name="Процентный 2 6 8" xfId="20142"/>
    <cellStyle name="Процентный 2 6 9" xfId="20143"/>
    <cellStyle name="Процентный 2 7" xfId="4753"/>
    <cellStyle name="Процентный 2 7 10" xfId="20144"/>
    <cellStyle name="Процентный 2 7 11" xfId="20145"/>
    <cellStyle name="Процентный 2 7 12" xfId="20146"/>
    <cellStyle name="Процентный 2 7 2" xfId="4754"/>
    <cellStyle name="Процентный 2 7 2 10" xfId="20147"/>
    <cellStyle name="Процентный 2 7 2 11" xfId="20148"/>
    <cellStyle name="Процентный 2 7 2 12" xfId="20149"/>
    <cellStyle name="Процентный 2 7 2 2" xfId="4755"/>
    <cellStyle name="Процентный 2 7 2 2 2" xfId="20150"/>
    <cellStyle name="Процентный 2 7 2 2 3" xfId="20151"/>
    <cellStyle name="Процентный 2 7 2 2 4" xfId="20152"/>
    <cellStyle name="Процентный 2 7 2 2 5" xfId="20153"/>
    <cellStyle name="Процентный 2 7 2 2 6" xfId="20154"/>
    <cellStyle name="Процентный 2 7 2 2 7" xfId="20155"/>
    <cellStyle name="Процентный 2 7 2 2 8" xfId="20156"/>
    <cellStyle name="Процентный 2 7 2 2 9" xfId="20157"/>
    <cellStyle name="Процентный 2 7 2 3" xfId="4756"/>
    <cellStyle name="Процентный 2 7 2 3 2" xfId="20158"/>
    <cellStyle name="Процентный 2 7 2 3 3" xfId="20159"/>
    <cellStyle name="Процентный 2 7 2 3 4" xfId="20160"/>
    <cellStyle name="Процентный 2 7 2 3 5" xfId="20161"/>
    <cellStyle name="Процентный 2 7 2 3 6" xfId="20162"/>
    <cellStyle name="Процентный 2 7 2 3 7" xfId="20163"/>
    <cellStyle name="Процентный 2 7 2 3 8" xfId="20164"/>
    <cellStyle name="Процентный 2 7 2 3 9" xfId="20165"/>
    <cellStyle name="Процентный 2 7 2 4" xfId="4757"/>
    <cellStyle name="Процентный 2 7 2 4 2" xfId="20166"/>
    <cellStyle name="Процентный 2 7 2 4 3" xfId="20167"/>
    <cellStyle name="Процентный 2 7 2 4 4" xfId="20168"/>
    <cellStyle name="Процентный 2 7 2 4 5" xfId="20169"/>
    <cellStyle name="Процентный 2 7 2 4 6" xfId="20170"/>
    <cellStyle name="Процентный 2 7 2 4 7" xfId="20171"/>
    <cellStyle name="Процентный 2 7 2 4 8" xfId="20172"/>
    <cellStyle name="Процентный 2 7 2 4 9" xfId="20173"/>
    <cellStyle name="Процентный 2 7 2 5" xfId="20174"/>
    <cellStyle name="Процентный 2 7 2 6" xfId="20175"/>
    <cellStyle name="Процентный 2 7 2 7" xfId="20176"/>
    <cellStyle name="Процентный 2 7 2 8" xfId="20177"/>
    <cellStyle name="Процентный 2 7 2 9" xfId="20178"/>
    <cellStyle name="Процентный 2 7 3" xfId="4758"/>
    <cellStyle name="Процентный 2 7 3 10" xfId="20179"/>
    <cellStyle name="Процентный 2 7 3 11" xfId="20180"/>
    <cellStyle name="Процентный 2 7 3 2" xfId="4759"/>
    <cellStyle name="Процентный 2 7 3 2 2" xfId="20181"/>
    <cellStyle name="Процентный 2 7 3 2 3" xfId="20182"/>
    <cellStyle name="Процентный 2 7 3 2 4" xfId="20183"/>
    <cellStyle name="Процентный 2 7 3 2 5" xfId="20184"/>
    <cellStyle name="Процентный 2 7 3 2 6" xfId="20185"/>
    <cellStyle name="Процентный 2 7 3 2 7" xfId="20186"/>
    <cellStyle name="Процентный 2 7 3 2 8" xfId="20187"/>
    <cellStyle name="Процентный 2 7 3 2 9" xfId="20188"/>
    <cellStyle name="Процентный 2 7 3 3" xfId="4760"/>
    <cellStyle name="Процентный 2 7 3 3 2" xfId="20189"/>
    <cellStyle name="Процентный 2 7 3 3 3" xfId="20190"/>
    <cellStyle name="Процентный 2 7 3 3 4" xfId="20191"/>
    <cellStyle name="Процентный 2 7 3 3 5" xfId="20192"/>
    <cellStyle name="Процентный 2 7 3 3 6" xfId="20193"/>
    <cellStyle name="Процентный 2 7 3 3 7" xfId="20194"/>
    <cellStyle name="Процентный 2 7 3 3 8" xfId="20195"/>
    <cellStyle name="Процентный 2 7 3 3 9" xfId="20196"/>
    <cellStyle name="Процентный 2 7 3 4" xfId="20197"/>
    <cellStyle name="Процентный 2 7 3 5" xfId="20198"/>
    <cellStyle name="Процентный 2 7 3 6" xfId="20199"/>
    <cellStyle name="Процентный 2 7 3 7" xfId="20200"/>
    <cellStyle name="Процентный 2 7 3 8" xfId="20201"/>
    <cellStyle name="Процентный 2 7 3 9" xfId="20202"/>
    <cellStyle name="Процентный 2 7 4" xfId="4761"/>
    <cellStyle name="Процентный 2 7 4 2" xfId="20203"/>
    <cellStyle name="Процентный 2 7 4 3" xfId="20204"/>
    <cellStyle name="Процентный 2 7 4 4" xfId="20205"/>
    <cellStyle name="Процентный 2 7 4 5" xfId="20206"/>
    <cellStyle name="Процентный 2 7 4 6" xfId="20207"/>
    <cellStyle name="Процентный 2 7 4 7" xfId="20208"/>
    <cellStyle name="Процентный 2 7 4 8" xfId="20209"/>
    <cellStyle name="Процентный 2 7 4 9" xfId="20210"/>
    <cellStyle name="Процентный 2 7 5" xfId="20211"/>
    <cellStyle name="Процентный 2 7 6" xfId="20212"/>
    <cellStyle name="Процентный 2 7 7" xfId="20213"/>
    <cellStyle name="Процентный 2 7 8" xfId="20214"/>
    <cellStyle name="Процентный 2 7 9" xfId="20215"/>
    <cellStyle name="Процентный 2 8" xfId="4762"/>
    <cellStyle name="Процентный 2 8 10" xfId="20216"/>
    <cellStyle name="Процентный 2 8 2" xfId="4763"/>
    <cellStyle name="Процентный 2 8 2 2" xfId="4764"/>
    <cellStyle name="Процентный 2 8 2 2 2" xfId="4765"/>
    <cellStyle name="Процентный 2 8 2 2 2 2" xfId="20217"/>
    <cellStyle name="Процентный 2 8 2 2 2 3" xfId="20218"/>
    <cellStyle name="Процентный 2 8 2 2 2 4" xfId="20219"/>
    <cellStyle name="Процентный 2 8 2 2 2 5" xfId="20220"/>
    <cellStyle name="Процентный 2 8 2 2 2 6" xfId="20221"/>
    <cellStyle name="Процентный 2 8 2 2 3" xfId="4766"/>
    <cellStyle name="Процентный 2 8 2 2 3 2" xfId="20222"/>
    <cellStyle name="Процентный 2 8 2 2 3 3" xfId="20223"/>
    <cellStyle name="Процентный 2 8 2 2 3 4" xfId="20224"/>
    <cellStyle name="Процентный 2 8 2 2 3 5" xfId="20225"/>
    <cellStyle name="Процентный 2 8 2 2 3 6" xfId="20226"/>
    <cellStyle name="Процентный 2 8 2 2 4" xfId="20227"/>
    <cellStyle name="Процентный 2 8 2 2 5" xfId="20228"/>
    <cellStyle name="Процентный 2 8 2 2 6" xfId="20229"/>
    <cellStyle name="Процентный 2 8 2 2 7" xfId="20230"/>
    <cellStyle name="Процентный 2 8 2 2 8" xfId="20231"/>
    <cellStyle name="Процентный 2 8 2 3" xfId="4767"/>
    <cellStyle name="Процентный 2 8 2 3 2" xfId="20232"/>
    <cellStyle name="Процентный 2 8 2 3 3" xfId="20233"/>
    <cellStyle name="Процентный 2 8 2 3 4" xfId="20234"/>
    <cellStyle name="Процентный 2 8 2 3 5" xfId="20235"/>
    <cellStyle name="Процентный 2 8 2 3 6" xfId="20236"/>
    <cellStyle name="Процентный 2 8 2 4" xfId="4768"/>
    <cellStyle name="Процентный 2 8 2 4 2" xfId="20237"/>
    <cellStyle name="Процентный 2 8 2 4 3" xfId="20238"/>
    <cellStyle name="Процентный 2 8 2 4 4" xfId="20239"/>
    <cellStyle name="Процентный 2 8 2 4 5" xfId="20240"/>
    <cellStyle name="Процентный 2 8 2 5" xfId="20241"/>
    <cellStyle name="Процентный 2 8 2 6" xfId="20242"/>
    <cellStyle name="Процентный 2 8 2 7" xfId="20243"/>
    <cellStyle name="Процентный 2 8 2 8" xfId="20244"/>
    <cellStyle name="Процентный 2 8 3" xfId="4769"/>
    <cellStyle name="Процентный 2 8 3 2" xfId="4770"/>
    <cellStyle name="Процентный 2 8 3 2 2" xfId="4771"/>
    <cellStyle name="Процентный 2 8 3 2 2 2" xfId="20245"/>
    <cellStyle name="Процентный 2 8 3 2 2 3" xfId="20246"/>
    <cellStyle name="Процентный 2 8 3 2 2 4" xfId="20247"/>
    <cellStyle name="Процентный 2 8 3 2 2 5" xfId="20248"/>
    <cellStyle name="Процентный 2 8 3 2 2 6" xfId="20249"/>
    <cellStyle name="Процентный 2 8 3 2 3" xfId="4772"/>
    <cellStyle name="Процентный 2 8 3 2 3 2" xfId="20250"/>
    <cellStyle name="Процентный 2 8 3 2 3 3" xfId="20251"/>
    <cellStyle name="Процентный 2 8 3 2 3 4" xfId="20252"/>
    <cellStyle name="Процентный 2 8 3 2 3 5" xfId="20253"/>
    <cellStyle name="Процентный 2 8 3 2 3 6" xfId="20254"/>
    <cellStyle name="Процентный 2 8 3 2 4" xfId="20255"/>
    <cellStyle name="Процентный 2 8 3 2 5" xfId="20256"/>
    <cellStyle name="Процентный 2 8 3 2 6" xfId="20257"/>
    <cellStyle name="Процентный 2 8 3 2 7" xfId="20258"/>
    <cellStyle name="Процентный 2 8 3 2 8" xfId="20259"/>
    <cellStyle name="Процентный 2 8 3 3" xfId="4773"/>
    <cellStyle name="Процентный 2 8 3 3 2" xfId="20260"/>
    <cellStyle name="Процентный 2 8 3 3 3" xfId="20261"/>
    <cellStyle name="Процентный 2 8 3 3 4" xfId="20262"/>
    <cellStyle name="Процентный 2 8 3 3 5" xfId="20263"/>
    <cellStyle name="Процентный 2 8 3 3 6" xfId="20264"/>
    <cellStyle name="Процентный 2 8 3 4" xfId="4774"/>
    <cellStyle name="Процентный 2 8 3 4 2" xfId="20265"/>
    <cellStyle name="Процентный 2 8 3 4 3" xfId="20266"/>
    <cellStyle name="Процентный 2 8 3 4 4" xfId="20267"/>
    <cellStyle name="Процентный 2 8 3 4 5" xfId="20268"/>
    <cellStyle name="Процентный 2 8 3 5" xfId="20269"/>
    <cellStyle name="Процентный 2 8 3 6" xfId="20270"/>
    <cellStyle name="Процентный 2 8 3 7" xfId="20271"/>
    <cellStyle name="Процентный 2 8 3 8" xfId="20272"/>
    <cellStyle name="Процентный 2 8 4" xfId="4775"/>
    <cellStyle name="Процентный 2 8 4 2" xfId="4776"/>
    <cellStyle name="Процентный 2 8 4 3" xfId="4777"/>
    <cellStyle name="Процентный 2 8 5" xfId="4778"/>
    <cellStyle name="Процентный 2 8 6" xfId="4779"/>
    <cellStyle name="Процентный 2 8 6 2" xfId="20273"/>
    <cellStyle name="Процентный 2 8 6 3" xfId="20274"/>
    <cellStyle name="Процентный 2 8 6 4" xfId="20275"/>
    <cellStyle name="Процентный 2 8 6 5" xfId="20276"/>
    <cellStyle name="Процентный 2 8 7" xfId="20277"/>
    <cellStyle name="Процентный 2 8 8" xfId="20278"/>
    <cellStyle name="Процентный 2 8 9" xfId="20279"/>
    <cellStyle name="Процентный 2 9" xfId="4780"/>
    <cellStyle name="Процентный 2 9 2" xfId="4781"/>
    <cellStyle name="Процентный 2 9 2 2" xfId="4782"/>
    <cellStyle name="Процентный 2 9 2 3" xfId="4783"/>
    <cellStyle name="Процентный 2 9 3" xfId="4784"/>
    <cellStyle name="Процентный 2 9 4" xfId="4785"/>
    <cellStyle name="Процентный 2 9 4 2" xfId="20280"/>
    <cellStyle name="Процентный 2 9 4 3" xfId="20281"/>
    <cellStyle name="Процентный 2 9 4 4" xfId="20282"/>
    <cellStyle name="Процентный 2 9 4 5" xfId="20283"/>
    <cellStyle name="Процентный 2 9 5" xfId="20284"/>
    <cellStyle name="Процентный 2 9 6" xfId="20285"/>
    <cellStyle name="Процентный 2 9 7" xfId="20286"/>
    <cellStyle name="Процентный 2 9 8" xfId="20287"/>
    <cellStyle name="Процентный 3" xfId="4786"/>
    <cellStyle name="Процентный 3 10" xfId="20288"/>
    <cellStyle name="Процентный 3 11" xfId="20289"/>
    <cellStyle name="Процентный 3 12" xfId="20290"/>
    <cellStyle name="Процентный 3 13" xfId="20291"/>
    <cellStyle name="Процентный 3 14" xfId="20292"/>
    <cellStyle name="Процентный 3 15" xfId="20293"/>
    <cellStyle name="Процентный 3 2" xfId="4787"/>
    <cellStyle name="Процентный 3 2 10" xfId="20294"/>
    <cellStyle name="Процентный 3 2 2" xfId="4788"/>
    <cellStyle name="Процентный 3 2 2 2" xfId="4789"/>
    <cellStyle name="Процентный 3 2 2 2 2" xfId="4790"/>
    <cellStyle name="Процентный 3 2 2 2 3" xfId="4791"/>
    <cellStyle name="Процентный 3 2 2 3" xfId="4792"/>
    <cellStyle name="Процентный 3 2 2 4" xfId="4793"/>
    <cellStyle name="Процентный 3 2 2 4 2" xfId="20295"/>
    <cellStyle name="Процентный 3 2 2 4 3" xfId="20296"/>
    <cellStyle name="Процентный 3 2 2 4 4" xfId="20297"/>
    <cellStyle name="Процентный 3 2 2 4 5" xfId="20298"/>
    <cellStyle name="Процентный 3 2 2 5" xfId="20299"/>
    <cellStyle name="Процентный 3 2 2 6" xfId="20300"/>
    <cellStyle name="Процентный 3 2 2 7" xfId="20301"/>
    <cellStyle name="Процентный 3 2 2 8" xfId="20302"/>
    <cellStyle name="Процентный 3 2 3" xfId="4794"/>
    <cellStyle name="Процентный 3 2 3 10" xfId="20303"/>
    <cellStyle name="Процентный 3 2 3 11" xfId="20304"/>
    <cellStyle name="Процентный 3 2 3 12" xfId="20305"/>
    <cellStyle name="Процентный 3 2 3 2" xfId="4795"/>
    <cellStyle name="Процентный 3 2 3 2 10" xfId="20306"/>
    <cellStyle name="Процентный 3 2 3 2 11" xfId="20307"/>
    <cellStyle name="Процентный 3 2 3 2 12" xfId="20308"/>
    <cellStyle name="Процентный 3 2 3 2 2" xfId="4796"/>
    <cellStyle name="Процентный 3 2 3 2 2 2" xfId="20309"/>
    <cellStyle name="Процентный 3 2 3 2 2 3" xfId="20310"/>
    <cellStyle name="Процентный 3 2 3 2 2 4" xfId="20311"/>
    <cellStyle name="Процентный 3 2 3 2 2 5" xfId="20312"/>
    <cellStyle name="Процентный 3 2 3 2 2 6" xfId="20313"/>
    <cellStyle name="Процентный 3 2 3 2 2 7" xfId="20314"/>
    <cellStyle name="Процентный 3 2 3 2 2 8" xfId="20315"/>
    <cellStyle name="Процентный 3 2 3 2 2 9" xfId="20316"/>
    <cellStyle name="Процентный 3 2 3 2 3" xfId="4797"/>
    <cellStyle name="Процентный 3 2 3 2 3 2" xfId="20317"/>
    <cellStyle name="Процентный 3 2 3 2 3 3" xfId="20318"/>
    <cellStyle name="Процентный 3 2 3 2 3 4" xfId="20319"/>
    <cellStyle name="Процентный 3 2 3 2 3 5" xfId="20320"/>
    <cellStyle name="Процентный 3 2 3 2 3 6" xfId="20321"/>
    <cellStyle name="Процентный 3 2 3 2 3 7" xfId="20322"/>
    <cellStyle name="Процентный 3 2 3 2 3 8" xfId="20323"/>
    <cellStyle name="Процентный 3 2 3 2 3 9" xfId="20324"/>
    <cellStyle name="Процентный 3 2 3 2 4" xfId="4798"/>
    <cellStyle name="Процентный 3 2 3 2 4 2" xfId="20325"/>
    <cellStyle name="Процентный 3 2 3 2 4 3" xfId="20326"/>
    <cellStyle name="Процентный 3 2 3 2 4 4" xfId="20327"/>
    <cellStyle name="Процентный 3 2 3 2 4 5" xfId="20328"/>
    <cellStyle name="Процентный 3 2 3 2 4 6" xfId="20329"/>
    <cellStyle name="Процентный 3 2 3 2 4 7" xfId="20330"/>
    <cellStyle name="Процентный 3 2 3 2 4 8" xfId="20331"/>
    <cellStyle name="Процентный 3 2 3 2 4 9" xfId="20332"/>
    <cellStyle name="Процентный 3 2 3 2 5" xfId="20333"/>
    <cellStyle name="Процентный 3 2 3 2 6" xfId="20334"/>
    <cellStyle name="Процентный 3 2 3 2 7" xfId="20335"/>
    <cellStyle name="Процентный 3 2 3 2 8" xfId="20336"/>
    <cellStyle name="Процентный 3 2 3 2 9" xfId="20337"/>
    <cellStyle name="Процентный 3 2 3 3" xfId="4799"/>
    <cellStyle name="Процентный 3 2 3 3 10" xfId="20338"/>
    <cellStyle name="Процентный 3 2 3 3 11" xfId="20339"/>
    <cellStyle name="Процентный 3 2 3 3 2" xfId="4800"/>
    <cellStyle name="Процентный 3 2 3 3 2 2" xfId="20340"/>
    <cellStyle name="Процентный 3 2 3 3 2 3" xfId="20341"/>
    <cellStyle name="Процентный 3 2 3 3 2 4" xfId="20342"/>
    <cellStyle name="Процентный 3 2 3 3 2 5" xfId="20343"/>
    <cellStyle name="Процентный 3 2 3 3 2 6" xfId="20344"/>
    <cellStyle name="Процентный 3 2 3 3 2 7" xfId="20345"/>
    <cellStyle name="Процентный 3 2 3 3 2 8" xfId="20346"/>
    <cellStyle name="Процентный 3 2 3 3 2 9" xfId="20347"/>
    <cellStyle name="Процентный 3 2 3 3 3" xfId="4801"/>
    <cellStyle name="Процентный 3 2 3 3 3 2" xfId="20348"/>
    <cellStyle name="Процентный 3 2 3 3 3 3" xfId="20349"/>
    <cellStyle name="Процентный 3 2 3 3 3 4" xfId="20350"/>
    <cellStyle name="Процентный 3 2 3 3 3 5" xfId="20351"/>
    <cellStyle name="Процентный 3 2 3 3 3 6" xfId="20352"/>
    <cellStyle name="Процентный 3 2 3 3 3 7" xfId="20353"/>
    <cellStyle name="Процентный 3 2 3 3 3 8" xfId="20354"/>
    <cellStyle name="Процентный 3 2 3 3 3 9" xfId="20355"/>
    <cellStyle name="Процентный 3 2 3 3 4" xfId="20356"/>
    <cellStyle name="Процентный 3 2 3 3 5" xfId="20357"/>
    <cellStyle name="Процентный 3 2 3 3 6" xfId="20358"/>
    <cellStyle name="Процентный 3 2 3 3 7" xfId="20359"/>
    <cellStyle name="Процентный 3 2 3 3 8" xfId="20360"/>
    <cellStyle name="Процентный 3 2 3 3 9" xfId="20361"/>
    <cellStyle name="Процентный 3 2 3 4" xfId="4802"/>
    <cellStyle name="Процентный 3 2 3 4 2" xfId="20362"/>
    <cellStyle name="Процентный 3 2 3 4 3" xfId="20363"/>
    <cellStyle name="Процентный 3 2 3 4 4" xfId="20364"/>
    <cellStyle name="Процентный 3 2 3 4 5" xfId="20365"/>
    <cellStyle name="Процентный 3 2 3 4 6" xfId="20366"/>
    <cellStyle name="Процентный 3 2 3 4 7" xfId="20367"/>
    <cellStyle name="Процентный 3 2 3 4 8" xfId="20368"/>
    <cellStyle name="Процентный 3 2 3 4 9" xfId="20369"/>
    <cellStyle name="Процентный 3 2 3 5" xfId="20370"/>
    <cellStyle name="Процентный 3 2 3 6" xfId="20371"/>
    <cellStyle name="Процентный 3 2 3 7" xfId="20372"/>
    <cellStyle name="Процентный 3 2 3 8" xfId="20373"/>
    <cellStyle name="Процентный 3 2 3 9" xfId="20374"/>
    <cellStyle name="Процентный 3 2 4" xfId="4803"/>
    <cellStyle name="Процентный 3 2 4 2" xfId="4804"/>
    <cellStyle name="Процентный 3 2 4 3" xfId="4805"/>
    <cellStyle name="Процентный 3 2 5" xfId="4806"/>
    <cellStyle name="Процентный 3 2 6" xfId="4807"/>
    <cellStyle name="Процентный 3 2 6 2" xfId="20375"/>
    <cellStyle name="Процентный 3 2 6 3" xfId="20376"/>
    <cellStyle name="Процентный 3 2 6 4" xfId="20377"/>
    <cellStyle name="Процентный 3 2 6 5" xfId="20378"/>
    <cellStyle name="Процентный 3 2 7" xfId="20379"/>
    <cellStyle name="Процентный 3 2 8" xfId="20380"/>
    <cellStyle name="Процентный 3 2 9" xfId="20381"/>
    <cellStyle name="Процентный 3 3" xfId="4808"/>
    <cellStyle name="Процентный 3 3 2" xfId="4809"/>
    <cellStyle name="Процентный 3 3 2 2" xfId="4810"/>
    <cellStyle name="Процентный 3 3 2 3" xfId="4811"/>
    <cellStyle name="Процентный 3 3 3" xfId="4812"/>
    <cellStyle name="Процентный 3 3 4" xfId="4813"/>
    <cellStyle name="Процентный 3 3 4 2" xfId="20382"/>
    <cellStyle name="Процентный 3 3 4 3" xfId="20383"/>
    <cellStyle name="Процентный 3 3 4 4" xfId="20384"/>
    <cellStyle name="Процентный 3 3 4 5" xfId="20385"/>
    <cellStyle name="Процентный 3 3 5" xfId="20386"/>
    <cellStyle name="Процентный 3 3 6" xfId="20387"/>
    <cellStyle name="Процентный 3 3 7" xfId="20388"/>
    <cellStyle name="Процентный 3 3 8" xfId="20389"/>
    <cellStyle name="Процентный 3 4" xfId="4814"/>
    <cellStyle name="Процентный 3 4 2" xfId="4815"/>
    <cellStyle name="Процентный 3 4 2 2" xfId="4816"/>
    <cellStyle name="Процентный 3 4 2 3" xfId="4817"/>
    <cellStyle name="Процентный 3 4 3" xfId="4818"/>
    <cellStyle name="Процентный 3 4 4" xfId="4819"/>
    <cellStyle name="Процентный 3 4 4 2" xfId="20390"/>
    <cellStyle name="Процентный 3 4 4 3" xfId="20391"/>
    <cellStyle name="Процентный 3 4 4 4" xfId="20392"/>
    <cellStyle name="Процентный 3 4 4 5" xfId="20393"/>
    <cellStyle name="Процентный 3 4 5" xfId="20394"/>
    <cellStyle name="Процентный 3 4 6" xfId="20395"/>
    <cellStyle name="Процентный 3 4 7" xfId="20396"/>
    <cellStyle name="Процентный 3 4 8" xfId="20397"/>
    <cellStyle name="Процентный 3 5" xfId="4820"/>
    <cellStyle name="Процентный 3 5 10" xfId="20398"/>
    <cellStyle name="Процентный 3 5 11" xfId="20399"/>
    <cellStyle name="Процентный 3 5 12" xfId="20400"/>
    <cellStyle name="Процентный 3 5 2" xfId="4821"/>
    <cellStyle name="Процентный 3 5 2 2" xfId="20401"/>
    <cellStyle name="Процентный 3 5 2 3" xfId="20402"/>
    <cellStyle name="Процентный 3 5 2 4" xfId="20403"/>
    <cellStyle name="Процентный 3 5 2 5" xfId="20404"/>
    <cellStyle name="Процентный 3 5 2 6" xfId="20405"/>
    <cellStyle name="Процентный 3 5 2 7" xfId="20406"/>
    <cellStyle name="Процентный 3 5 2 8" xfId="20407"/>
    <cellStyle name="Процентный 3 5 2 9" xfId="20408"/>
    <cellStyle name="Процентный 3 5 3" xfId="4822"/>
    <cellStyle name="Процентный 3 5 3 2" xfId="20409"/>
    <cellStyle name="Процентный 3 5 3 3" xfId="20410"/>
    <cellStyle name="Процентный 3 5 3 4" xfId="20411"/>
    <cellStyle name="Процентный 3 5 3 5" xfId="20412"/>
    <cellStyle name="Процентный 3 5 3 6" xfId="20413"/>
    <cellStyle name="Процентный 3 5 3 7" xfId="20414"/>
    <cellStyle name="Процентный 3 5 3 8" xfId="20415"/>
    <cellStyle name="Процентный 3 5 3 9" xfId="20416"/>
    <cellStyle name="Процентный 3 5 4" xfId="4823"/>
    <cellStyle name="Процентный 3 5 4 2" xfId="20417"/>
    <cellStyle name="Процентный 3 5 4 3" xfId="20418"/>
    <cellStyle name="Процентный 3 5 4 4" xfId="20419"/>
    <cellStyle name="Процентный 3 5 4 5" xfId="20420"/>
    <cellStyle name="Процентный 3 5 4 6" xfId="20421"/>
    <cellStyle name="Процентный 3 5 4 7" xfId="20422"/>
    <cellStyle name="Процентный 3 5 4 8" xfId="20423"/>
    <cellStyle name="Процентный 3 5 4 9" xfId="20424"/>
    <cellStyle name="Процентный 3 5 5" xfId="20425"/>
    <cellStyle name="Процентный 3 5 6" xfId="20426"/>
    <cellStyle name="Процентный 3 5 7" xfId="20427"/>
    <cellStyle name="Процентный 3 5 8" xfId="20428"/>
    <cellStyle name="Процентный 3 5 9" xfId="20429"/>
    <cellStyle name="Процентный 3 6" xfId="4824"/>
    <cellStyle name="Процентный 3 6 10" xfId="20430"/>
    <cellStyle name="Процентный 3 6 11" xfId="20431"/>
    <cellStyle name="Процентный 3 6 2" xfId="4825"/>
    <cellStyle name="Процентный 3 6 2 2" xfId="20432"/>
    <cellStyle name="Процентный 3 6 2 3" xfId="20433"/>
    <cellStyle name="Процентный 3 6 2 4" xfId="20434"/>
    <cellStyle name="Процентный 3 6 2 5" xfId="20435"/>
    <cellStyle name="Процентный 3 6 2 6" xfId="20436"/>
    <cellStyle name="Процентный 3 6 2 7" xfId="20437"/>
    <cellStyle name="Процентный 3 6 2 8" xfId="20438"/>
    <cellStyle name="Процентный 3 6 2 9" xfId="20439"/>
    <cellStyle name="Процентный 3 6 3" xfId="4826"/>
    <cellStyle name="Процентный 3 6 3 2" xfId="20440"/>
    <cellStyle name="Процентный 3 6 3 3" xfId="20441"/>
    <cellStyle name="Процентный 3 6 3 4" xfId="20442"/>
    <cellStyle name="Процентный 3 6 3 5" xfId="20443"/>
    <cellStyle name="Процентный 3 6 3 6" xfId="20444"/>
    <cellStyle name="Процентный 3 6 3 7" xfId="20445"/>
    <cellStyle name="Процентный 3 6 3 8" xfId="20446"/>
    <cellStyle name="Процентный 3 6 3 9" xfId="20447"/>
    <cellStyle name="Процентный 3 6 4" xfId="20448"/>
    <cellStyle name="Процентный 3 6 5" xfId="20449"/>
    <cellStyle name="Процентный 3 6 6" xfId="20450"/>
    <cellStyle name="Процентный 3 6 7" xfId="20451"/>
    <cellStyle name="Процентный 3 6 8" xfId="20452"/>
    <cellStyle name="Процентный 3 6 9" xfId="20453"/>
    <cellStyle name="Процентный 3 7" xfId="4827"/>
    <cellStyle name="Процентный 3 7 2" xfId="20454"/>
    <cellStyle name="Процентный 3 7 3" xfId="20455"/>
    <cellStyle name="Процентный 3 7 4" xfId="20456"/>
    <cellStyle name="Процентный 3 7 5" xfId="20457"/>
    <cellStyle name="Процентный 3 7 6" xfId="20458"/>
    <cellStyle name="Процентный 3 7 7" xfId="20459"/>
    <cellStyle name="Процентный 3 7 8" xfId="20460"/>
    <cellStyle name="Процентный 3 7 9" xfId="20461"/>
    <cellStyle name="Процентный 3 8" xfId="20462"/>
    <cellStyle name="Процентный 3 9" xfId="20463"/>
    <cellStyle name="Процентный 4" xfId="4828"/>
    <cellStyle name="Процентный 4 2" xfId="4829"/>
    <cellStyle name="Процентный 4 2 2" xfId="4830"/>
    <cellStyle name="Процентный 4 2 3" xfId="4831"/>
    <cellStyle name="Процентный 4 3" xfId="4832"/>
    <cellStyle name="Процентный 4 4" xfId="4833"/>
    <cellStyle name="Процентный 4 4 2" xfId="20464"/>
    <cellStyle name="Процентный 4 4 3" xfId="20465"/>
    <cellStyle name="Процентный 4 4 4" xfId="20466"/>
    <cellStyle name="Процентный 4 4 5" xfId="20467"/>
    <cellStyle name="Процентный 4 5" xfId="20468"/>
    <cellStyle name="Процентный 4 6" xfId="20469"/>
    <cellStyle name="Процентный 4 7" xfId="20470"/>
    <cellStyle name="Процентный 4 8" xfId="20471"/>
    <cellStyle name="Связанная ячейка 2" xfId="4834"/>
    <cellStyle name="Связанная ячейка 2 2" xfId="4835"/>
    <cellStyle name="Связанная ячейка 2 2 2" xfId="4836"/>
    <cellStyle name="Связанная ячейка 2 2 2 2" xfId="4837"/>
    <cellStyle name="Связанная ячейка 2 2 2 3" xfId="4838"/>
    <cellStyle name="Связанная ячейка 2 2 3" xfId="4839"/>
    <cellStyle name="Связанная ячейка 2 2 4" xfId="4840"/>
    <cellStyle name="Связанная ячейка 2 2 4 2" xfId="20472"/>
    <cellStyle name="Связанная ячейка 2 2 4 3" xfId="20473"/>
    <cellStyle name="Связанная ячейка 2 2 4 4" xfId="20474"/>
    <cellStyle name="Связанная ячейка 2 2 4 5" xfId="20475"/>
    <cellStyle name="Связанная ячейка 2 2 5" xfId="20476"/>
    <cellStyle name="Связанная ячейка 2 2 6" xfId="20477"/>
    <cellStyle name="Связанная ячейка 2 2 7" xfId="20478"/>
    <cellStyle name="Связанная ячейка 2 2 8" xfId="20479"/>
    <cellStyle name="Связанная ячейка 2 3" xfId="4841"/>
    <cellStyle name="Связанная ячейка 2 3 2" xfId="4842"/>
    <cellStyle name="Связанная ячейка 2 3 2 2" xfId="20480"/>
    <cellStyle name="Связанная ячейка 2 3 2 3" xfId="20481"/>
    <cellStyle name="Связанная ячейка 2 3 2 4" xfId="20482"/>
    <cellStyle name="Связанная ячейка 2 3 2 5" xfId="20483"/>
    <cellStyle name="Связанная ячейка 2 3 2 6" xfId="20484"/>
    <cellStyle name="Связанная ячейка 2 3 3" xfId="4843"/>
    <cellStyle name="Связанная ячейка 2 3 3 2" xfId="20485"/>
    <cellStyle name="Связанная ячейка 2 3 3 3" xfId="20486"/>
    <cellStyle name="Связанная ячейка 2 3 3 4" xfId="20487"/>
    <cellStyle name="Связанная ячейка 2 3 3 5" xfId="20488"/>
    <cellStyle name="Связанная ячейка 2 3 3 6" xfId="20489"/>
    <cellStyle name="Связанная ячейка 2 3 4" xfId="20490"/>
    <cellStyle name="Связанная ячейка 2 3 5" xfId="20491"/>
    <cellStyle name="Связанная ячейка 2 3 6" xfId="20492"/>
    <cellStyle name="Связанная ячейка 2 3 7" xfId="20493"/>
    <cellStyle name="Связанная ячейка 2 3 8" xfId="20494"/>
    <cellStyle name="Связанная ячейка 2 4" xfId="4844"/>
    <cellStyle name="Связанная ячейка 2 4 2" xfId="20495"/>
    <cellStyle name="Связанная ячейка 2 4 3" xfId="20496"/>
    <cellStyle name="Связанная ячейка 2 4 4" xfId="20497"/>
    <cellStyle name="Связанная ячейка 2 4 5" xfId="20498"/>
    <cellStyle name="Связанная ячейка 2 4 6" xfId="20499"/>
    <cellStyle name="Связанная ячейка 2 5" xfId="4845"/>
    <cellStyle name="Связанная ячейка 2 5 2" xfId="20500"/>
    <cellStyle name="Связанная ячейка 2 5 3" xfId="20501"/>
    <cellStyle name="Связанная ячейка 2 5 4" xfId="20502"/>
    <cellStyle name="Связанная ячейка 2 5 5" xfId="20503"/>
    <cellStyle name="Связанная ячейка 2 6" xfId="20504"/>
    <cellStyle name="Связанная ячейка 2 7" xfId="20505"/>
    <cellStyle name="Связанная ячейка 2 8" xfId="20506"/>
    <cellStyle name="Связанная ячейка 2 9" xfId="20507"/>
    <cellStyle name="Связанная ячейка 3" xfId="4846"/>
    <cellStyle name="Связанная ячейка 3 2" xfId="4847"/>
    <cellStyle name="Связанная ячейка 3 2 2" xfId="4848"/>
    <cellStyle name="Связанная ячейка 3 2 2 2" xfId="20508"/>
    <cellStyle name="Связанная ячейка 3 2 2 3" xfId="20509"/>
    <cellStyle name="Связанная ячейка 3 2 2 4" xfId="20510"/>
    <cellStyle name="Связанная ячейка 3 2 2 5" xfId="20511"/>
    <cellStyle name="Связанная ячейка 3 2 2 6" xfId="20512"/>
    <cellStyle name="Связанная ячейка 3 2 3" xfId="4849"/>
    <cellStyle name="Связанная ячейка 3 2 3 2" xfId="20513"/>
    <cellStyle name="Связанная ячейка 3 2 3 3" xfId="20514"/>
    <cellStyle name="Связанная ячейка 3 2 3 4" xfId="20515"/>
    <cellStyle name="Связанная ячейка 3 2 3 5" xfId="20516"/>
    <cellStyle name="Связанная ячейка 3 2 3 6" xfId="20517"/>
    <cellStyle name="Связанная ячейка 3 2 4" xfId="20518"/>
    <cellStyle name="Связанная ячейка 3 2 5" xfId="20519"/>
    <cellStyle name="Связанная ячейка 3 2 6" xfId="20520"/>
    <cellStyle name="Связанная ячейка 3 2 7" xfId="20521"/>
    <cellStyle name="Связанная ячейка 3 2 8" xfId="20522"/>
    <cellStyle name="Связанная ячейка 3 3" xfId="4850"/>
    <cellStyle name="Связанная ячейка 3 3 2" xfId="20523"/>
    <cellStyle name="Связанная ячейка 3 3 3" xfId="20524"/>
    <cellStyle name="Связанная ячейка 3 3 4" xfId="20525"/>
    <cellStyle name="Связанная ячейка 3 3 5" xfId="20526"/>
    <cellStyle name="Связанная ячейка 3 3 6" xfId="20527"/>
    <cellStyle name="Связанная ячейка 3 4" xfId="4851"/>
    <cellStyle name="Связанная ячейка 3 4 2" xfId="20528"/>
    <cellStyle name="Связанная ячейка 3 4 3" xfId="20529"/>
    <cellStyle name="Связанная ячейка 3 4 4" xfId="20530"/>
    <cellStyle name="Связанная ячейка 3 4 5" xfId="20531"/>
    <cellStyle name="Связанная ячейка 3 5" xfId="20532"/>
    <cellStyle name="Связанная ячейка 3 6" xfId="20533"/>
    <cellStyle name="Связанная ячейка 3 7" xfId="20534"/>
    <cellStyle name="Связанная ячейка 3 8" xfId="20535"/>
    <cellStyle name="Связанная ячейка 4" xfId="4852"/>
    <cellStyle name="Связанная ячейка 4 2" xfId="4853"/>
    <cellStyle name="Связанная ячейка 4 2 2" xfId="4854"/>
    <cellStyle name="Связанная ячейка 4 2 2 2" xfId="20536"/>
    <cellStyle name="Связанная ячейка 4 2 2 3" xfId="20537"/>
    <cellStyle name="Связанная ячейка 4 2 2 4" xfId="20538"/>
    <cellStyle name="Связанная ячейка 4 2 2 5" xfId="20539"/>
    <cellStyle name="Связанная ячейка 4 2 2 6" xfId="20540"/>
    <cellStyle name="Связанная ячейка 4 2 3" xfId="4855"/>
    <cellStyle name="Связанная ячейка 4 2 3 2" xfId="20541"/>
    <cellStyle name="Связанная ячейка 4 2 3 3" xfId="20542"/>
    <cellStyle name="Связанная ячейка 4 2 3 4" xfId="20543"/>
    <cellStyle name="Связанная ячейка 4 2 3 5" xfId="20544"/>
    <cellStyle name="Связанная ячейка 4 2 3 6" xfId="20545"/>
    <cellStyle name="Связанная ячейка 4 2 4" xfId="20546"/>
    <cellStyle name="Связанная ячейка 4 2 5" xfId="20547"/>
    <cellStyle name="Связанная ячейка 4 2 6" xfId="20548"/>
    <cellStyle name="Связанная ячейка 4 2 7" xfId="20549"/>
    <cellStyle name="Связанная ячейка 4 2 8" xfId="20550"/>
    <cellStyle name="Связанная ячейка 4 3" xfId="4856"/>
    <cellStyle name="Связанная ячейка 4 3 2" xfId="20551"/>
    <cellStyle name="Связанная ячейка 4 3 3" xfId="20552"/>
    <cellStyle name="Связанная ячейка 4 3 4" xfId="20553"/>
    <cellStyle name="Связанная ячейка 4 3 5" xfId="20554"/>
    <cellStyle name="Связанная ячейка 4 3 6" xfId="20555"/>
    <cellStyle name="Связанная ячейка 4 4" xfId="4857"/>
    <cellStyle name="Связанная ячейка 4 4 2" xfId="20556"/>
    <cellStyle name="Связанная ячейка 4 4 3" xfId="20557"/>
    <cellStyle name="Связанная ячейка 4 4 4" xfId="20558"/>
    <cellStyle name="Связанная ячейка 4 4 5" xfId="20559"/>
    <cellStyle name="Связанная ячейка 4 5" xfId="20560"/>
    <cellStyle name="Связанная ячейка 4 6" xfId="20561"/>
    <cellStyle name="Связанная ячейка 4 7" xfId="20562"/>
    <cellStyle name="Связанная ячейка 4 8" xfId="20563"/>
    <cellStyle name="Связанная ячейка 5" xfId="4858"/>
    <cellStyle name="Связанная ячейка 5 2" xfId="4859"/>
    <cellStyle name="Связанная ячейка 5 2 2" xfId="4860"/>
    <cellStyle name="Связанная ячейка 5 2 2 2" xfId="20564"/>
    <cellStyle name="Связанная ячейка 5 2 2 3" xfId="20565"/>
    <cellStyle name="Связанная ячейка 5 2 2 4" xfId="20566"/>
    <cellStyle name="Связанная ячейка 5 2 2 5" xfId="20567"/>
    <cellStyle name="Связанная ячейка 5 2 2 6" xfId="20568"/>
    <cellStyle name="Связанная ячейка 5 2 3" xfId="4861"/>
    <cellStyle name="Связанная ячейка 5 2 3 2" xfId="20569"/>
    <cellStyle name="Связанная ячейка 5 2 3 3" xfId="20570"/>
    <cellStyle name="Связанная ячейка 5 2 3 4" xfId="20571"/>
    <cellStyle name="Связанная ячейка 5 2 3 5" xfId="20572"/>
    <cellStyle name="Связанная ячейка 5 2 3 6" xfId="20573"/>
    <cellStyle name="Связанная ячейка 5 2 4" xfId="20574"/>
    <cellStyle name="Связанная ячейка 5 2 5" xfId="20575"/>
    <cellStyle name="Связанная ячейка 5 2 6" xfId="20576"/>
    <cellStyle name="Связанная ячейка 5 2 7" xfId="20577"/>
    <cellStyle name="Связанная ячейка 5 2 8" xfId="20578"/>
    <cellStyle name="Связанная ячейка 5 3" xfId="4862"/>
    <cellStyle name="Связанная ячейка 5 3 2" xfId="20579"/>
    <cellStyle name="Связанная ячейка 5 3 3" xfId="20580"/>
    <cellStyle name="Связанная ячейка 5 3 4" xfId="20581"/>
    <cellStyle name="Связанная ячейка 5 3 5" xfId="20582"/>
    <cellStyle name="Связанная ячейка 5 3 6" xfId="20583"/>
    <cellStyle name="Связанная ячейка 5 4" xfId="4863"/>
    <cellStyle name="Связанная ячейка 5 4 2" xfId="20584"/>
    <cellStyle name="Связанная ячейка 5 4 3" xfId="20585"/>
    <cellStyle name="Связанная ячейка 5 4 4" xfId="20586"/>
    <cellStyle name="Связанная ячейка 5 4 5" xfId="20587"/>
    <cellStyle name="Связанная ячейка 5 5" xfId="20588"/>
    <cellStyle name="Связанная ячейка 5 6" xfId="20589"/>
    <cellStyle name="Связанная ячейка 5 7" xfId="20590"/>
    <cellStyle name="Связанная ячейка 5 8" xfId="20591"/>
    <cellStyle name="Связанная ячейка 6" xfId="4864"/>
    <cellStyle name="Связанная ячейка 6 2" xfId="4865"/>
    <cellStyle name="Связанная ячейка 6 2 2" xfId="4866"/>
    <cellStyle name="Связанная ячейка 6 2 2 2" xfId="20592"/>
    <cellStyle name="Связанная ячейка 6 2 2 3" xfId="20593"/>
    <cellStyle name="Связанная ячейка 6 2 2 4" xfId="20594"/>
    <cellStyle name="Связанная ячейка 6 2 2 5" xfId="20595"/>
    <cellStyle name="Связанная ячейка 6 2 2 6" xfId="20596"/>
    <cellStyle name="Связанная ячейка 6 2 3" xfId="4867"/>
    <cellStyle name="Связанная ячейка 6 2 3 2" xfId="20597"/>
    <cellStyle name="Связанная ячейка 6 2 3 3" xfId="20598"/>
    <cellStyle name="Связанная ячейка 6 2 3 4" xfId="20599"/>
    <cellStyle name="Связанная ячейка 6 2 3 5" xfId="20600"/>
    <cellStyle name="Связанная ячейка 6 2 3 6" xfId="20601"/>
    <cellStyle name="Связанная ячейка 6 2 4" xfId="20602"/>
    <cellStyle name="Связанная ячейка 6 2 5" xfId="20603"/>
    <cellStyle name="Связанная ячейка 6 2 6" xfId="20604"/>
    <cellStyle name="Связанная ячейка 6 2 7" xfId="20605"/>
    <cellStyle name="Связанная ячейка 6 2 8" xfId="20606"/>
    <cellStyle name="Связанная ячейка 6 3" xfId="4868"/>
    <cellStyle name="Связанная ячейка 6 3 2" xfId="20607"/>
    <cellStyle name="Связанная ячейка 6 3 3" xfId="20608"/>
    <cellStyle name="Связанная ячейка 6 3 4" xfId="20609"/>
    <cellStyle name="Связанная ячейка 6 3 5" xfId="20610"/>
    <cellStyle name="Связанная ячейка 6 3 6" xfId="20611"/>
    <cellStyle name="Связанная ячейка 6 4" xfId="4869"/>
    <cellStyle name="Связанная ячейка 6 4 2" xfId="20612"/>
    <cellStyle name="Связанная ячейка 6 4 3" xfId="20613"/>
    <cellStyle name="Связанная ячейка 6 4 4" xfId="20614"/>
    <cellStyle name="Связанная ячейка 6 4 5" xfId="20615"/>
    <cellStyle name="Связанная ячейка 6 5" xfId="20616"/>
    <cellStyle name="Связанная ячейка 6 6" xfId="20617"/>
    <cellStyle name="Связанная ячейка 6 7" xfId="20618"/>
    <cellStyle name="Связанная ячейка 6 8" xfId="20619"/>
    <cellStyle name="Стиль 1" xfId="4870"/>
    <cellStyle name="Текст предупреждения 2" xfId="4871"/>
    <cellStyle name="Текст предупреждения 2 2" xfId="4872"/>
    <cellStyle name="Текст предупреждения 2 2 2" xfId="4873"/>
    <cellStyle name="Текст предупреждения 2 2 2 2" xfId="4874"/>
    <cellStyle name="Текст предупреждения 2 2 2 3" xfId="4875"/>
    <cellStyle name="Текст предупреждения 2 2 3" xfId="4876"/>
    <cellStyle name="Текст предупреждения 2 2 4" xfId="4877"/>
    <cellStyle name="Текст предупреждения 2 2 4 2" xfId="20620"/>
    <cellStyle name="Текст предупреждения 2 2 4 3" xfId="20621"/>
    <cellStyle name="Текст предупреждения 2 2 4 4" xfId="20622"/>
    <cellStyle name="Текст предупреждения 2 2 4 5" xfId="20623"/>
    <cellStyle name="Текст предупреждения 2 2 5" xfId="20624"/>
    <cellStyle name="Текст предупреждения 2 2 6" xfId="20625"/>
    <cellStyle name="Текст предупреждения 2 2 7" xfId="20626"/>
    <cellStyle name="Текст предупреждения 2 2 8" xfId="20627"/>
    <cellStyle name="Текст предупреждения 2 3" xfId="4878"/>
    <cellStyle name="Текст предупреждения 2 3 2" xfId="4879"/>
    <cellStyle name="Текст предупреждения 2 3 3" xfId="4880"/>
    <cellStyle name="Текст предупреждения 2 4" xfId="4881"/>
    <cellStyle name="Текст предупреждения 2 5" xfId="4882"/>
    <cellStyle name="Текст предупреждения 2 5 2" xfId="20628"/>
    <cellStyle name="Текст предупреждения 2 5 3" xfId="20629"/>
    <cellStyle name="Текст предупреждения 2 5 4" xfId="20630"/>
    <cellStyle name="Текст предупреждения 2 5 5" xfId="20631"/>
    <cellStyle name="Текст предупреждения 2 6" xfId="20632"/>
    <cellStyle name="Текст предупреждения 2 7" xfId="20633"/>
    <cellStyle name="Текст предупреждения 2 8" xfId="20634"/>
    <cellStyle name="Текст предупреждения 2 9" xfId="20635"/>
    <cellStyle name="Текст предупреждения 3" xfId="4883"/>
    <cellStyle name="Текст предупреждения 3 2" xfId="4884"/>
    <cellStyle name="Текст предупреждения 3 2 2" xfId="4885"/>
    <cellStyle name="Текст предупреждения 3 2 3" xfId="4886"/>
    <cellStyle name="Текст предупреждения 3 3" xfId="4887"/>
    <cellStyle name="Текст предупреждения 3 4" xfId="4888"/>
    <cellStyle name="Текст предупреждения 3 4 2" xfId="20636"/>
    <cellStyle name="Текст предупреждения 3 4 3" xfId="20637"/>
    <cellStyle name="Текст предупреждения 3 4 4" xfId="20638"/>
    <cellStyle name="Текст предупреждения 3 4 5" xfId="20639"/>
    <cellStyle name="Текст предупреждения 3 5" xfId="20640"/>
    <cellStyle name="Текст предупреждения 3 6" xfId="20641"/>
    <cellStyle name="Текст предупреждения 3 7" xfId="20642"/>
    <cellStyle name="Текст предупреждения 3 8" xfId="20643"/>
    <cellStyle name="Текст предупреждения 4" xfId="4889"/>
    <cellStyle name="Текст предупреждения 4 2" xfId="4890"/>
    <cellStyle name="Текст предупреждения 4 2 2" xfId="4891"/>
    <cellStyle name="Текст предупреждения 4 2 3" xfId="4892"/>
    <cellStyle name="Текст предупреждения 4 3" xfId="4893"/>
    <cellStyle name="Текст предупреждения 4 4" xfId="4894"/>
    <cellStyle name="Текст предупреждения 4 4 2" xfId="20644"/>
    <cellStyle name="Текст предупреждения 4 4 3" xfId="20645"/>
    <cellStyle name="Текст предупреждения 4 4 4" xfId="20646"/>
    <cellStyle name="Текст предупреждения 4 4 5" xfId="20647"/>
    <cellStyle name="Текст предупреждения 4 5" xfId="20648"/>
    <cellStyle name="Текст предупреждения 4 6" xfId="20649"/>
    <cellStyle name="Текст предупреждения 4 7" xfId="20650"/>
    <cellStyle name="Текст предупреждения 4 8" xfId="20651"/>
    <cellStyle name="Текст предупреждения 5" xfId="4895"/>
    <cellStyle name="Текст предупреждения 5 2" xfId="4896"/>
    <cellStyle name="Текст предупреждения 5 2 2" xfId="4897"/>
    <cellStyle name="Текст предупреждения 5 2 3" xfId="4898"/>
    <cellStyle name="Текст предупреждения 5 3" xfId="4899"/>
    <cellStyle name="Текст предупреждения 5 4" xfId="4900"/>
    <cellStyle name="Текст предупреждения 5 4 2" xfId="20652"/>
    <cellStyle name="Текст предупреждения 5 4 3" xfId="20653"/>
    <cellStyle name="Текст предупреждения 5 4 4" xfId="20654"/>
    <cellStyle name="Текст предупреждения 5 4 5" xfId="20655"/>
    <cellStyle name="Текст предупреждения 5 5" xfId="20656"/>
    <cellStyle name="Текст предупреждения 5 6" xfId="20657"/>
    <cellStyle name="Текст предупреждения 5 7" xfId="20658"/>
    <cellStyle name="Текст предупреждения 5 8" xfId="20659"/>
    <cellStyle name="Текст предупреждения 6" xfId="4901"/>
    <cellStyle name="Текст предупреждения 6 2" xfId="4902"/>
    <cellStyle name="Текст предупреждения 6 2 2" xfId="4903"/>
    <cellStyle name="Текст предупреждения 6 2 3" xfId="4904"/>
    <cellStyle name="Текст предупреждения 6 3" xfId="4905"/>
    <cellStyle name="Текст предупреждения 6 4" xfId="4906"/>
    <cellStyle name="Текст предупреждения 6 4 2" xfId="20660"/>
    <cellStyle name="Текст предупреждения 6 4 3" xfId="20661"/>
    <cellStyle name="Текст предупреждения 6 4 4" xfId="20662"/>
    <cellStyle name="Текст предупреждения 6 4 5" xfId="20663"/>
    <cellStyle name="Текст предупреждения 6 5" xfId="20664"/>
    <cellStyle name="Текст предупреждения 6 6" xfId="20665"/>
    <cellStyle name="Текст предупреждения 6 7" xfId="20666"/>
    <cellStyle name="Текст предупреждения 6 8" xfId="20667"/>
    <cellStyle name="Финансовый 10" xfId="4907"/>
    <cellStyle name="Финансовый 10 10" xfId="20668"/>
    <cellStyle name="Финансовый 10 11" xfId="20669"/>
    <cellStyle name="Финансовый 10 12" xfId="20670"/>
    <cellStyle name="Финансовый 10 2" xfId="4908"/>
    <cellStyle name="Финансовый 10 2 2" xfId="20671"/>
    <cellStyle name="Финансовый 10 2 3" xfId="20672"/>
    <cellStyle name="Финансовый 10 2 4" xfId="20673"/>
    <cellStyle name="Финансовый 10 2 5" xfId="20674"/>
    <cellStyle name="Финансовый 10 2 6" xfId="20675"/>
    <cellStyle name="Финансовый 10 2 7" xfId="20676"/>
    <cellStyle name="Финансовый 10 2 8" xfId="20677"/>
    <cellStyle name="Финансовый 10 2 9" xfId="20678"/>
    <cellStyle name="Финансовый 10 3" xfId="4909"/>
    <cellStyle name="Финансовый 10 3 2" xfId="20679"/>
    <cellStyle name="Финансовый 10 3 3" xfId="20680"/>
    <cellStyle name="Финансовый 10 3 4" xfId="20681"/>
    <cellStyle name="Финансовый 10 3 5" xfId="20682"/>
    <cellStyle name="Финансовый 10 3 6" xfId="20683"/>
    <cellStyle name="Финансовый 10 3 7" xfId="20684"/>
    <cellStyle name="Финансовый 10 3 8" xfId="20685"/>
    <cellStyle name="Финансовый 10 3 9" xfId="20686"/>
    <cellStyle name="Финансовый 10 4" xfId="4910"/>
    <cellStyle name="Финансовый 10 4 2" xfId="20687"/>
    <cellStyle name="Финансовый 10 4 3" xfId="20688"/>
    <cellStyle name="Финансовый 10 4 4" xfId="20689"/>
    <cellStyle name="Финансовый 10 4 5" xfId="20690"/>
    <cellStyle name="Финансовый 10 4 6" xfId="20691"/>
    <cellStyle name="Финансовый 10 4 7" xfId="20692"/>
    <cellStyle name="Финансовый 10 4 8" xfId="20693"/>
    <cellStyle name="Финансовый 10 4 9" xfId="20694"/>
    <cellStyle name="Финансовый 10 5" xfId="20695"/>
    <cellStyle name="Финансовый 10 6" xfId="20696"/>
    <cellStyle name="Финансовый 10 7" xfId="20697"/>
    <cellStyle name="Финансовый 10 8" xfId="20698"/>
    <cellStyle name="Финансовый 10 9" xfId="20699"/>
    <cellStyle name="Финансовый 11" xfId="4911"/>
    <cellStyle name="Финансовый 11 2" xfId="20700"/>
    <cellStyle name="Финансовый 11 3" xfId="20701"/>
    <cellStyle name="Финансовый 11 4" xfId="20702"/>
    <cellStyle name="Финансовый 11 5" xfId="20703"/>
    <cellStyle name="Финансовый 11 6" xfId="20704"/>
    <cellStyle name="Финансовый 11 7" xfId="20705"/>
    <cellStyle name="Финансовый 11 8" xfId="20706"/>
    <cellStyle name="Финансовый 11 9" xfId="20707"/>
    <cellStyle name="Финансовый 12" xfId="5511"/>
    <cellStyle name="Финансовый 13" xfId="23873"/>
    <cellStyle name="Финансовый 14" xfId="23875"/>
    <cellStyle name="Финансовый 2" xfId="1"/>
    <cellStyle name="Финансовый 2 10" xfId="4912"/>
    <cellStyle name="Финансовый 2 10 10" xfId="20708"/>
    <cellStyle name="Финансовый 2 10 11" xfId="20709"/>
    <cellStyle name="Финансовый 2 10 12" xfId="20710"/>
    <cellStyle name="Финансовый 2 10 2" xfId="4913"/>
    <cellStyle name="Финансовый 2 10 2 10" xfId="20711"/>
    <cellStyle name="Финансовый 2 10 2 11" xfId="20712"/>
    <cellStyle name="Финансовый 2 10 2 12" xfId="20713"/>
    <cellStyle name="Финансовый 2 10 2 2" xfId="4914"/>
    <cellStyle name="Финансовый 2 10 2 2 2" xfId="20714"/>
    <cellStyle name="Финансовый 2 10 2 2 3" xfId="20715"/>
    <cellStyle name="Финансовый 2 10 2 2 4" xfId="20716"/>
    <cellStyle name="Финансовый 2 10 2 2 5" xfId="20717"/>
    <cellStyle name="Финансовый 2 10 2 2 6" xfId="20718"/>
    <cellStyle name="Финансовый 2 10 2 2 7" xfId="20719"/>
    <cellStyle name="Финансовый 2 10 2 2 8" xfId="20720"/>
    <cellStyle name="Финансовый 2 10 2 2 9" xfId="20721"/>
    <cellStyle name="Финансовый 2 10 2 3" xfId="4915"/>
    <cellStyle name="Финансовый 2 10 2 3 2" xfId="20722"/>
    <cellStyle name="Финансовый 2 10 2 3 3" xfId="20723"/>
    <cellStyle name="Финансовый 2 10 2 3 4" xfId="20724"/>
    <cellStyle name="Финансовый 2 10 2 3 5" xfId="20725"/>
    <cellStyle name="Финансовый 2 10 2 3 6" xfId="20726"/>
    <cellStyle name="Финансовый 2 10 2 3 7" xfId="20727"/>
    <cellStyle name="Финансовый 2 10 2 3 8" xfId="20728"/>
    <cellStyle name="Финансовый 2 10 2 3 9" xfId="20729"/>
    <cellStyle name="Финансовый 2 10 2 4" xfId="4916"/>
    <cellStyle name="Финансовый 2 10 2 4 2" xfId="20730"/>
    <cellStyle name="Финансовый 2 10 2 4 3" xfId="20731"/>
    <cellStyle name="Финансовый 2 10 2 4 4" xfId="20732"/>
    <cellStyle name="Финансовый 2 10 2 4 5" xfId="20733"/>
    <cellStyle name="Финансовый 2 10 2 4 6" xfId="20734"/>
    <cellStyle name="Финансовый 2 10 2 4 7" xfId="20735"/>
    <cellStyle name="Финансовый 2 10 2 4 8" xfId="20736"/>
    <cellStyle name="Финансовый 2 10 2 4 9" xfId="20737"/>
    <cellStyle name="Финансовый 2 10 2 5" xfId="20738"/>
    <cellStyle name="Финансовый 2 10 2 6" xfId="20739"/>
    <cellStyle name="Финансовый 2 10 2 7" xfId="20740"/>
    <cellStyle name="Финансовый 2 10 2 8" xfId="20741"/>
    <cellStyle name="Финансовый 2 10 2 9" xfId="20742"/>
    <cellStyle name="Финансовый 2 10 3" xfId="4917"/>
    <cellStyle name="Финансовый 2 10 3 10" xfId="20743"/>
    <cellStyle name="Финансовый 2 10 3 11" xfId="20744"/>
    <cellStyle name="Финансовый 2 10 3 2" xfId="4918"/>
    <cellStyle name="Финансовый 2 10 3 2 2" xfId="20745"/>
    <cellStyle name="Финансовый 2 10 3 2 3" xfId="20746"/>
    <cellStyle name="Финансовый 2 10 3 2 4" xfId="20747"/>
    <cellStyle name="Финансовый 2 10 3 2 5" xfId="20748"/>
    <cellStyle name="Финансовый 2 10 3 2 6" xfId="20749"/>
    <cellStyle name="Финансовый 2 10 3 2 7" xfId="20750"/>
    <cellStyle name="Финансовый 2 10 3 2 8" xfId="20751"/>
    <cellStyle name="Финансовый 2 10 3 2 9" xfId="20752"/>
    <cellStyle name="Финансовый 2 10 3 3" xfId="4919"/>
    <cellStyle name="Финансовый 2 10 3 3 2" xfId="20753"/>
    <cellStyle name="Финансовый 2 10 3 3 3" xfId="20754"/>
    <cellStyle name="Финансовый 2 10 3 3 4" xfId="20755"/>
    <cellStyle name="Финансовый 2 10 3 3 5" xfId="20756"/>
    <cellStyle name="Финансовый 2 10 3 3 6" xfId="20757"/>
    <cellStyle name="Финансовый 2 10 3 3 7" xfId="20758"/>
    <cellStyle name="Финансовый 2 10 3 3 8" xfId="20759"/>
    <cellStyle name="Финансовый 2 10 3 3 9" xfId="20760"/>
    <cellStyle name="Финансовый 2 10 3 4" xfId="20761"/>
    <cellStyle name="Финансовый 2 10 3 5" xfId="20762"/>
    <cellStyle name="Финансовый 2 10 3 6" xfId="20763"/>
    <cellStyle name="Финансовый 2 10 3 7" xfId="20764"/>
    <cellStyle name="Финансовый 2 10 3 8" xfId="20765"/>
    <cellStyle name="Финансовый 2 10 3 9" xfId="20766"/>
    <cellStyle name="Финансовый 2 10 4" xfId="4920"/>
    <cellStyle name="Финансовый 2 10 4 2" xfId="20767"/>
    <cellStyle name="Финансовый 2 10 4 3" xfId="20768"/>
    <cellStyle name="Финансовый 2 10 4 4" xfId="20769"/>
    <cellStyle name="Финансовый 2 10 4 5" xfId="20770"/>
    <cellStyle name="Финансовый 2 10 4 6" xfId="20771"/>
    <cellStyle name="Финансовый 2 10 4 7" xfId="20772"/>
    <cellStyle name="Финансовый 2 10 4 8" xfId="20773"/>
    <cellStyle name="Финансовый 2 10 4 9" xfId="20774"/>
    <cellStyle name="Финансовый 2 10 5" xfId="20775"/>
    <cellStyle name="Финансовый 2 10 6" xfId="20776"/>
    <cellStyle name="Финансовый 2 10 7" xfId="20777"/>
    <cellStyle name="Финансовый 2 10 8" xfId="20778"/>
    <cellStyle name="Финансовый 2 10 9" xfId="20779"/>
    <cellStyle name="Финансовый 2 11" xfId="4921"/>
    <cellStyle name="Финансовый 2 11 10" xfId="20780"/>
    <cellStyle name="Финансовый 2 11 11" xfId="20781"/>
    <cellStyle name="Финансовый 2 11 12" xfId="20782"/>
    <cellStyle name="Финансовый 2 11 2" xfId="4922"/>
    <cellStyle name="Финансовый 2 11 2 10" xfId="20783"/>
    <cellStyle name="Финансовый 2 11 2 11" xfId="20784"/>
    <cellStyle name="Финансовый 2 11 2 12" xfId="20785"/>
    <cellStyle name="Финансовый 2 11 2 2" xfId="4923"/>
    <cellStyle name="Финансовый 2 11 2 2 2" xfId="20786"/>
    <cellStyle name="Финансовый 2 11 2 2 3" xfId="20787"/>
    <cellStyle name="Финансовый 2 11 2 2 4" xfId="20788"/>
    <cellStyle name="Финансовый 2 11 2 2 5" xfId="20789"/>
    <cellStyle name="Финансовый 2 11 2 2 6" xfId="20790"/>
    <cellStyle name="Финансовый 2 11 2 2 7" xfId="20791"/>
    <cellStyle name="Финансовый 2 11 2 2 8" xfId="20792"/>
    <cellStyle name="Финансовый 2 11 2 2 9" xfId="20793"/>
    <cellStyle name="Финансовый 2 11 2 3" xfId="4924"/>
    <cellStyle name="Финансовый 2 11 2 3 2" xfId="20794"/>
    <cellStyle name="Финансовый 2 11 2 3 3" xfId="20795"/>
    <cellStyle name="Финансовый 2 11 2 3 4" xfId="20796"/>
    <cellStyle name="Финансовый 2 11 2 3 5" xfId="20797"/>
    <cellStyle name="Финансовый 2 11 2 3 6" xfId="20798"/>
    <cellStyle name="Финансовый 2 11 2 3 7" xfId="20799"/>
    <cellStyle name="Финансовый 2 11 2 3 8" xfId="20800"/>
    <cellStyle name="Финансовый 2 11 2 3 9" xfId="20801"/>
    <cellStyle name="Финансовый 2 11 2 4" xfId="4925"/>
    <cellStyle name="Финансовый 2 11 2 4 2" xfId="20802"/>
    <cellStyle name="Финансовый 2 11 2 4 3" xfId="20803"/>
    <cellStyle name="Финансовый 2 11 2 4 4" xfId="20804"/>
    <cellStyle name="Финансовый 2 11 2 4 5" xfId="20805"/>
    <cellStyle name="Финансовый 2 11 2 4 6" xfId="20806"/>
    <cellStyle name="Финансовый 2 11 2 4 7" xfId="20807"/>
    <cellStyle name="Финансовый 2 11 2 4 8" xfId="20808"/>
    <cellStyle name="Финансовый 2 11 2 4 9" xfId="20809"/>
    <cellStyle name="Финансовый 2 11 2 5" xfId="20810"/>
    <cellStyle name="Финансовый 2 11 2 6" xfId="20811"/>
    <cellStyle name="Финансовый 2 11 2 7" xfId="20812"/>
    <cellStyle name="Финансовый 2 11 2 8" xfId="20813"/>
    <cellStyle name="Финансовый 2 11 2 9" xfId="20814"/>
    <cellStyle name="Финансовый 2 11 3" xfId="4926"/>
    <cellStyle name="Финансовый 2 11 3 10" xfId="20815"/>
    <cellStyle name="Финансовый 2 11 3 11" xfId="20816"/>
    <cellStyle name="Финансовый 2 11 3 2" xfId="4927"/>
    <cellStyle name="Финансовый 2 11 3 2 2" xfId="20817"/>
    <cellStyle name="Финансовый 2 11 3 2 3" xfId="20818"/>
    <cellStyle name="Финансовый 2 11 3 2 4" xfId="20819"/>
    <cellStyle name="Финансовый 2 11 3 2 5" xfId="20820"/>
    <cellStyle name="Финансовый 2 11 3 2 6" xfId="20821"/>
    <cellStyle name="Финансовый 2 11 3 2 7" xfId="20822"/>
    <cellStyle name="Финансовый 2 11 3 2 8" xfId="20823"/>
    <cellStyle name="Финансовый 2 11 3 2 9" xfId="20824"/>
    <cellStyle name="Финансовый 2 11 3 3" xfId="4928"/>
    <cellStyle name="Финансовый 2 11 3 3 2" xfId="20825"/>
    <cellStyle name="Финансовый 2 11 3 3 3" xfId="20826"/>
    <cellStyle name="Финансовый 2 11 3 3 4" xfId="20827"/>
    <cellStyle name="Финансовый 2 11 3 3 5" xfId="20828"/>
    <cellStyle name="Финансовый 2 11 3 3 6" xfId="20829"/>
    <cellStyle name="Финансовый 2 11 3 3 7" xfId="20830"/>
    <cellStyle name="Финансовый 2 11 3 3 8" xfId="20831"/>
    <cellStyle name="Финансовый 2 11 3 3 9" xfId="20832"/>
    <cellStyle name="Финансовый 2 11 3 4" xfId="20833"/>
    <cellStyle name="Финансовый 2 11 3 5" xfId="20834"/>
    <cellStyle name="Финансовый 2 11 3 6" xfId="20835"/>
    <cellStyle name="Финансовый 2 11 3 7" xfId="20836"/>
    <cellStyle name="Финансовый 2 11 3 8" xfId="20837"/>
    <cellStyle name="Финансовый 2 11 3 9" xfId="20838"/>
    <cellStyle name="Финансовый 2 11 4" xfId="4929"/>
    <cellStyle name="Финансовый 2 11 4 2" xfId="20839"/>
    <cellStyle name="Финансовый 2 11 4 3" xfId="20840"/>
    <cellStyle name="Финансовый 2 11 4 4" xfId="20841"/>
    <cellStyle name="Финансовый 2 11 4 5" xfId="20842"/>
    <cellStyle name="Финансовый 2 11 4 6" xfId="20843"/>
    <cellStyle name="Финансовый 2 11 4 7" xfId="20844"/>
    <cellStyle name="Финансовый 2 11 4 8" xfId="20845"/>
    <cellStyle name="Финансовый 2 11 4 9" xfId="20846"/>
    <cellStyle name="Финансовый 2 11 5" xfId="20847"/>
    <cellStyle name="Финансовый 2 11 6" xfId="20848"/>
    <cellStyle name="Финансовый 2 11 7" xfId="20849"/>
    <cellStyle name="Финансовый 2 11 8" xfId="20850"/>
    <cellStyle name="Финансовый 2 11 9" xfId="20851"/>
    <cellStyle name="Финансовый 2 12" xfId="4930"/>
    <cellStyle name="Финансовый 2 12 10" xfId="20852"/>
    <cellStyle name="Финансовый 2 12 11" xfId="20853"/>
    <cellStyle name="Финансовый 2 12 12" xfId="20854"/>
    <cellStyle name="Финансовый 2 12 2" xfId="4931"/>
    <cellStyle name="Финансовый 2 12 2 10" xfId="20855"/>
    <cellStyle name="Финансовый 2 12 2 11" xfId="20856"/>
    <cellStyle name="Финансовый 2 12 2 12" xfId="20857"/>
    <cellStyle name="Финансовый 2 12 2 2" xfId="4932"/>
    <cellStyle name="Финансовый 2 12 2 2 2" xfId="20858"/>
    <cellStyle name="Финансовый 2 12 2 2 3" xfId="20859"/>
    <cellStyle name="Финансовый 2 12 2 2 4" xfId="20860"/>
    <cellStyle name="Финансовый 2 12 2 2 5" xfId="20861"/>
    <cellStyle name="Финансовый 2 12 2 2 6" xfId="20862"/>
    <cellStyle name="Финансовый 2 12 2 2 7" xfId="20863"/>
    <cellStyle name="Финансовый 2 12 2 2 8" xfId="20864"/>
    <cellStyle name="Финансовый 2 12 2 2 9" xfId="20865"/>
    <cellStyle name="Финансовый 2 12 2 3" xfId="4933"/>
    <cellStyle name="Финансовый 2 12 2 3 2" xfId="20866"/>
    <cellStyle name="Финансовый 2 12 2 3 3" xfId="20867"/>
    <cellStyle name="Финансовый 2 12 2 3 4" xfId="20868"/>
    <cellStyle name="Финансовый 2 12 2 3 5" xfId="20869"/>
    <cellStyle name="Финансовый 2 12 2 3 6" xfId="20870"/>
    <cellStyle name="Финансовый 2 12 2 3 7" xfId="20871"/>
    <cellStyle name="Финансовый 2 12 2 3 8" xfId="20872"/>
    <cellStyle name="Финансовый 2 12 2 3 9" xfId="20873"/>
    <cellStyle name="Финансовый 2 12 2 4" xfId="4934"/>
    <cellStyle name="Финансовый 2 12 2 4 2" xfId="20874"/>
    <cellStyle name="Финансовый 2 12 2 4 3" xfId="20875"/>
    <cellStyle name="Финансовый 2 12 2 4 4" xfId="20876"/>
    <cellStyle name="Финансовый 2 12 2 4 5" xfId="20877"/>
    <cellStyle name="Финансовый 2 12 2 4 6" xfId="20878"/>
    <cellStyle name="Финансовый 2 12 2 4 7" xfId="20879"/>
    <cellStyle name="Финансовый 2 12 2 4 8" xfId="20880"/>
    <cellStyle name="Финансовый 2 12 2 4 9" xfId="20881"/>
    <cellStyle name="Финансовый 2 12 2 5" xfId="20882"/>
    <cellStyle name="Финансовый 2 12 2 6" xfId="20883"/>
    <cellStyle name="Финансовый 2 12 2 7" xfId="20884"/>
    <cellStyle name="Финансовый 2 12 2 8" xfId="20885"/>
    <cellStyle name="Финансовый 2 12 2 9" xfId="20886"/>
    <cellStyle name="Финансовый 2 12 3" xfId="4935"/>
    <cellStyle name="Финансовый 2 12 3 10" xfId="20887"/>
    <cellStyle name="Финансовый 2 12 3 11" xfId="20888"/>
    <cellStyle name="Финансовый 2 12 3 2" xfId="4936"/>
    <cellStyle name="Финансовый 2 12 3 2 2" xfId="20889"/>
    <cellStyle name="Финансовый 2 12 3 2 3" xfId="20890"/>
    <cellStyle name="Финансовый 2 12 3 2 4" xfId="20891"/>
    <cellStyle name="Финансовый 2 12 3 2 5" xfId="20892"/>
    <cellStyle name="Финансовый 2 12 3 2 6" xfId="20893"/>
    <cellStyle name="Финансовый 2 12 3 2 7" xfId="20894"/>
    <cellStyle name="Финансовый 2 12 3 2 8" xfId="20895"/>
    <cellStyle name="Финансовый 2 12 3 2 9" xfId="20896"/>
    <cellStyle name="Финансовый 2 12 3 3" xfId="4937"/>
    <cellStyle name="Финансовый 2 12 3 3 2" xfId="20897"/>
    <cellStyle name="Финансовый 2 12 3 3 3" xfId="20898"/>
    <cellStyle name="Финансовый 2 12 3 3 4" xfId="20899"/>
    <cellStyle name="Финансовый 2 12 3 3 5" xfId="20900"/>
    <cellStyle name="Финансовый 2 12 3 3 6" xfId="20901"/>
    <cellStyle name="Финансовый 2 12 3 3 7" xfId="20902"/>
    <cellStyle name="Финансовый 2 12 3 3 8" xfId="20903"/>
    <cellStyle name="Финансовый 2 12 3 3 9" xfId="20904"/>
    <cellStyle name="Финансовый 2 12 3 4" xfId="20905"/>
    <cellStyle name="Финансовый 2 12 3 5" xfId="20906"/>
    <cellStyle name="Финансовый 2 12 3 6" xfId="20907"/>
    <cellStyle name="Финансовый 2 12 3 7" xfId="20908"/>
    <cellStyle name="Финансовый 2 12 3 8" xfId="20909"/>
    <cellStyle name="Финансовый 2 12 3 9" xfId="20910"/>
    <cellStyle name="Финансовый 2 12 4" xfId="4938"/>
    <cellStyle name="Финансовый 2 12 4 2" xfId="20911"/>
    <cellStyle name="Финансовый 2 12 4 3" xfId="20912"/>
    <cellStyle name="Финансовый 2 12 4 4" xfId="20913"/>
    <cellStyle name="Финансовый 2 12 4 5" xfId="20914"/>
    <cellStyle name="Финансовый 2 12 4 6" xfId="20915"/>
    <cellStyle name="Финансовый 2 12 4 7" xfId="20916"/>
    <cellStyle name="Финансовый 2 12 4 8" xfId="20917"/>
    <cellStyle name="Финансовый 2 12 4 9" xfId="20918"/>
    <cellStyle name="Финансовый 2 12 5" xfId="20919"/>
    <cellStyle name="Финансовый 2 12 6" xfId="20920"/>
    <cellStyle name="Финансовый 2 12 7" xfId="20921"/>
    <cellStyle name="Финансовый 2 12 8" xfId="20922"/>
    <cellStyle name="Финансовый 2 12 9" xfId="20923"/>
    <cellStyle name="Финансовый 2 13" xfId="4939"/>
    <cellStyle name="Финансовый 2 13 10" xfId="20924"/>
    <cellStyle name="Финансовый 2 13 11" xfId="20925"/>
    <cellStyle name="Финансовый 2 13 12" xfId="20926"/>
    <cellStyle name="Финансовый 2 13 2" xfId="4940"/>
    <cellStyle name="Финансовый 2 13 2 10" xfId="20927"/>
    <cellStyle name="Финансовый 2 13 2 11" xfId="20928"/>
    <cellStyle name="Финансовый 2 13 2 12" xfId="20929"/>
    <cellStyle name="Финансовый 2 13 2 2" xfId="4941"/>
    <cellStyle name="Финансовый 2 13 2 2 2" xfId="20930"/>
    <cellStyle name="Финансовый 2 13 2 2 3" xfId="20931"/>
    <cellStyle name="Финансовый 2 13 2 2 4" xfId="20932"/>
    <cellStyle name="Финансовый 2 13 2 2 5" xfId="20933"/>
    <cellStyle name="Финансовый 2 13 2 2 6" xfId="20934"/>
    <cellStyle name="Финансовый 2 13 2 2 7" xfId="20935"/>
    <cellStyle name="Финансовый 2 13 2 2 8" xfId="20936"/>
    <cellStyle name="Финансовый 2 13 2 2 9" xfId="20937"/>
    <cellStyle name="Финансовый 2 13 2 3" xfId="4942"/>
    <cellStyle name="Финансовый 2 13 2 3 2" xfId="20938"/>
    <cellStyle name="Финансовый 2 13 2 3 3" xfId="20939"/>
    <cellStyle name="Финансовый 2 13 2 3 4" xfId="20940"/>
    <cellStyle name="Финансовый 2 13 2 3 5" xfId="20941"/>
    <cellStyle name="Финансовый 2 13 2 3 6" xfId="20942"/>
    <cellStyle name="Финансовый 2 13 2 3 7" xfId="20943"/>
    <cellStyle name="Финансовый 2 13 2 3 8" xfId="20944"/>
    <cellStyle name="Финансовый 2 13 2 3 9" xfId="20945"/>
    <cellStyle name="Финансовый 2 13 2 4" xfId="4943"/>
    <cellStyle name="Финансовый 2 13 2 4 2" xfId="20946"/>
    <cellStyle name="Финансовый 2 13 2 4 3" xfId="20947"/>
    <cellStyle name="Финансовый 2 13 2 4 4" xfId="20948"/>
    <cellStyle name="Финансовый 2 13 2 4 5" xfId="20949"/>
    <cellStyle name="Финансовый 2 13 2 4 6" xfId="20950"/>
    <cellStyle name="Финансовый 2 13 2 4 7" xfId="20951"/>
    <cellStyle name="Финансовый 2 13 2 4 8" xfId="20952"/>
    <cellStyle name="Финансовый 2 13 2 4 9" xfId="20953"/>
    <cellStyle name="Финансовый 2 13 2 5" xfId="20954"/>
    <cellStyle name="Финансовый 2 13 2 6" xfId="20955"/>
    <cellStyle name="Финансовый 2 13 2 7" xfId="20956"/>
    <cellStyle name="Финансовый 2 13 2 8" xfId="20957"/>
    <cellStyle name="Финансовый 2 13 2 9" xfId="20958"/>
    <cellStyle name="Финансовый 2 13 3" xfId="4944"/>
    <cellStyle name="Финансовый 2 13 3 10" xfId="20959"/>
    <cellStyle name="Финансовый 2 13 3 11" xfId="20960"/>
    <cellStyle name="Финансовый 2 13 3 2" xfId="4945"/>
    <cellStyle name="Финансовый 2 13 3 2 2" xfId="20961"/>
    <cellStyle name="Финансовый 2 13 3 2 3" xfId="20962"/>
    <cellStyle name="Финансовый 2 13 3 2 4" xfId="20963"/>
    <cellStyle name="Финансовый 2 13 3 2 5" xfId="20964"/>
    <cellStyle name="Финансовый 2 13 3 2 6" xfId="20965"/>
    <cellStyle name="Финансовый 2 13 3 2 7" xfId="20966"/>
    <cellStyle name="Финансовый 2 13 3 2 8" xfId="20967"/>
    <cellStyle name="Финансовый 2 13 3 2 9" xfId="20968"/>
    <cellStyle name="Финансовый 2 13 3 3" xfId="4946"/>
    <cellStyle name="Финансовый 2 13 3 3 2" xfId="20969"/>
    <cellStyle name="Финансовый 2 13 3 3 3" xfId="20970"/>
    <cellStyle name="Финансовый 2 13 3 3 4" xfId="20971"/>
    <cellStyle name="Финансовый 2 13 3 3 5" xfId="20972"/>
    <cellStyle name="Финансовый 2 13 3 3 6" xfId="20973"/>
    <cellStyle name="Финансовый 2 13 3 3 7" xfId="20974"/>
    <cellStyle name="Финансовый 2 13 3 3 8" xfId="20975"/>
    <cellStyle name="Финансовый 2 13 3 3 9" xfId="20976"/>
    <cellStyle name="Финансовый 2 13 3 4" xfId="20977"/>
    <cellStyle name="Финансовый 2 13 3 5" xfId="20978"/>
    <cellStyle name="Финансовый 2 13 3 6" xfId="20979"/>
    <cellStyle name="Финансовый 2 13 3 7" xfId="20980"/>
    <cellStyle name="Финансовый 2 13 3 8" xfId="20981"/>
    <cellStyle name="Финансовый 2 13 3 9" xfId="20982"/>
    <cellStyle name="Финансовый 2 13 4" xfId="4947"/>
    <cellStyle name="Финансовый 2 13 4 2" xfId="20983"/>
    <cellStyle name="Финансовый 2 13 4 3" xfId="20984"/>
    <cellStyle name="Финансовый 2 13 4 4" xfId="20985"/>
    <cellStyle name="Финансовый 2 13 4 5" xfId="20986"/>
    <cellStyle name="Финансовый 2 13 4 6" xfId="20987"/>
    <cellStyle name="Финансовый 2 13 4 7" xfId="20988"/>
    <cellStyle name="Финансовый 2 13 4 8" xfId="20989"/>
    <cellStyle name="Финансовый 2 13 4 9" xfId="20990"/>
    <cellStyle name="Финансовый 2 13 5" xfId="20991"/>
    <cellStyle name="Финансовый 2 13 6" xfId="20992"/>
    <cellStyle name="Финансовый 2 13 7" xfId="20993"/>
    <cellStyle name="Финансовый 2 13 8" xfId="20994"/>
    <cellStyle name="Финансовый 2 13 9" xfId="20995"/>
    <cellStyle name="Финансовый 2 14" xfId="4948"/>
    <cellStyle name="Финансовый 2 14 10" xfId="20996"/>
    <cellStyle name="Финансовый 2 14 11" xfId="20997"/>
    <cellStyle name="Финансовый 2 14 12" xfId="20998"/>
    <cellStyle name="Финансовый 2 14 2" xfId="4949"/>
    <cellStyle name="Финансовый 2 14 2 10" xfId="20999"/>
    <cellStyle name="Финансовый 2 14 2 11" xfId="21000"/>
    <cellStyle name="Финансовый 2 14 2 12" xfId="21001"/>
    <cellStyle name="Финансовый 2 14 2 2" xfId="4950"/>
    <cellStyle name="Финансовый 2 14 2 2 2" xfId="21002"/>
    <cellStyle name="Финансовый 2 14 2 2 3" xfId="21003"/>
    <cellStyle name="Финансовый 2 14 2 2 4" xfId="21004"/>
    <cellStyle name="Финансовый 2 14 2 2 5" xfId="21005"/>
    <cellStyle name="Финансовый 2 14 2 2 6" xfId="21006"/>
    <cellStyle name="Финансовый 2 14 2 2 7" xfId="21007"/>
    <cellStyle name="Финансовый 2 14 2 2 8" xfId="21008"/>
    <cellStyle name="Финансовый 2 14 2 2 9" xfId="21009"/>
    <cellStyle name="Финансовый 2 14 2 3" xfId="4951"/>
    <cellStyle name="Финансовый 2 14 2 3 2" xfId="21010"/>
    <cellStyle name="Финансовый 2 14 2 3 3" xfId="21011"/>
    <cellStyle name="Финансовый 2 14 2 3 4" xfId="21012"/>
    <cellStyle name="Финансовый 2 14 2 3 5" xfId="21013"/>
    <cellStyle name="Финансовый 2 14 2 3 6" xfId="21014"/>
    <cellStyle name="Финансовый 2 14 2 3 7" xfId="21015"/>
    <cellStyle name="Финансовый 2 14 2 3 8" xfId="21016"/>
    <cellStyle name="Финансовый 2 14 2 3 9" xfId="21017"/>
    <cellStyle name="Финансовый 2 14 2 4" xfId="4952"/>
    <cellStyle name="Финансовый 2 14 2 4 2" xfId="21018"/>
    <cellStyle name="Финансовый 2 14 2 4 3" xfId="21019"/>
    <cellStyle name="Финансовый 2 14 2 4 4" xfId="21020"/>
    <cellStyle name="Финансовый 2 14 2 4 5" xfId="21021"/>
    <cellStyle name="Финансовый 2 14 2 4 6" xfId="21022"/>
    <cellStyle name="Финансовый 2 14 2 4 7" xfId="21023"/>
    <cellStyle name="Финансовый 2 14 2 4 8" xfId="21024"/>
    <cellStyle name="Финансовый 2 14 2 4 9" xfId="21025"/>
    <cellStyle name="Финансовый 2 14 2 5" xfId="21026"/>
    <cellStyle name="Финансовый 2 14 2 6" xfId="21027"/>
    <cellStyle name="Финансовый 2 14 2 7" xfId="21028"/>
    <cellStyle name="Финансовый 2 14 2 8" xfId="21029"/>
    <cellStyle name="Финансовый 2 14 2 9" xfId="21030"/>
    <cellStyle name="Финансовый 2 14 3" xfId="4953"/>
    <cellStyle name="Финансовый 2 14 3 10" xfId="21031"/>
    <cellStyle name="Финансовый 2 14 3 11" xfId="21032"/>
    <cellStyle name="Финансовый 2 14 3 2" xfId="4954"/>
    <cellStyle name="Финансовый 2 14 3 2 2" xfId="21033"/>
    <cellStyle name="Финансовый 2 14 3 2 3" xfId="21034"/>
    <cellStyle name="Финансовый 2 14 3 2 4" xfId="21035"/>
    <cellStyle name="Финансовый 2 14 3 2 5" xfId="21036"/>
    <cellStyle name="Финансовый 2 14 3 2 6" xfId="21037"/>
    <cellStyle name="Финансовый 2 14 3 2 7" xfId="21038"/>
    <cellStyle name="Финансовый 2 14 3 2 8" xfId="21039"/>
    <cellStyle name="Финансовый 2 14 3 2 9" xfId="21040"/>
    <cellStyle name="Финансовый 2 14 3 3" xfId="4955"/>
    <cellStyle name="Финансовый 2 14 3 3 2" xfId="21041"/>
    <cellStyle name="Финансовый 2 14 3 3 3" xfId="21042"/>
    <cellStyle name="Финансовый 2 14 3 3 4" xfId="21043"/>
    <cellStyle name="Финансовый 2 14 3 3 5" xfId="21044"/>
    <cellStyle name="Финансовый 2 14 3 3 6" xfId="21045"/>
    <cellStyle name="Финансовый 2 14 3 3 7" xfId="21046"/>
    <cellStyle name="Финансовый 2 14 3 3 8" xfId="21047"/>
    <cellStyle name="Финансовый 2 14 3 3 9" xfId="21048"/>
    <cellStyle name="Финансовый 2 14 3 4" xfId="21049"/>
    <cellStyle name="Финансовый 2 14 3 5" xfId="21050"/>
    <cellStyle name="Финансовый 2 14 3 6" xfId="21051"/>
    <cellStyle name="Финансовый 2 14 3 7" xfId="21052"/>
    <cellStyle name="Финансовый 2 14 3 8" xfId="21053"/>
    <cellStyle name="Финансовый 2 14 3 9" xfId="21054"/>
    <cellStyle name="Финансовый 2 14 4" xfId="4956"/>
    <cellStyle name="Финансовый 2 14 4 2" xfId="21055"/>
    <cellStyle name="Финансовый 2 14 4 3" xfId="21056"/>
    <cellStyle name="Финансовый 2 14 4 4" xfId="21057"/>
    <cellStyle name="Финансовый 2 14 4 5" xfId="21058"/>
    <cellStyle name="Финансовый 2 14 4 6" xfId="21059"/>
    <cellStyle name="Финансовый 2 14 4 7" xfId="21060"/>
    <cellStyle name="Финансовый 2 14 4 8" xfId="21061"/>
    <cellStyle name="Финансовый 2 14 4 9" xfId="21062"/>
    <cellStyle name="Финансовый 2 14 5" xfId="21063"/>
    <cellStyle name="Финансовый 2 14 6" xfId="21064"/>
    <cellStyle name="Финансовый 2 14 7" xfId="21065"/>
    <cellStyle name="Финансовый 2 14 8" xfId="21066"/>
    <cellStyle name="Финансовый 2 14 9" xfId="21067"/>
    <cellStyle name="Финансовый 2 15" xfId="4957"/>
    <cellStyle name="Финансовый 2 15 10" xfId="21068"/>
    <cellStyle name="Финансовый 2 15 11" xfId="21069"/>
    <cellStyle name="Финансовый 2 15 12" xfId="21070"/>
    <cellStyle name="Финансовый 2 15 2" xfId="4958"/>
    <cellStyle name="Финансовый 2 15 2 10" xfId="21071"/>
    <cellStyle name="Финансовый 2 15 2 11" xfId="21072"/>
    <cellStyle name="Финансовый 2 15 2 12" xfId="21073"/>
    <cellStyle name="Финансовый 2 15 2 2" xfId="4959"/>
    <cellStyle name="Финансовый 2 15 2 2 2" xfId="21074"/>
    <cellStyle name="Финансовый 2 15 2 2 3" xfId="21075"/>
    <cellStyle name="Финансовый 2 15 2 2 4" xfId="21076"/>
    <cellStyle name="Финансовый 2 15 2 2 5" xfId="21077"/>
    <cellStyle name="Финансовый 2 15 2 2 6" xfId="21078"/>
    <cellStyle name="Финансовый 2 15 2 2 7" xfId="21079"/>
    <cellStyle name="Финансовый 2 15 2 2 8" xfId="21080"/>
    <cellStyle name="Финансовый 2 15 2 2 9" xfId="21081"/>
    <cellStyle name="Финансовый 2 15 2 3" xfId="4960"/>
    <cellStyle name="Финансовый 2 15 2 3 2" xfId="21082"/>
    <cellStyle name="Финансовый 2 15 2 3 3" xfId="21083"/>
    <cellStyle name="Финансовый 2 15 2 3 4" xfId="21084"/>
    <cellStyle name="Финансовый 2 15 2 3 5" xfId="21085"/>
    <cellStyle name="Финансовый 2 15 2 3 6" xfId="21086"/>
    <cellStyle name="Финансовый 2 15 2 3 7" xfId="21087"/>
    <cellStyle name="Финансовый 2 15 2 3 8" xfId="21088"/>
    <cellStyle name="Финансовый 2 15 2 3 9" xfId="21089"/>
    <cellStyle name="Финансовый 2 15 2 4" xfId="4961"/>
    <cellStyle name="Финансовый 2 15 2 4 2" xfId="21090"/>
    <cellStyle name="Финансовый 2 15 2 4 3" xfId="21091"/>
    <cellStyle name="Финансовый 2 15 2 4 4" xfId="21092"/>
    <cellStyle name="Финансовый 2 15 2 4 5" xfId="21093"/>
    <cellStyle name="Финансовый 2 15 2 4 6" xfId="21094"/>
    <cellStyle name="Финансовый 2 15 2 4 7" xfId="21095"/>
    <cellStyle name="Финансовый 2 15 2 4 8" xfId="21096"/>
    <cellStyle name="Финансовый 2 15 2 4 9" xfId="21097"/>
    <cellStyle name="Финансовый 2 15 2 5" xfId="21098"/>
    <cellStyle name="Финансовый 2 15 2 6" xfId="21099"/>
    <cellStyle name="Финансовый 2 15 2 7" xfId="21100"/>
    <cellStyle name="Финансовый 2 15 2 8" xfId="21101"/>
    <cellStyle name="Финансовый 2 15 2 9" xfId="21102"/>
    <cellStyle name="Финансовый 2 15 3" xfId="4962"/>
    <cellStyle name="Финансовый 2 15 3 10" xfId="21103"/>
    <cellStyle name="Финансовый 2 15 3 11" xfId="21104"/>
    <cellStyle name="Финансовый 2 15 3 2" xfId="4963"/>
    <cellStyle name="Финансовый 2 15 3 2 2" xfId="21105"/>
    <cellStyle name="Финансовый 2 15 3 2 3" xfId="21106"/>
    <cellStyle name="Финансовый 2 15 3 2 4" xfId="21107"/>
    <cellStyle name="Финансовый 2 15 3 2 5" xfId="21108"/>
    <cellStyle name="Финансовый 2 15 3 2 6" xfId="21109"/>
    <cellStyle name="Финансовый 2 15 3 2 7" xfId="21110"/>
    <cellStyle name="Финансовый 2 15 3 2 8" xfId="21111"/>
    <cellStyle name="Финансовый 2 15 3 2 9" xfId="21112"/>
    <cellStyle name="Финансовый 2 15 3 3" xfId="4964"/>
    <cellStyle name="Финансовый 2 15 3 3 2" xfId="21113"/>
    <cellStyle name="Финансовый 2 15 3 3 3" xfId="21114"/>
    <cellStyle name="Финансовый 2 15 3 3 4" xfId="21115"/>
    <cellStyle name="Финансовый 2 15 3 3 5" xfId="21116"/>
    <cellStyle name="Финансовый 2 15 3 3 6" xfId="21117"/>
    <cellStyle name="Финансовый 2 15 3 3 7" xfId="21118"/>
    <cellStyle name="Финансовый 2 15 3 3 8" xfId="21119"/>
    <cellStyle name="Финансовый 2 15 3 3 9" xfId="21120"/>
    <cellStyle name="Финансовый 2 15 3 4" xfId="21121"/>
    <cellStyle name="Финансовый 2 15 3 5" xfId="21122"/>
    <cellStyle name="Финансовый 2 15 3 6" xfId="21123"/>
    <cellStyle name="Финансовый 2 15 3 7" xfId="21124"/>
    <cellStyle name="Финансовый 2 15 3 8" xfId="21125"/>
    <cellStyle name="Финансовый 2 15 3 9" xfId="21126"/>
    <cellStyle name="Финансовый 2 15 4" xfId="4965"/>
    <cellStyle name="Финансовый 2 15 4 2" xfId="21127"/>
    <cellStyle name="Финансовый 2 15 4 3" xfId="21128"/>
    <cellStyle name="Финансовый 2 15 4 4" xfId="21129"/>
    <cellStyle name="Финансовый 2 15 4 5" xfId="21130"/>
    <cellStyle name="Финансовый 2 15 4 6" xfId="21131"/>
    <cellStyle name="Финансовый 2 15 4 7" xfId="21132"/>
    <cellStyle name="Финансовый 2 15 4 8" xfId="21133"/>
    <cellStyle name="Финансовый 2 15 4 9" xfId="21134"/>
    <cellStyle name="Финансовый 2 15 5" xfId="21135"/>
    <cellStyle name="Финансовый 2 15 6" xfId="21136"/>
    <cellStyle name="Финансовый 2 15 7" xfId="21137"/>
    <cellStyle name="Финансовый 2 15 8" xfId="21138"/>
    <cellStyle name="Финансовый 2 15 9" xfId="21139"/>
    <cellStyle name="Финансовый 2 16" xfId="4966"/>
    <cellStyle name="Финансовый 2 16 10" xfId="21140"/>
    <cellStyle name="Финансовый 2 16 11" xfId="21141"/>
    <cellStyle name="Финансовый 2 16 12" xfId="21142"/>
    <cellStyle name="Финансовый 2 16 2" xfId="4967"/>
    <cellStyle name="Финансовый 2 16 2 10" xfId="21143"/>
    <cellStyle name="Финансовый 2 16 2 11" xfId="21144"/>
    <cellStyle name="Финансовый 2 16 2 12" xfId="21145"/>
    <cellStyle name="Финансовый 2 16 2 2" xfId="4968"/>
    <cellStyle name="Финансовый 2 16 2 2 2" xfId="21146"/>
    <cellStyle name="Финансовый 2 16 2 2 3" xfId="21147"/>
    <cellStyle name="Финансовый 2 16 2 2 4" xfId="21148"/>
    <cellStyle name="Финансовый 2 16 2 2 5" xfId="21149"/>
    <cellStyle name="Финансовый 2 16 2 2 6" xfId="21150"/>
    <cellStyle name="Финансовый 2 16 2 2 7" xfId="21151"/>
    <cellStyle name="Финансовый 2 16 2 2 8" xfId="21152"/>
    <cellStyle name="Финансовый 2 16 2 2 9" xfId="21153"/>
    <cellStyle name="Финансовый 2 16 2 3" xfId="4969"/>
    <cellStyle name="Финансовый 2 16 2 3 2" xfId="21154"/>
    <cellStyle name="Финансовый 2 16 2 3 3" xfId="21155"/>
    <cellStyle name="Финансовый 2 16 2 3 4" xfId="21156"/>
    <cellStyle name="Финансовый 2 16 2 3 5" xfId="21157"/>
    <cellStyle name="Финансовый 2 16 2 3 6" xfId="21158"/>
    <cellStyle name="Финансовый 2 16 2 3 7" xfId="21159"/>
    <cellStyle name="Финансовый 2 16 2 3 8" xfId="21160"/>
    <cellStyle name="Финансовый 2 16 2 3 9" xfId="21161"/>
    <cellStyle name="Финансовый 2 16 2 4" xfId="4970"/>
    <cellStyle name="Финансовый 2 16 2 4 2" xfId="21162"/>
    <cellStyle name="Финансовый 2 16 2 4 3" xfId="21163"/>
    <cellStyle name="Финансовый 2 16 2 4 4" xfId="21164"/>
    <cellStyle name="Финансовый 2 16 2 4 5" xfId="21165"/>
    <cellStyle name="Финансовый 2 16 2 4 6" xfId="21166"/>
    <cellStyle name="Финансовый 2 16 2 4 7" xfId="21167"/>
    <cellStyle name="Финансовый 2 16 2 4 8" xfId="21168"/>
    <cellStyle name="Финансовый 2 16 2 4 9" xfId="21169"/>
    <cellStyle name="Финансовый 2 16 2 5" xfId="21170"/>
    <cellStyle name="Финансовый 2 16 2 6" xfId="21171"/>
    <cellStyle name="Финансовый 2 16 2 7" xfId="21172"/>
    <cellStyle name="Финансовый 2 16 2 8" xfId="21173"/>
    <cellStyle name="Финансовый 2 16 2 9" xfId="21174"/>
    <cellStyle name="Финансовый 2 16 3" xfId="4971"/>
    <cellStyle name="Финансовый 2 16 3 10" xfId="21175"/>
    <cellStyle name="Финансовый 2 16 3 11" xfId="21176"/>
    <cellStyle name="Финансовый 2 16 3 2" xfId="4972"/>
    <cellStyle name="Финансовый 2 16 3 2 2" xfId="21177"/>
    <cellStyle name="Финансовый 2 16 3 2 3" xfId="21178"/>
    <cellStyle name="Финансовый 2 16 3 2 4" xfId="21179"/>
    <cellStyle name="Финансовый 2 16 3 2 5" xfId="21180"/>
    <cellStyle name="Финансовый 2 16 3 2 6" xfId="21181"/>
    <cellStyle name="Финансовый 2 16 3 2 7" xfId="21182"/>
    <cellStyle name="Финансовый 2 16 3 2 8" xfId="21183"/>
    <cellStyle name="Финансовый 2 16 3 2 9" xfId="21184"/>
    <cellStyle name="Финансовый 2 16 3 3" xfId="4973"/>
    <cellStyle name="Финансовый 2 16 3 3 2" xfId="21185"/>
    <cellStyle name="Финансовый 2 16 3 3 3" xfId="21186"/>
    <cellStyle name="Финансовый 2 16 3 3 4" xfId="21187"/>
    <cellStyle name="Финансовый 2 16 3 3 5" xfId="21188"/>
    <cellStyle name="Финансовый 2 16 3 3 6" xfId="21189"/>
    <cellStyle name="Финансовый 2 16 3 3 7" xfId="21190"/>
    <cellStyle name="Финансовый 2 16 3 3 8" xfId="21191"/>
    <cellStyle name="Финансовый 2 16 3 3 9" xfId="21192"/>
    <cellStyle name="Финансовый 2 16 3 4" xfId="21193"/>
    <cellStyle name="Финансовый 2 16 3 5" xfId="21194"/>
    <cellStyle name="Финансовый 2 16 3 6" xfId="21195"/>
    <cellStyle name="Финансовый 2 16 3 7" xfId="21196"/>
    <cellStyle name="Финансовый 2 16 3 8" xfId="21197"/>
    <cellStyle name="Финансовый 2 16 3 9" xfId="21198"/>
    <cellStyle name="Финансовый 2 16 4" xfId="4974"/>
    <cellStyle name="Финансовый 2 16 4 2" xfId="21199"/>
    <cellStyle name="Финансовый 2 16 4 3" xfId="21200"/>
    <cellStyle name="Финансовый 2 16 4 4" xfId="21201"/>
    <cellStyle name="Финансовый 2 16 4 5" xfId="21202"/>
    <cellStyle name="Финансовый 2 16 4 6" xfId="21203"/>
    <cellStyle name="Финансовый 2 16 4 7" xfId="21204"/>
    <cellStyle name="Финансовый 2 16 4 8" xfId="21205"/>
    <cellStyle name="Финансовый 2 16 4 9" xfId="21206"/>
    <cellStyle name="Финансовый 2 16 5" xfId="21207"/>
    <cellStyle name="Финансовый 2 16 6" xfId="21208"/>
    <cellStyle name="Финансовый 2 16 7" xfId="21209"/>
    <cellStyle name="Финансовый 2 16 8" xfId="21210"/>
    <cellStyle name="Финансовый 2 16 9" xfId="21211"/>
    <cellStyle name="Финансовый 2 17" xfId="4975"/>
    <cellStyle name="Финансовый 2 17 10" xfId="21212"/>
    <cellStyle name="Финансовый 2 17 11" xfId="21213"/>
    <cellStyle name="Финансовый 2 17 12" xfId="21214"/>
    <cellStyle name="Финансовый 2 17 2" xfId="4976"/>
    <cellStyle name="Финансовый 2 17 2 10" xfId="21215"/>
    <cellStyle name="Финансовый 2 17 2 11" xfId="21216"/>
    <cellStyle name="Финансовый 2 17 2 12" xfId="21217"/>
    <cellStyle name="Финансовый 2 17 2 2" xfId="4977"/>
    <cellStyle name="Финансовый 2 17 2 2 2" xfId="21218"/>
    <cellStyle name="Финансовый 2 17 2 2 3" xfId="21219"/>
    <cellStyle name="Финансовый 2 17 2 2 4" xfId="21220"/>
    <cellStyle name="Финансовый 2 17 2 2 5" xfId="21221"/>
    <cellStyle name="Финансовый 2 17 2 2 6" xfId="21222"/>
    <cellStyle name="Финансовый 2 17 2 2 7" xfId="21223"/>
    <cellStyle name="Финансовый 2 17 2 2 8" xfId="21224"/>
    <cellStyle name="Финансовый 2 17 2 2 9" xfId="21225"/>
    <cellStyle name="Финансовый 2 17 2 3" xfId="4978"/>
    <cellStyle name="Финансовый 2 17 2 3 2" xfId="21226"/>
    <cellStyle name="Финансовый 2 17 2 3 3" xfId="21227"/>
    <cellStyle name="Финансовый 2 17 2 3 4" xfId="21228"/>
    <cellStyle name="Финансовый 2 17 2 3 5" xfId="21229"/>
    <cellStyle name="Финансовый 2 17 2 3 6" xfId="21230"/>
    <cellStyle name="Финансовый 2 17 2 3 7" xfId="21231"/>
    <cellStyle name="Финансовый 2 17 2 3 8" xfId="21232"/>
    <cellStyle name="Финансовый 2 17 2 3 9" xfId="21233"/>
    <cellStyle name="Финансовый 2 17 2 4" xfId="4979"/>
    <cellStyle name="Финансовый 2 17 2 4 2" xfId="21234"/>
    <cellStyle name="Финансовый 2 17 2 4 3" xfId="21235"/>
    <cellStyle name="Финансовый 2 17 2 4 4" xfId="21236"/>
    <cellStyle name="Финансовый 2 17 2 4 5" xfId="21237"/>
    <cellStyle name="Финансовый 2 17 2 4 6" xfId="21238"/>
    <cellStyle name="Финансовый 2 17 2 4 7" xfId="21239"/>
    <cellStyle name="Финансовый 2 17 2 4 8" xfId="21240"/>
    <cellStyle name="Финансовый 2 17 2 4 9" xfId="21241"/>
    <cellStyle name="Финансовый 2 17 2 5" xfId="21242"/>
    <cellStyle name="Финансовый 2 17 2 6" xfId="21243"/>
    <cellStyle name="Финансовый 2 17 2 7" xfId="21244"/>
    <cellStyle name="Финансовый 2 17 2 8" xfId="21245"/>
    <cellStyle name="Финансовый 2 17 2 9" xfId="21246"/>
    <cellStyle name="Финансовый 2 17 3" xfId="4980"/>
    <cellStyle name="Финансовый 2 17 3 10" xfId="21247"/>
    <cellStyle name="Финансовый 2 17 3 11" xfId="21248"/>
    <cellStyle name="Финансовый 2 17 3 2" xfId="4981"/>
    <cellStyle name="Финансовый 2 17 3 2 2" xfId="21249"/>
    <cellStyle name="Финансовый 2 17 3 2 3" xfId="21250"/>
    <cellStyle name="Финансовый 2 17 3 2 4" xfId="21251"/>
    <cellStyle name="Финансовый 2 17 3 2 5" xfId="21252"/>
    <cellStyle name="Финансовый 2 17 3 2 6" xfId="21253"/>
    <cellStyle name="Финансовый 2 17 3 2 7" xfId="21254"/>
    <cellStyle name="Финансовый 2 17 3 2 8" xfId="21255"/>
    <cellStyle name="Финансовый 2 17 3 2 9" xfId="21256"/>
    <cellStyle name="Финансовый 2 17 3 3" xfId="4982"/>
    <cellStyle name="Финансовый 2 17 3 3 2" xfId="21257"/>
    <cellStyle name="Финансовый 2 17 3 3 3" xfId="21258"/>
    <cellStyle name="Финансовый 2 17 3 3 4" xfId="21259"/>
    <cellStyle name="Финансовый 2 17 3 3 5" xfId="21260"/>
    <cellStyle name="Финансовый 2 17 3 3 6" xfId="21261"/>
    <cellStyle name="Финансовый 2 17 3 3 7" xfId="21262"/>
    <cellStyle name="Финансовый 2 17 3 3 8" xfId="21263"/>
    <cellStyle name="Финансовый 2 17 3 3 9" xfId="21264"/>
    <cellStyle name="Финансовый 2 17 3 4" xfId="21265"/>
    <cellStyle name="Финансовый 2 17 3 5" xfId="21266"/>
    <cellStyle name="Финансовый 2 17 3 6" xfId="21267"/>
    <cellStyle name="Финансовый 2 17 3 7" xfId="21268"/>
    <cellStyle name="Финансовый 2 17 3 8" xfId="21269"/>
    <cellStyle name="Финансовый 2 17 3 9" xfId="21270"/>
    <cellStyle name="Финансовый 2 17 4" xfId="4983"/>
    <cellStyle name="Финансовый 2 17 4 2" xfId="21271"/>
    <cellStyle name="Финансовый 2 17 4 3" xfId="21272"/>
    <cellStyle name="Финансовый 2 17 4 4" xfId="21273"/>
    <cellStyle name="Финансовый 2 17 4 5" xfId="21274"/>
    <cellStyle name="Финансовый 2 17 4 6" xfId="21275"/>
    <cellStyle name="Финансовый 2 17 4 7" xfId="21276"/>
    <cellStyle name="Финансовый 2 17 4 8" xfId="21277"/>
    <cellStyle name="Финансовый 2 17 4 9" xfId="21278"/>
    <cellStyle name="Финансовый 2 17 5" xfId="21279"/>
    <cellStyle name="Финансовый 2 17 6" xfId="21280"/>
    <cellStyle name="Финансовый 2 17 7" xfId="21281"/>
    <cellStyle name="Финансовый 2 17 8" xfId="21282"/>
    <cellStyle name="Финансовый 2 17 9" xfId="21283"/>
    <cellStyle name="Финансовый 2 18" xfId="4984"/>
    <cellStyle name="Финансовый 2 18 10" xfId="21284"/>
    <cellStyle name="Финансовый 2 18 11" xfId="21285"/>
    <cellStyle name="Финансовый 2 18 12" xfId="21286"/>
    <cellStyle name="Финансовый 2 18 2" xfId="4985"/>
    <cellStyle name="Финансовый 2 18 2 10" xfId="21287"/>
    <cellStyle name="Финансовый 2 18 2 11" xfId="21288"/>
    <cellStyle name="Финансовый 2 18 2 12" xfId="21289"/>
    <cellStyle name="Финансовый 2 18 2 2" xfId="4986"/>
    <cellStyle name="Финансовый 2 18 2 2 2" xfId="21290"/>
    <cellStyle name="Финансовый 2 18 2 2 3" xfId="21291"/>
    <cellStyle name="Финансовый 2 18 2 2 4" xfId="21292"/>
    <cellStyle name="Финансовый 2 18 2 2 5" xfId="21293"/>
    <cellStyle name="Финансовый 2 18 2 2 6" xfId="21294"/>
    <cellStyle name="Финансовый 2 18 2 2 7" xfId="21295"/>
    <cellStyle name="Финансовый 2 18 2 2 8" xfId="21296"/>
    <cellStyle name="Финансовый 2 18 2 2 9" xfId="21297"/>
    <cellStyle name="Финансовый 2 18 2 3" xfId="4987"/>
    <cellStyle name="Финансовый 2 18 2 3 2" xfId="21298"/>
    <cellStyle name="Финансовый 2 18 2 3 3" xfId="21299"/>
    <cellStyle name="Финансовый 2 18 2 3 4" xfId="21300"/>
    <cellStyle name="Финансовый 2 18 2 3 5" xfId="21301"/>
    <cellStyle name="Финансовый 2 18 2 3 6" xfId="21302"/>
    <cellStyle name="Финансовый 2 18 2 3 7" xfId="21303"/>
    <cellStyle name="Финансовый 2 18 2 3 8" xfId="21304"/>
    <cellStyle name="Финансовый 2 18 2 3 9" xfId="21305"/>
    <cellStyle name="Финансовый 2 18 2 4" xfId="4988"/>
    <cellStyle name="Финансовый 2 18 2 4 2" xfId="21306"/>
    <cellStyle name="Финансовый 2 18 2 4 3" xfId="21307"/>
    <cellStyle name="Финансовый 2 18 2 4 4" xfId="21308"/>
    <cellStyle name="Финансовый 2 18 2 4 5" xfId="21309"/>
    <cellStyle name="Финансовый 2 18 2 4 6" xfId="21310"/>
    <cellStyle name="Финансовый 2 18 2 4 7" xfId="21311"/>
    <cellStyle name="Финансовый 2 18 2 4 8" xfId="21312"/>
    <cellStyle name="Финансовый 2 18 2 4 9" xfId="21313"/>
    <cellStyle name="Финансовый 2 18 2 5" xfId="21314"/>
    <cellStyle name="Финансовый 2 18 2 6" xfId="21315"/>
    <cellStyle name="Финансовый 2 18 2 7" xfId="21316"/>
    <cellStyle name="Финансовый 2 18 2 8" xfId="21317"/>
    <cellStyle name="Финансовый 2 18 2 9" xfId="21318"/>
    <cellStyle name="Финансовый 2 18 3" xfId="4989"/>
    <cellStyle name="Финансовый 2 18 3 10" xfId="21319"/>
    <cellStyle name="Финансовый 2 18 3 11" xfId="21320"/>
    <cellStyle name="Финансовый 2 18 3 2" xfId="4990"/>
    <cellStyle name="Финансовый 2 18 3 2 2" xfId="21321"/>
    <cellStyle name="Финансовый 2 18 3 2 3" xfId="21322"/>
    <cellStyle name="Финансовый 2 18 3 2 4" xfId="21323"/>
    <cellStyle name="Финансовый 2 18 3 2 5" xfId="21324"/>
    <cellStyle name="Финансовый 2 18 3 2 6" xfId="21325"/>
    <cellStyle name="Финансовый 2 18 3 2 7" xfId="21326"/>
    <cellStyle name="Финансовый 2 18 3 2 8" xfId="21327"/>
    <cellStyle name="Финансовый 2 18 3 2 9" xfId="21328"/>
    <cellStyle name="Финансовый 2 18 3 3" xfId="4991"/>
    <cellStyle name="Финансовый 2 18 3 3 2" xfId="21329"/>
    <cellStyle name="Финансовый 2 18 3 3 3" xfId="21330"/>
    <cellStyle name="Финансовый 2 18 3 3 4" xfId="21331"/>
    <cellStyle name="Финансовый 2 18 3 3 5" xfId="21332"/>
    <cellStyle name="Финансовый 2 18 3 3 6" xfId="21333"/>
    <cellStyle name="Финансовый 2 18 3 3 7" xfId="21334"/>
    <cellStyle name="Финансовый 2 18 3 3 8" xfId="21335"/>
    <cellStyle name="Финансовый 2 18 3 3 9" xfId="21336"/>
    <cellStyle name="Финансовый 2 18 3 4" xfId="21337"/>
    <cellStyle name="Финансовый 2 18 3 5" xfId="21338"/>
    <cellStyle name="Финансовый 2 18 3 6" xfId="21339"/>
    <cellStyle name="Финансовый 2 18 3 7" xfId="21340"/>
    <cellStyle name="Финансовый 2 18 3 8" xfId="21341"/>
    <cellStyle name="Финансовый 2 18 3 9" xfId="21342"/>
    <cellStyle name="Финансовый 2 18 4" xfId="4992"/>
    <cellStyle name="Финансовый 2 18 4 2" xfId="21343"/>
    <cellStyle name="Финансовый 2 18 4 3" xfId="21344"/>
    <cellStyle name="Финансовый 2 18 4 4" xfId="21345"/>
    <cellStyle name="Финансовый 2 18 4 5" xfId="21346"/>
    <cellStyle name="Финансовый 2 18 4 6" xfId="21347"/>
    <cellStyle name="Финансовый 2 18 4 7" xfId="21348"/>
    <cellStyle name="Финансовый 2 18 4 8" xfId="21349"/>
    <cellStyle name="Финансовый 2 18 4 9" xfId="21350"/>
    <cellStyle name="Финансовый 2 18 5" xfId="21351"/>
    <cellStyle name="Финансовый 2 18 6" xfId="21352"/>
    <cellStyle name="Финансовый 2 18 7" xfId="21353"/>
    <cellStyle name="Финансовый 2 18 8" xfId="21354"/>
    <cellStyle name="Финансовый 2 18 9" xfId="21355"/>
    <cellStyle name="Финансовый 2 19" xfId="4993"/>
    <cellStyle name="Финансовый 2 19 2" xfId="4994"/>
    <cellStyle name="Финансовый 2 19 2 2" xfId="4995"/>
    <cellStyle name="Финансовый 2 19 2 3" xfId="4996"/>
    <cellStyle name="Финансовый 2 19 3" xfId="4997"/>
    <cellStyle name="Финансовый 2 19 4" xfId="4998"/>
    <cellStyle name="Финансовый 2 19 4 2" xfId="21356"/>
    <cellStyle name="Финансовый 2 19 4 3" xfId="21357"/>
    <cellStyle name="Финансовый 2 19 4 4" xfId="21358"/>
    <cellStyle name="Финансовый 2 19 4 5" xfId="21359"/>
    <cellStyle name="Финансовый 2 19 5" xfId="21360"/>
    <cellStyle name="Финансовый 2 19 6" xfId="21361"/>
    <cellStyle name="Финансовый 2 19 7" xfId="21362"/>
    <cellStyle name="Финансовый 2 19 8" xfId="21363"/>
    <cellStyle name="Финансовый 2 2" xfId="4999"/>
    <cellStyle name="Финансовый 2 2 10" xfId="5000"/>
    <cellStyle name="Финансовый 2 2 10 2" xfId="5001"/>
    <cellStyle name="Финансовый 2 2 10 2 2" xfId="5002"/>
    <cellStyle name="Финансовый 2 2 10 2 3" xfId="5003"/>
    <cellStyle name="Финансовый 2 2 10 3" xfId="5004"/>
    <cellStyle name="Финансовый 2 2 10 4" xfId="5005"/>
    <cellStyle name="Финансовый 2 2 10 4 2" xfId="21364"/>
    <cellStyle name="Финансовый 2 2 10 4 3" xfId="21365"/>
    <cellStyle name="Финансовый 2 2 10 4 4" xfId="21366"/>
    <cellStyle name="Финансовый 2 2 10 4 5" xfId="21367"/>
    <cellStyle name="Финансовый 2 2 10 5" xfId="21368"/>
    <cellStyle name="Финансовый 2 2 10 6" xfId="21369"/>
    <cellStyle name="Финансовый 2 2 10 7" xfId="21370"/>
    <cellStyle name="Финансовый 2 2 10 8" xfId="21371"/>
    <cellStyle name="Финансовый 2 2 11" xfId="5006"/>
    <cellStyle name="Финансовый 2 2 11 10" xfId="21372"/>
    <cellStyle name="Финансовый 2 2 11 11" xfId="21373"/>
    <cellStyle name="Финансовый 2 2 11 12" xfId="21374"/>
    <cellStyle name="Финансовый 2 2 11 2" xfId="5007"/>
    <cellStyle name="Финансовый 2 2 11 2 10" xfId="21375"/>
    <cellStyle name="Финансовый 2 2 11 2 11" xfId="21376"/>
    <cellStyle name="Финансовый 2 2 11 2 12" xfId="21377"/>
    <cellStyle name="Финансовый 2 2 11 2 2" xfId="5008"/>
    <cellStyle name="Финансовый 2 2 11 2 2 2" xfId="21378"/>
    <cellStyle name="Финансовый 2 2 11 2 2 3" xfId="21379"/>
    <cellStyle name="Финансовый 2 2 11 2 2 4" xfId="21380"/>
    <cellStyle name="Финансовый 2 2 11 2 2 5" xfId="21381"/>
    <cellStyle name="Финансовый 2 2 11 2 2 6" xfId="21382"/>
    <cellStyle name="Финансовый 2 2 11 2 2 7" xfId="21383"/>
    <cellStyle name="Финансовый 2 2 11 2 2 8" xfId="21384"/>
    <cellStyle name="Финансовый 2 2 11 2 2 9" xfId="21385"/>
    <cellStyle name="Финансовый 2 2 11 2 3" xfId="5009"/>
    <cellStyle name="Финансовый 2 2 11 2 3 2" xfId="21386"/>
    <cellStyle name="Финансовый 2 2 11 2 3 3" xfId="21387"/>
    <cellStyle name="Финансовый 2 2 11 2 3 4" xfId="21388"/>
    <cellStyle name="Финансовый 2 2 11 2 3 5" xfId="21389"/>
    <cellStyle name="Финансовый 2 2 11 2 3 6" xfId="21390"/>
    <cellStyle name="Финансовый 2 2 11 2 3 7" xfId="21391"/>
    <cellStyle name="Финансовый 2 2 11 2 3 8" xfId="21392"/>
    <cellStyle name="Финансовый 2 2 11 2 3 9" xfId="21393"/>
    <cellStyle name="Финансовый 2 2 11 2 4" xfId="5010"/>
    <cellStyle name="Финансовый 2 2 11 2 4 2" xfId="21394"/>
    <cellStyle name="Финансовый 2 2 11 2 4 3" xfId="21395"/>
    <cellStyle name="Финансовый 2 2 11 2 4 4" xfId="21396"/>
    <cellStyle name="Финансовый 2 2 11 2 4 5" xfId="21397"/>
    <cellStyle name="Финансовый 2 2 11 2 4 6" xfId="21398"/>
    <cellStyle name="Финансовый 2 2 11 2 4 7" xfId="21399"/>
    <cellStyle name="Финансовый 2 2 11 2 4 8" xfId="21400"/>
    <cellStyle name="Финансовый 2 2 11 2 4 9" xfId="21401"/>
    <cellStyle name="Финансовый 2 2 11 2 5" xfId="21402"/>
    <cellStyle name="Финансовый 2 2 11 2 6" xfId="21403"/>
    <cellStyle name="Финансовый 2 2 11 2 7" xfId="21404"/>
    <cellStyle name="Финансовый 2 2 11 2 8" xfId="21405"/>
    <cellStyle name="Финансовый 2 2 11 2 9" xfId="21406"/>
    <cellStyle name="Финансовый 2 2 11 3" xfId="5011"/>
    <cellStyle name="Финансовый 2 2 11 3 10" xfId="21407"/>
    <cellStyle name="Финансовый 2 2 11 3 11" xfId="21408"/>
    <cellStyle name="Финансовый 2 2 11 3 2" xfId="5012"/>
    <cellStyle name="Финансовый 2 2 11 3 2 2" xfId="21409"/>
    <cellStyle name="Финансовый 2 2 11 3 2 3" xfId="21410"/>
    <cellStyle name="Финансовый 2 2 11 3 2 4" xfId="21411"/>
    <cellStyle name="Финансовый 2 2 11 3 2 5" xfId="21412"/>
    <cellStyle name="Финансовый 2 2 11 3 2 6" xfId="21413"/>
    <cellStyle name="Финансовый 2 2 11 3 2 7" xfId="21414"/>
    <cellStyle name="Финансовый 2 2 11 3 2 8" xfId="21415"/>
    <cellStyle name="Финансовый 2 2 11 3 2 9" xfId="21416"/>
    <cellStyle name="Финансовый 2 2 11 3 3" xfId="5013"/>
    <cellStyle name="Финансовый 2 2 11 3 3 2" xfId="21417"/>
    <cellStyle name="Финансовый 2 2 11 3 3 3" xfId="21418"/>
    <cellStyle name="Финансовый 2 2 11 3 3 4" xfId="21419"/>
    <cellStyle name="Финансовый 2 2 11 3 3 5" xfId="21420"/>
    <cellStyle name="Финансовый 2 2 11 3 3 6" xfId="21421"/>
    <cellStyle name="Финансовый 2 2 11 3 3 7" xfId="21422"/>
    <cellStyle name="Финансовый 2 2 11 3 3 8" xfId="21423"/>
    <cellStyle name="Финансовый 2 2 11 3 3 9" xfId="21424"/>
    <cellStyle name="Финансовый 2 2 11 3 4" xfId="21425"/>
    <cellStyle name="Финансовый 2 2 11 3 5" xfId="21426"/>
    <cellStyle name="Финансовый 2 2 11 3 6" xfId="21427"/>
    <cellStyle name="Финансовый 2 2 11 3 7" xfId="21428"/>
    <cellStyle name="Финансовый 2 2 11 3 8" xfId="21429"/>
    <cellStyle name="Финансовый 2 2 11 3 9" xfId="21430"/>
    <cellStyle name="Финансовый 2 2 11 4" xfId="5014"/>
    <cellStyle name="Финансовый 2 2 11 4 2" xfId="21431"/>
    <cellStyle name="Финансовый 2 2 11 4 3" xfId="21432"/>
    <cellStyle name="Финансовый 2 2 11 4 4" xfId="21433"/>
    <cellStyle name="Финансовый 2 2 11 4 5" xfId="21434"/>
    <cellStyle name="Финансовый 2 2 11 4 6" xfId="21435"/>
    <cellStyle name="Финансовый 2 2 11 4 7" xfId="21436"/>
    <cellStyle name="Финансовый 2 2 11 4 8" xfId="21437"/>
    <cellStyle name="Финансовый 2 2 11 4 9" xfId="21438"/>
    <cellStyle name="Финансовый 2 2 11 5" xfId="21439"/>
    <cellStyle name="Финансовый 2 2 11 6" xfId="21440"/>
    <cellStyle name="Финансовый 2 2 11 7" xfId="21441"/>
    <cellStyle name="Финансовый 2 2 11 8" xfId="21442"/>
    <cellStyle name="Финансовый 2 2 11 9" xfId="21443"/>
    <cellStyle name="Финансовый 2 2 12" xfId="5015"/>
    <cellStyle name="Финансовый 2 2 12 10" xfId="21444"/>
    <cellStyle name="Финансовый 2 2 12 11" xfId="21445"/>
    <cellStyle name="Финансовый 2 2 12 12" xfId="21446"/>
    <cellStyle name="Финансовый 2 2 12 2" xfId="5016"/>
    <cellStyle name="Финансовый 2 2 12 2 10" xfId="21447"/>
    <cellStyle name="Финансовый 2 2 12 2 11" xfId="21448"/>
    <cellStyle name="Финансовый 2 2 12 2 12" xfId="21449"/>
    <cellStyle name="Финансовый 2 2 12 2 2" xfId="5017"/>
    <cellStyle name="Финансовый 2 2 12 2 2 2" xfId="21450"/>
    <cellStyle name="Финансовый 2 2 12 2 2 3" xfId="21451"/>
    <cellStyle name="Финансовый 2 2 12 2 2 4" xfId="21452"/>
    <cellStyle name="Финансовый 2 2 12 2 2 5" xfId="21453"/>
    <cellStyle name="Финансовый 2 2 12 2 2 6" xfId="21454"/>
    <cellStyle name="Финансовый 2 2 12 2 2 7" xfId="21455"/>
    <cellStyle name="Финансовый 2 2 12 2 2 8" xfId="21456"/>
    <cellStyle name="Финансовый 2 2 12 2 2 9" xfId="21457"/>
    <cellStyle name="Финансовый 2 2 12 2 3" xfId="5018"/>
    <cellStyle name="Финансовый 2 2 12 2 3 2" xfId="21458"/>
    <cellStyle name="Финансовый 2 2 12 2 3 3" xfId="21459"/>
    <cellStyle name="Финансовый 2 2 12 2 3 4" xfId="21460"/>
    <cellStyle name="Финансовый 2 2 12 2 3 5" xfId="21461"/>
    <cellStyle name="Финансовый 2 2 12 2 3 6" xfId="21462"/>
    <cellStyle name="Финансовый 2 2 12 2 3 7" xfId="21463"/>
    <cellStyle name="Финансовый 2 2 12 2 3 8" xfId="21464"/>
    <cellStyle name="Финансовый 2 2 12 2 3 9" xfId="21465"/>
    <cellStyle name="Финансовый 2 2 12 2 4" xfId="5019"/>
    <cellStyle name="Финансовый 2 2 12 2 4 2" xfId="21466"/>
    <cellStyle name="Финансовый 2 2 12 2 4 3" xfId="21467"/>
    <cellStyle name="Финансовый 2 2 12 2 4 4" xfId="21468"/>
    <cellStyle name="Финансовый 2 2 12 2 4 5" xfId="21469"/>
    <cellStyle name="Финансовый 2 2 12 2 4 6" xfId="21470"/>
    <cellStyle name="Финансовый 2 2 12 2 4 7" xfId="21471"/>
    <cellStyle name="Финансовый 2 2 12 2 4 8" xfId="21472"/>
    <cellStyle name="Финансовый 2 2 12 2 4 9" xfId="21473"/>
    <cellStyle name="Финансовый 2 2 12 2 5" xfId="21474"/>
    <cellStyle name="Финансовый 2 2 12 2 6" xfId="21475"/>
    <cellStyle name="Финансовый 2 2 12 2 7" xfId="21476"/>
    <cellStyle name="Финансовый 2 2 12 2 8" xfId="21477"/>
    <cellStyle name="Финансовый 2 2 12 2 9" xfId="21478"/>
    <cellStyle name="Финансовый 2 2 12 3" xfId="5020"/>
    <cellStyle name="Финансовый 2 2 12 3 10" xfId="21479"/>
    <cellStyle name="Финансовый 2 2 12 3 11" xfId="21480"/>
    <cellStyle name="Финансовый 2 2 12 3 2" xfId="5021"/>
    <cellStyle name="Финансовый 2 2 12 3 2 2" xfId="21481"/>
    <cellStyle name="Финансовый 2 2 12 3 2 3" xfId="21482"/>
    <cellStyle name="Финансовый 2 2 12 3 2 4" xfId="21483"/>
    <cellStyle name="Финансовый 2 2 12 3 2 5" xfId="21484"/>
    <cellStyle name="Финансовый 2 2 12 3 2 6" xfId="21485"/>
    <cellStyle name="Финансовый 2 2 12 3 2 7" xfId="21486"/>
    <cellStyle name="Финансовый 2 2 12 3 2 8" xfId="21487"/>
    <cellStyle name="Финансовый 2 2 12 3 2 9" xfId="21488"/>
    <cellStyle name="Финансовый 2 2 12 3 3" xfId="5022"/>
    <cellStyle name="Финансовый 2 2 12 3 3 2" xfId="21489"/>
    <cellStyle name="Финансовый 2 2 12 3 3 3" xfId="21490"/>
    <cellStyle name="Финансовый 2 2 12 3 3 4" xfId="21491"/>
    <cellStyle name="Финансовый 2 2 12 3 3 5" xfId="21492"/>
    <cellStyle name="Финансовый 2 2 12 3 3 6" xfId="21493"/>
    <cellStyle name="Финансовый 2 2 12 3 3 7" xfId="21494"/>
    <cellStyle name="Финансовый 2 2 12 3 3 8" xfId="21495"/>
    <cellStyle name="Финансовый 2 2 12 3 3 9" xfId="21496"/>
    <cellStyle name="Финансовый 2 2 12 3 4" xfId="21497"/>
    <cellStyle name="Финансовый 2 2 12 3 5" xfId="21498"/>
    <cellStyle name="Финансовый 2 2 12 3 6" xfId="21499"/>
    <cellStyle name="Финансовый 2 2 12 3 7" xfId="21500"/>
    <cellStyle name="Финансовый 2 2 12 3 8" xfId="21501"/>
    <cellStyle name="Финансовый 2 2 12 3 9" xfId="21502"/>
    <cellStyle name="Финансовый 2 2 12 4" xfId="5023"/>
    <cellStyle name="Финансовый 2 2 12 4 2" xfId="21503"/>
    <cellStyle name="Финансовый 2 2 12 4 3" xfId="21504"/>
    <cellStyle name="Финансовый 2 2 12 4 4" xfId="21505"/>
    <cellStyle name="Финансовый 2 2 12 4 5" xfId="21506"/>
    <cellStyle name="Финансовый 2 2 12 4 6" xfId="21507"/>
    <cellStyle name="Финансовый 2 2 12 4 7" xfId="21508"/>
    <cellStyle name="Финансовый 2 2 12 4 8" xfId="21509"/>
    <cellStyle name="Финансовый 2 2 12 4 9" xfId="21510"/>
    <cellStyle name="Финансовый 2 2 12 5" xfId="21511"/>
    <cellStyle name="Финансовый 2 2 12 6" xfId="21512"/>
    <cellStyle name="Финансовый 2 2 12 7" xfId="21513"/>
    <cellStyle name="Финансовый 2 2 12 8" xfId="21514"/>
    <cellStyle name="Финансовый 2 2 12 9" xfId="21515"/>
    <cellStyle name="Финансовый 2 2 13" xfId="5024"/>
    <cellStyle name="Финансовый 2 2 13 10" xfId="21516"/>
    <cellStyle name="Финансовый 2 2 13 11" xfId="21517"/>
    <cellStyle name="Финансовый 2 2 13 12" xfId="21518"/>
    <cellStyle name="Финансовый 2 2 13 2" xfId="5025"/>
    <cellStyle name="Финансовый 2 2 13 2 10" xfId="21519"/>
    <cellStyle name="Финансовый 2 2 13 2 11" xfId="21520"/>
    <cellStyle name="Финансовый 2 2 13 2 12" xfId="21521"/>
    <cellStyle name="Финансовый 2 2 13 2 2" xfId="5026"/>
    <cellStyle name="Финансовый 2 2 13 2 2 2" xfId="21522"/>
    <cellStyle name="Финансовый 2 2 13 2 2 3" xfId="21523"/>
    <cellStyle name="Финансовый 2 2 13 2 2 4" xfId="21524"/>
    <cellStyle name="Финансовый 2 2 13 2 2 5" xfId="21525"/>
    <cellStyle name="Финансовый 2 2 13 2 2 6" xfId="21526"/>
    <cellStyle name="Финансовый 2 2 13 2 2 7" xfId="21527"/>
    <cellStyle name="Финансовый 2 2 13 2 2 8" xfId="21528"/>
    <cellStyle name="Финансовый 2 2 13 2 2 9" xfId="21529"/>
    <cellStyle name="Финансовый 2 2 13 2 3" xfId="5027"/>
    <cellStyle name="Финансовый 2 2 13 2 3 2" xfId="21530"/>
    <cellStyle name="Финансовый 2 2 13 2 3 3" xfId="21531"/>
    <cellStyle name="Финансовый 2 2 13 2 3 4" xfId="21532"/>
    <cellStyle name="Финансовый 2 2 13 2 3 5" xfId="21533"/>
    <cellStyle name="Финансовый 2 2 13 2 3 6" xfId="21534"/>
    <cellStyle name="Финансовый 2 2 13 2 3 7" xfId="21535"/>
    <cellStyle name="Финансовый 2 2 13 2 3 8" xfId="21536"/>
    <cellStyle name="Финансовый 2 2 13 2 3 9" xfId="21537"/>
    <cellStyle name="Финансовый 2 2 13 2 4" xfId="5028"/>
    <cellStyle name="Финансовый 2 2 13 2 4 2" xfId="21538"/>
    <cellStyle name="Финансовый 2 2 13 2 4 3" xfId="21539"/>
    <cellStyle name="Финансовый 2 2 13 2 4 4" xfId="21540"/>
    <cellStyle name="Финансовый 2 2 13 2 4 5" xfId="21541"/>
    <cellStyle name="Финансовый 2 2 13 2 4 6" xfId="21542"/>
    <cellStyle name="Финансовый 2 2 13 2 4 7" xfId="21543"/>
    <cellStyle name="Финансовый 2 2 13 2 4 8" xfId="21544"/>
    <cellStyle name="Финансовый 2 2 13 2 4 9" xfId="21545"/>
    <cellStyle name="Финансовый 2 2 13 2 5" xfId="21546"/>
    <cellStyle name="Финансовый 2 2 13 2 6" xfId="21547"/>
    <cellStyle name="Финансовый 2 2 13 2 7" xfId="21548"/>
    <cellStyle name="Финансовый 2 2 13 2 8" xfId="21549"/>
    <cellStyle name="Финансовый 2 2 13 2 9" xfId="21550"/>
    <cellStyle name="Финансовый 2 2 13 3" xfId="5029"/>
    <cellStyle name="Финансовый 2 2 13 3 10" xfId="21551"/>
    <cellStyle name="Финансовый 2 2 13 3 11" xfId="21552"/>
    <cellStyle name="Финансовый 2 2 13 3 2" xfId="5030"/>
    <cellStyle name="Финансовый 2 2 13 3 2 2" xfId="21553"/>
    <cellStyle name="Финансовый 2 2 13 3 2 3" xfId="21554"/>
    <cellStyle name="Финансовый 2 2 13 3 2 4" xfId="21555"/>
    <cellStyle name="Финансовый 2 2 13 3 2 5" xfId="21556"/>
    <cellStyle name="Финансовый 2 2 13 3 2 6" xfId="21557"/>
    <cellStyle name="Финансовый 2 2 13 3 2 7" xfId="21558"/>
    <cellStyle name="Финансовый 2 2 13 3 2 8" xfId="21559"/>
    <cellStyle name="Финансовый 2 2 13 3 2 9" xfId="21560"/>
    <cellStyle name="Финансовый 2 2 13 3 3" xfId="5031"/>
    <cellStyle name="Финансовый 2 2 13 3 3 2" xfId="21561"/>
    <cellStyle name="Финансовый 2 2 13 3 3 3" xfId="21562"/>
    <cellStyle name="Финансовый 2 2 13 3 3 4" xfId="21563"/>
    <cellStyle name="Финансовый 2 2 13 3 3 5" xfId="21564"/>
    <cellStyle name="Финансовый 2 2 13 3 3 6" xfId="21565"/>
    <cellStyle name="Финансовый 2 2 13 3 3 7" xfId="21566"/>
    <cellStyle name="Финансовый 2 2 13 3 3 8" xfId="21567"/>
    <cellStyle name="Финансовый 2 2 13 3 3 9" xfId="21568"/>
    <cellStyle name="Финансовый 2 2 13 3 4" xfId="21569"/>
    <cellStyle name="Финансовый 2 2 13 3 5" xfId="21570"/>
    <cellStyle name="Финансовый 2 2 13 3 6" xfId="21571"/>
    <cellStyle name="Финансовый 2 2 13 3 7" xfId="21572"/>
    <cellStyle name="Финансовый 2 2 13 3 8" xfId="21573"/>
    <cellStyle name="Финансовый 2 2 13 3 9" xfId="21574"/>
    <cellStyle name="Финансовый 2 2 13 4" xfId="5032"/>
    <cellStyle name="Финансовый 2 2 13 4 2" xfId="21575"/>
    <cellStyle name="Финансовый 2 2 13 4 3" xfId="21576"/>
    <cellStyle name="Финансовый 2 2 13 4 4" xfId="21577"/>
    <cellStyle name="Финансовый 2 2 13 4 5" xfId="21578"/>
    <cellStyle name="Финансовый 2 2 13 4 6" xfId="21579"/>
    <cellStyle name="Финансовый 2 2 13 4 7" xfId="21580"/>
    <cellStyle name="Финансовый 2 2 13 4 8" xfId="21581"/>
    <cellStyle name="Финансовый 2 2 13 4 9" xfId="21582"/>
    <cellStyle name="Финансовый 2 2 13 5" xfId="21583"/>
    <cellStyle name="Финансовый 2 2 13 6" xfId="21584"/>
    <cellStyle name="Финансовый 2 2 13 7" xfId="21585"/>
    <cellStyle name="Финансовый 2 2 13 8" xfId="21586"/>
    <cellStyle name="Финансовый 2 2 13 9" xfId="21587"/>
    <cellStyle name="Финансовый 2 2 14" xfId="5033"/>
    <cellStyle name="Финансовый 2 2 14 10" xfId="21588"/>
    <cellStyle name="Финансовый 2 2 14 11" xfId="21589"/>
    <cellStyle name="Финансовый 2 2 14 12" xfId="21590"/>
    <cellStyle name="Финансовый 2 2 14 2" xfId="5034"/>
    <cellStyle name="Финансовый 2 2 14 2 10" xfId="21591"/>
    <cellStyle name="Финансовый 2 2 14 2 11" xfId="21592"/>
    <cellStyle name="Финансовый 2 2 14 2 12" xfId="21593"/>
    <cellStyle name="Финансовый 2 2 14 2 2" xfId="5035"/>
    <cellStyle name="Финансовый 2 2 14 2 2 2" xfId="21594"/>
    <cellStyle name="Финансовый 2 2 14 2 2 3" xfId="21595"/>
    <cellStyle name="Финансовый 2 2 14 2 2 4" xfId="21596"/>
    <cellStyle name="Финансовый 2 2 14 2 2 5" xfId="21597"/>
    <cellStyle name="Финансовый 2 2 14 2 2 6" xfId="21598"/>
    <cellStyle name="Финансовый 2 2 14 2 2 7" xfId="21599"/>
    <cellStyle name="Финансовый 2 2 14 2 2 8" xfId="21600"/>
    <cellStyle name="Финансовый 2 2 14 2 2 9" xfId="21601"/>
    <cellStyle name="Финансовый 2 2 14 2 3" xfId="5036"/>
    <cellStyle name="Финансовый 2 2 14 2 3 2" xfId="21602"/>
    <cellStyle name="Финансовый 2 2 14 2 3 3" xfId="21603"/>
    <cellStyle name="Финансовый 2 2 14 2 3 4" xfId="21604"/>
    <cellStyle name="Финансовый 2 2 14 2 3 5" xfId="21605"/>
    <cellStyle name="Финансовый 2 2 14 2 3 6" xfId="21606"/>
    <cellStyle name="Финансовый 2 2 14 2 3 7" xfId="21607"/>
    <cellStyle name="Финансовый 2 2 14 2 3 8" xfId="21608"/>
    <cellStyle name="Финансовый 2 2 14 2 3 9" xfId="21609"/>
    <cellStyle name="Финансовый 2 2 14 2 4" xfId="5037"/>
    <cellStyle name="Финансовый 2 2 14 2 4 2" xfId="21610"/>
    <cellStyle name="Финансовый 2 2 14 2 4 3" xfId="21611"/>
    <cellStyle name="Финансовый 2 2 14 2 4 4" xfId="21612"/>
    <cellStyle name="Финансовый 2 2 14 2 4 5" xfId="21613"/>
    <cellStyle name="Финансовый 2 2 14 2 4 6" xfId="21614"/>
    <cellStyle name="Финансовый 2 2 14 2 4 7" xfId="21615"/>
    <cellStyle name="Финансовый 2 2 14 2 4 8" xfId="21616"/>
    <cellStyle name="Финансовый 2 2 14 2 4 9" xfId="21617"/>
    <cellStyle name="Финансовый 2 2 14 2 5" xfId="21618"/>
    <cellStyle name="Финансовый 2 2 14 2 6" xfId="21619"/>
    <cellStyle name="Финансовый 2 2 14 2 7" xfId="21620"/>
    <cellStyle name="Финансовый 2 2 14 2 8" xfId="21621"/>
    <cellStyle name="Финансовый 2 2 14 2 9" xfId="21622"/>
    <cellStyle name="Финансовый 2 2 14 3" xfId="5038"/>
    <cellStyle name="Финансовый 2 2 14 3 10" xfId="21623"/>
    <cellStyle name="Финансовый 2 2 14 3 11" xfId="21624"/>
    <cellStyle name="Финансовый 2 2 14 3 2" xfId="5039"/>
    <cellStyle name="Финансовый 2 2 14 3 2 2" xfId="21625"/>
    <cellStyle name="Финансовый 2 2 14 3 2 3" xfId="21626"/>
    <cellStyle name="Финансовый 2 2 14 3 2 4" xfId="21627"/>
    <cellStyle name="Финансовый 2 2 14 3 2 5" xfId="21628"/>
    <cellStyle name="Финансовый 2 2 14 3 2 6" xfId="21629"/>
    <cellStyle name="Финансовый 2 2 14 3 2 7" xfId="21630"/>
    <cellStyle name="Финансовый 2 2 14 3 2 8" xfId="21631"/>
    <cellStyle name="Финансовый 2 2 14 3 2 9" xfId="21632"/>
    <cellStyle name="Финансовый 2 2 14 3 3" xfId="5040"/>
    <cellStyle name="Финансовый 2 2 14 3 3 2" xfId="21633"/>
    <cellStyle name="Финансовый 2 2 14 3 3 3" xfId="21634"/>
    <cellStyle name="Финансовый 2 2 14 3 3 4" xfId="21635"/>
    <cellStyle name="Финансовый 2 2 14 3 3 5" xfId="21636"/>
    <cellStyle name="Финансовый 2 2 14 3 3 6" xfId="21637"/>
    <cellStyle name="Финансовый 2 2 14 3 3 7" xfId="21638"/>
    <cellStyle name="Финансовый 2 2 14 3 3 8" xfId="21639"/>
    <cellStyle name="Финансовый 2 2 14 3 3 9" xfId="21640"/>
    <cellStyle name="Финансовый 2 2 14 3 4" xfId="21641"/>
    <cellStyle name="Финансовый 2 2 14 3 5" xfId="21642"/>
    <cellStyle name="Финансовый 2 2 14 3 6" xfId="21643"/>
    <cellStyle name="Финансовый 2 2 14 3 7" xfId="21644"/>
    <cellStyle name="Финансовый 2 2 14 3 8" xfId="21645"/>
    <cellStyle name="Финансовый 2 2 14 3 9" xfId="21646"/>
    <cellStyle name="Финансовый 2 2 14 4" xfId="5041"/>
    <cellStyle name="Финансовый 2 2 14 4 2" xfId="21647"/>
    <cellStyle name="Финансовый 2 2 14 4 3" xfId="21648"/>
    <cellStyle name="Финансовый 2 2 14 4 4" xfId="21649"/>
    <cellStyle name="Финансовый 2 2 14 4 5" xfId="21650"/>
    <cellStyle name="Финансовый 2 2 14 4 6" xfId="21651"/>
    <cellStyle name="Финансовый 2 2 14 4 7" xfId="21652"/>
    <cellStyle name="Финансовый 2 2 14 4 8" xfId="21653"/>
    <cellStyle name="Финансовый 2 2 14 4 9" xfId="21654"/>
    <cellStyle name="Финансовый 2 2 14 5" xfId="21655"/>
    <cellStyle name="Финансовый 2 2 14 6" xfId="21656"/>
    <cellStyle name="Финансовый 2 2 14 7" xfId="21657"/>
    <cellStyle name="Финансовый 2 2 14 8" xfId="21658"/>
    <cellStyle name="Финансовый 2 2 14 9" xfId="21659"/>
    <cellStyle name="Финансовый 2 2 15" xfId="5042"/>
    <cellStyle name="Финансовый 2 2 15 2" xfId="5043"/>
    <cellStyle name="Финансовый 2 2 15 2 2" xfId="5044"/>
    <cellStyle name="Финансовый 2 2 15 2 3" xfId="5045"/>
    <cellStyle name="Финансовый 2 2 15 3" xfId="5046"/>
    <cellStyle name="Финансовый 2 2 15 4" xfId="5047"/>
    <cellStyle name="Финансовый 2 2 15 4 2" xfId="21660"/>
    <cellStyle name="Финансовый 2 2 15 4 3" xfId="21661"/>
    <cellStyle name="Финансовый 2 2 15 4 4" xfId="21662"/>
    <cellStyle name="Финансовый 2 2 15 4 5" xfId="21663"/>
    <cellStyle name="Финансовый 2 2 15 5" xfId="21664"/>
    <cellStyle name="Финансовый 2 2 15 6" xfId="21665"/>
    <cellStyle name="Финансовый 2 2 15 7" xfId="21666"/>
    <cellStyle name="Финансовый 2 2 15 8" xfId="21667"/>
    <cellStyle name="Финансовый 2 2 16" xfId="5048"/>
    <cellStyle name="Финансовый 2 2 16 2" xfId="5049"/>
    <cellStyle name="Финансовый 2 2 16 2 2" xfId="5050"/>
    <cellStyle name="Финансовый 2 2 16 2 3" xfId="5051"/>
    <cellStyle name="Финансовый 2 2 16 3" xfId="5052"/>
    <cellStyle name="Финансовый 2 2 16 4" xfId="5053"/>
    <cellStyle name="Финансовый 2 2 16 4 2" xfId="21668"/>
    <cellStyle name="Финансовый 2 2 16 4 3" xfId="21669"/>
    <cellStyle name="Финансовый 2 2 16 4 4" xfId="21670"/>
    <cellStyle name="Финансовый 2 2 16 4 5" xfId="21671"/>
    <cellStyle name="Финансовый 2 2 16 5" xfId="21672"/>
    <cellStyle name="Финансовый 2 2 16 6" xfId="21673"/>
    <cellStyle name="Финансовый 2 2 16 7" xfId="21674"/>
    <cellStyle name="Финансовый 2 2 16 8" xfId="21675"/>
    <cellStyle name="Финансовый 2 2 17" xfId="5054"/>
    <cellStyle name="Финансовый 2 2 17 2" xfId="5055"/>
    <cellStyle name="Финансовый 2 2 17 2 2" xfId="5056"/>
    <cellStyle name="Финансовый 2 2 17 2 3" xfId="5057"/>
    <cellStyle name="Финансовый 2 2 17 3" xfId="5058"/>
    <cellStyle name="Финансовый 2 2 17 4" xfId="5059"/>
    <cellStyle name="Финансовый 2 2 17 4 2" xfId="21676"/>
    <cellStyle name="Финансовый 2 2 17 4 3" xfId="21677"/>
    <cellStyle name="Финансовый 2 2 17 4 4" xfId="21678"/>
    <cellStyle name="Финансовый 2 2 17 4 5" xfId="21679"/>
    <cellStyle name="Финансовый 2 2 17 5" xfId="21680"/>
    <cellStyle name="Финансовый 2 2 17 6" xfId="21681"/>
    <cellStyle name="Финансовый 2 2 17 7" xfId="21682"/>
    <cellStyle name="Финансовый 2 2 17 8" xfId="21683"/>
    <cellStyle name="Финансовый 2 2 18" xfId="5060"/>
    <cellStyle name="Финансовый 2 2 18 2" xfId="5061"/>
    <cellStyle name="Финансовый 2 2 18 2 2" xfId="5062"/>
    <cellStyle name="Финансовый 2 2 18 2 3" xfId="5063"/>
    <cellStyle name="Финансовый 2 2 18 3" xfId="5064"/>
    <cellStyle name="Финансовый 2 2 18 4" xfId="5065"/>
    <cellStyle name="Финансовый 2 2 18 4 2" xfId="21684"/>
    <cellStyle name="Финансовый 2 2 18 4 3" xfId="21685"/>
    <cellStyle name="Финансовый 2 2 18 4 4" xfId="21686"/>
    <cellStyle name="Финансовый 2 2 18 4 5" xfId="21687"/>
    <cellStyle name="Финансовый 2 2 18 5" xfId="21688"/>
    <cellStyle name="Финансовый 2 2 18 6" xfId="21689"/>
    <cellStyle name="Финансовый 2 2 18 7" xfId="21690"/>
    <cellStyle name="Финансовый 2 2 18 8" xfId="21691"/>
    <cellStyle name="Финансовый 2 2 19" xfId="5066"/>
    <cellStyle name="Финансовый 2 2 19 2" xfId="5067"/>
    <cellStyle name="Финансовый 2 2 19 2 2" xfId="5068"/>
    <cellStyle name="Финансовый 2 2 19 2 3" xfId="5069"/>
    <cellStyle name="Финансовый 2 2 19 3" xfId="5070"/>
    <cellStyle name="Финансовый 2 2 19 4" xfId="5071"/>
    <cellStyle name="Финансовый 2 2 19 4 2" xfId="21692"/>
    <cellStyle name="Финансовый 2 2 19 4 3" xfId="21693"/>
    <cellStyle name="Финансовый 2 2 19 4 4" xfId="21694"/>
    <cellStyle name="Финансовый 2 2 19 4 5" xfId="21695"/>
    <cellStyle name="Финансовый 2 2 19 5" xfId="21696"/>
    <cellStyle name="Финансовый 2 2 19 6" xfId="21697"/>
    <cellStyle name="Финансовый 2 2 19 7" xfId="21698"/>
    <cellStyle name="Финансовый 2 2 19 8" xfId="21699"/>
    <cellStyle name="Финансовый 2 2 2" xfId="5072"/>
    <cellStyle name="Финансовый 2 2 2 10" xfId="5073"/>
    <cellStyle name="Финансовый 2 2 2 10 10" xfId="21700"/>
    <cellStyle name="Финансовый 2 2 2 10 11" xfId="21701"/>
    <cellStyle name="Финансовый 2 2 2 10 12" xfId="21702"/>
    <cellStyle name="Финансовый 2 2 2 10 2" xfId="5074"/>
    <cellStyle name="Финансовый 2 2 2 10 2 10" xfId="21703"/>
    <cellStyle name="Финансовый 2 2 2 10 2 11" xfId="21704"/>
    <cellStyle name="Финансовый 2 2 2 10 2 12" xfId="21705"/>
    <cellStyle name="Финансовый 2 2 2 10 2 2" xfId="5075"/>
    <cellStyle name="Финансовый 2 2 2 10 2 2 2" xfId="21706"/>
    <cellStyle name="Финансовый 2 2 2 10 2 2 3" xfId="21707"/>
    <cellStyle name="Финансовый 2 2 2 10 2 2 4" xfId="21708"/>
    <cellStyle name="Финансовый 2 2 2 10 2 2 5" xfId="21709"/>
    <cellStyle name="Финансовый 2 2 2 10 2 2 6" xfId="21710"/>
    <cellStyle name="Финансовый 2 2 2 10 2 2 7" xfId="21711"/>
    <cellStyle name="Финансовый 2 2 2 10 2 2 8" xfId="21712"/>
    <cellStyle name="Финансовый 2 2 2 10 2 2 9" xfId="21713"/>
    <cellStyle name="Финансовый 2 2 2 10 2 3" xfId="5076"/>
    <cellStyle name="Финансовый 2 2 2 10 2 3 2" xfId="21714"/>
    <cellStyle name="Финансовый 2 2 2 10 2 3 3" xfId="21715"/>
    <cellStyle name="Финансовый 2 2 2 10 2 3 4" xfId="21716"/>
    <cellStyle name="Финансовый 2 2 2 10 2 3 5" xfId="21717"/>
    <cellStyle name="Финансовый 2 2 2 10 2 3 6" xfId="21718"/>
    <cellStyle name="Финансовый 2 2 2 10 2 3 7" xfId="21719"/>
    <cellStyle name="Финансовый 2 2 2 10 2 3 8" xfId="21720"/>
    <cellStyle name="Финансовый 2 2 2 10 2 3 9" xfId="21721"/>
    <cellStyle name="Финансовый 2 2 2 10 2 4" xfId="5077"/>
    <cellStyle name="Финансовый 2 2 2 10 2 4 2" xfId="21722"/>
    <cellStyle name="Финансовый 2 2 2 10 2 4 3" xfId="21723"/>
    <cellStyle name="Финансовый 2 2 2 10 2 4 4" xfId="21724"/>
    <cellStyle name="Финансовый 2 2 2 10 2 4 5" xfId="21725"/>
    <cellStyle name="Финансовый 2 2 2 10 2 4 6" xfId="21726"/>
    <cellStyle name="Финансовый 2 2 2 10 2 4 7" xfId="21727"/>
    <cellStyle name="Финансовый 2 2 2 10 2 4 8" xfId="21728"/>
    <cellStyle name="Финансовый 2 2 2 10 2 4 9" xfId="21729"/>
    <cellStyle name="Финансовый 2 2 2 10 2 5" xfId="21730"/>
    <cellStyle name="Финансовый 2 2 2 10 2 6" xfId="21731"/>
    <cellStyle name="Финансовый 2 2 2 10 2 7" xfId="21732"/>
    <cellStyle name="Финансовый 2 2 2 10 2 8" xfId="21733"/>
    <cellStyle name="Финансовый 2 2 2 10 2 9" xfId="21734"/>
    <cellStyle name="Финансовый 2 2 2 10 3" xfId="5078"/>
    <cellStyle name="Финансовый 2 2 2 10 3 10" xfId="21735"/>
    <cellStyle name="Финансовый 2 2 2 10 3 11" xfId="21736"/>
    <cellStyle name="Финансовый 2 2 2 10 3 2" xfId="5079"/>
    <cellStyle name="Финансовый 2 2 2 10 3 2 2" xfId="21737"/>
    <cellStyle name="Финансовый 2 2 2 10 3 2 3" xfId="21738"/>
    <cellStyle name="Финансовый 2 2 2 10 3 2 4" xfId="21739"/>
    <cellStyle name="Финансовый 2 2 2 10 3 2 5" xfId="21740"/>
    <cellStyle name="Финансовый 2 2 2 10 3 2 6" xfId="21741"/>
    <cellStyle name="Финансовый 2 2 2 10 3 2 7" xfId="21742"/>
    <cellStyle name="Финансовый 2 2 2 10 3 2 8" xfId="21743"/>
    <cellStyle name="Финансовый 2 2 2 10 3 2 9" xfId="21744"/>
    <cellStyle name="Финансовый 2 2 2 10 3 3" xfId="5080"/>
    <cellStyle name="Финансовый 2 2 2 10 3 3 2" xfId="21745"/>
    <cellStyle name="Финансовый 2 2 2 10 3 3 3" xfId="21746"/>
    <cellStyle name="Финансовый 2 2 2 10 3 3 4" xfId="21747"/>
    <cellStyle name="Финансовый 2 2 2 10 3 3 5" xfId="21748"/>
    <cellStyle name="Финансовый 2 2 2 10 3 3 6" xfId="21749"/>
    <cellStyle name="Финансовый 2 2 2 10 3 3 7" xfId="21750"/>
    <cellStyle name="Финансовый 2 2 2 10 3 3 8" xfId="21751"/>
    <cellStyle name="Финансовый 2 2 2 10 3 3 9" xfId="21752"/>
    <cellStyle name="Финансовый 2 2 2 10 3 4" xfId="21753"/>
    <cellStyle name="Финансовый 2 2 2 10 3 5" xfId="21754"/>
    <cellStyle name="Финансовый 2 2 2 10 3 6" xfId="21755"/>
    <cellStyle name="Финансовый 2 2 2 10 3 7" xfId="21756"/>
    <cellStyle name="Финансовый 2 2 2 10 3 8" xfId="21757"/>
    <cellStyle name="Финансовый 2 2 2 10 3 9" xfId="21758"/>
    <cellStyle name="Финансовый 2 2 2 10 4" xfId="5081"/>
    <cellStyle name="Финансовый 2 2 2 10 4 2" xfId="21759"/>
    <cellStyle name="Финансовый 2 2 2 10 4 3" xfId="21760"/>
    <cellStyle name="Финансовый 2 2 2 10 4 4" xfId="21761"/>
    <cellStyle name="Финансовый 2 2 2 10 4 5" xfId="21762"/>
    <cellStyle name="Финансовый 2 2 2 10 4 6" xfId="21763"/>
    <cellStyle name="Финансовый 2 2 2 10 4 7" xfId="21764"/>
    <cellStyle name="Финансовый 2 2 2 10 4 8" xfId="21765"/>
    <cellStyle name="Финансовый 2 2 2 10 4 9" xfId="21766"/>
    <cellStyle name="Финансовый 2 2 2 10 5" xfId="21767"/>
    <cellStyle name="Финансовый 2 2 2 10 6" xfId="21768"/>
    <cellStyle name="Финансовый 2 2 2 10 7" xfId="21769"/>
    <cellStyle name="Финансовый 2 2 2 10 8" xfId="21770"/>
    <cellStyle name="Финансовый 2 2 2 10 9" xfId="21771"/>
    <cellStyle name="Финансовый 2 2 2 11" xfId="5082"/>
    <cellStyle name="Финансовый 2 2 2 11 10" xfId="21772"/>
    <cellStyle name="Финансовый 2 2 2 11 11" xfId="21773"/>
    <cellStyle name="Финансовый 2 2 2 11 12" xfId="21774"/>
    <cellStyle name="Финансовый 2 2 2 11 2" xfId="5083"/>
    <cellStyle name="Финансовый 2 2 2 11 2 2" xfId="21775"/>
    <cellStyle name="Финансовый 2 2 2 11 2 3" xfId="21776"/>
    <cellStyle name="Финансовый 2 2 2 11 2 4" xfId="21777"/>
    <cellStyle name="Финансовый 2 2 2 11 2 5" xfId="21778"/>
    <cellStyle name="Финансовый 2 2 2 11 2 6" xfId="21779"/>
    <cellStyle name="Финансовый 2 2 2 11 2 7" xfId="21780"/>
    <cellStyle name="Финансовый 2 2 2 11 2 8" xfId="21781"/>
    <cellStyle name="Финансовый 2 2 2 11 2 9" xfId="21782"/>
    <cellStyle name="Финансовый 2 2 2 11 3" xfId="5084"/>
    <cellStyle name="Финансовый 2 2 2 11 3 2" xfId="21783"/>
    <cellStyle name="Финансовый 2 2 2 11 3 3" xfId="21784"/>
    <cellStyle name="Финансовый 2 2 2 11 3 4" xfId="21785"/>
    <cellStyle name="Финансовый 2 2 2 11 3 5" xfId="21786"/>
    <cellStyle name="Финансовый 2 2 2 11 3 6" xfId="21787"/>
    <cellStyle name="Финансовый 2 2 2 11 3 7" xfId="21788"/>
    <cellStyle name="Финансовый 2 2 2 11 3 8" xfId="21789"/>
    <cellStyle name="Финансовый 2 2 2 11 3 9" xfId="21790"/>
    <cellStyle name="Финансовый 2 2 2 11 4" xfId="5085"/>
    <cellStyle name="Финансовый 2 2 2 11 4 2" xfId="21791"/>
    <cellStyle name="Финансовый 2 2 2 11 4 3" xfId="21792"/>
    <cellStyle name="Финансовый 2 2 2 11 4 4" xfId="21793"/>
    <cellStyle name="Финансовый 2 2 2 11 4 5" xfId="21794"/>
    <cellStyle name="Финансовый 2 2 2 11 4 6" xfId="21795"/>
    <cellStyle name="Финансовый 2 2 2 11 4 7" xfId="21796"/>
    <cellStyle name="Финансовый 2 2 2 11 4 8" xfId="21797"/>
    <cellStyle name="Финансовый 2 2 2 11 4 9" xfId="21798"/>
    <cellStyle name="Финансовый 2 2 2 11 5" xfId="21799"/>
    <cellStyle name="Финансовый 2 2 2 11 6" xfId="21800"/>
    <cellStyle name="Финансовый 2 2 2 11 7" xfId="21801"/>
    <cellStyle name="Финансовый 2 2 2 11 8" xfId="21802"/>
    <cellStyle name="Финансовый 2 2 2 11 9" xfId="21803"/>
    <cellStyle name="Финансовый 2 2 2 12" xfId="5086"/>
    <cellStyle name="Финансовый 2 2 2 12 10" xfId="21804"/>
    <cellStyle name="Финансовый 2 2 2 12 11" xfId="21805"/>
    <cellStyle name="Финансовый 2 2 2 12 2" xfId="5087"/>
    <cellStyle name="Финансовый 2 2 2 12 2 2" xfId="21806"/>
    <cellStyle name="Финансовый 2 2 2 12 2 3" xfId="21807"/>
    <cellStyle name="Финансовый 2 2 2 12 2 4" xfId="21808"/>
    <cellStyle name="Финансовый 2 2 2 12 2 5" xfId="21809"/>
    <cellStyle name="Финансовый 2 2 2 12 2 6" xfId="21810"/>
    <cellStyle name="Финансовый 2 2 2 12 2 7" xfId="21811"/>
    <cellStyle name="Финансовый 2 2 2 12 2 8" xfId="21812"/>
    <cellStyle name="Финансовый 2 2 2 12 2 9" xfId="21813"/>
    <cellStyle name="Финансовый 2 2 2 12 3" xfId="5088"/>
    <cellStyle name="Финансовый 2 2 2 12 3 2" xfId="21814"/>
    <cellStyle name="Финансовый 2 2 2 12 3 3" xfId="21815"/>
    <cellStyle name="Финансовый 2 2 2 12 3 4" xfId="21816"/>
    <cellStyle name="Финансовый 2 2 2 12 3 5" xfId="21817"/>
    <cellStyle name="Финансовый 2 2 2 12 3 6" xfId="21818"/>
    <cellStyle name="Финансовый 2 2 2 12 3 7" xfId="21819"/>
    <cellStyle name="Финансовый 2 2 2 12 3 8" xfId="21820"/>
    <cellStyle name="Финансовый 2 2 2 12 3 9" xfId="21821"/>
    <cellStyle name="Финансовый 2 2 2 12 4" xfId="21822"/>
    <cellStyle name="Финансовый 2 2 2 12 5" xfId="21823"/>
    <cellStyle name="Финансовый 2 2 2 12 6" xfId="21824"/>
    <cellStyle name="Финансовый 2 2 2 12 7" xfId="21825"/>
    <cellStyle name="Финансовый 2 2 2 12 8" xfId="21826"/>
    <cellStyle name="Финансовый 2 2 2 12 9" xfId="21827"/>
    <cellStyle name="Финансовый 2 2 2 13" xfId="5089"/>
    <cellStyle name="Финансовый 2 2 2 13 2" xfId="21828"/>
    <cellStyle name="Финансовый 2 2 2 13 3" xfId="21829"/>
    <cellStyle name="Финансовый 2 2 2 13 4" xfId="21830"/>
    <cellStyle name="Финансовый 2 2 2 13 5" xfId="21831"/>
    <cellStyle name="Финансовый 2 2 2 13 6" xfId="21832"/>
    <cellStyle name="Финансовый 2 2 2 13 7" xfId="21833"/>
    <cellStyle name="Финансовый 2 2 2 13 8" xfId="21834"/>
    <cellStyle name="Финансовый 2 2 2 13 9" xfId="21835"/>
    <cellStyle name="Финансовый 2 2 2 14" xfId="21836"/>
    <cellStyle name="Финансовый 2 2 2 15" xfId="21837"/>
    <cellStyle name="Финансовый 2 2 2 16" xfId="21838"/>
    <cellStyle name="Финансовый 2 2 2 17" xfId="21839"/>
    <cellStyle name="Финансовый 2 2 2 18" xfId="21840"/>
    <cellStyle name="Финансовый 2 2 2 19" xfId="21841"/>
    <cellStyle name="Финансовый 2 2 2 2" xfId="5090"/>
    <cellStyle name="Финансовый 2 2 2 2 2" xfId="5091"/>
    <cellStyle name="Финансовый 2 2 2 2 2 10" xfId="21842"/>
    <cellStyle name="Финансовый 2 2 2 2 2 11" xfId="21843"/>
    <cellStyle name="Финансовый 2 2 2 2 2 12" xfId="21844"/>
    <cellStyle name="Финансовый 2 2 2 2 2 2" xfId="5092"/>
    <cellStyle name="Финансовый 2 2 2 2 2 2 10" xfId="21845"/>
    <cellStyle name="Финансовый 2 2 2 2 2 2 11" xfId="21846"/>
    <cellStyle name="Финансовый 2 2 2 2 2 2 12" xfId="21847"/>
    <cellStyle name="Финансовый 2 2 2 2 2 2 2" xfId="5093"/>
    <cellStyle name="Финансовый 2 2 2 2 2 2 2 2" xfId="21848"/>
    <cellStyle name="Финансовый 2 2 2 2 2 2 2 3" xfId="21849"/>
    <cellStyle name="Финансовый 2 2 2 2 2 2 2 4" xfId="21850"/>
    <cellStyle name="Финансовый 2 2 2 2 2 2 2 5" xfId="21851"/>
    <cellStyle name="Финансовый 2 2 2 2 2 2 2 6" xfId="21852"/>
    <cellStyle name="Финансовый 2 2 2 2 2 2 2 7" xfId="21853"/>
    <cellStyle name="Финансовый 2 2 2 2 2 2 2 8" xfId="21854"/>
    <cellStyle name="Финансовый 2 2 2 2 2 2 2 9" xfId="21855"/>
    <cellStyle name="Финансовый 2 2 2 2 2 2 3" xfId="5094"/>
    <cellStyle name="Финансовый 2 2 2 2 2 2 3 2" xfId="21856"/>
    <cellStyle name="Финансовый 2 2 2 2 2 2 3 3" xfId="21857"/>
    <cellStyle name="Финансовый 2 2 2 2 2 2 3 4" xfId="21858"/>
    <cellStyle name="Финансовый 2 2 2 2 2 2 3 5" xfId="21859"/>
    <cellStyle name="Финансовый 2 2 2 2 2 2 3 6" xfId="21860"/>
    <cellStyle name="Финансовый 2 2 2 2 2 2 3 7" xfId="21861"/>
    <cellStyle name="Финансовый 2 2 2 2 2 2 3 8" xfId="21862"/>
    <cellStyle name="Финансовый 2 2 2 2 2 2 3 9" xfId="21863"/>
    <cellStyle name="Финансовый 2 2 2 2 2 2 4" xfId="5095"/>
    <cellStyle name="Финансовый 2 2 2 2 2 2 4 2" xfId="21864"/>
    <cellStyle name="Финансовый 2 2 2 2 2 2 4 3" xfId="21865"/>
    <cellStyle name="Финансовый 2 2 2 2 2 2 4 4" xfId="21866"/>
    <cellStyle name="Финансовый 2 2 2 2 2 2 4 5" xfId="21867"/>
    <cellStyle name="Финансовый 2 2 2 2 2 2 4 6" xfId="21868"/>
    <cellStyle name="Финансовый 2 2 2 2 2 2 4 7" xfId="21869"/>
    <cellStyle name="Финансовый 2 2 2 2 2 2 4 8" xfId="21870"/>
    <cellStyle name="Финансовый 2 2 2 2 2 2 4 9" xfId="21871"/>
    <cellStyle name="Финансовый 2 2 2 2 2 2 5" xfId="21872"/>
    <cellStyle name="Финансовый 2 2 2 2 2 2 6" xfId="21873"/>
    <cellStyle name="Финансовый 2 2 2 2 2 2 7" xfId="21874"/>
    <cellStyle name="Финансовый 2 2 2 2 2 2 8" xfId="21875"/>
    <cellStyle name="Финансовый 2 2 2 2 2 2 9" xfId="21876"/>
    <cellStyle name="Финансовый 2 2 2 2 2 3" xfId="5096"/>
    <cellStyle name="Финансовый 2 2 2 2 2 3 10" xfId="21877"/>
    <cellStyle name="Финансовый 2 2 2 2 2 3 11" xfId="21878"/>
    <cellStyle name="Финансовый 2 2 2 2 2 3 2" xfId="5097"/>
    <cellStyle name="Финансовый 2 2 2 2 2 3 2 2" xfId="21879"/>
    <cellStyle name="Финансовый 2 2 2 2 2 3 2 3" xfId="21880"/>
    <cellStyle name="Финансовый 2 2 2 2 2 3 2 4" xfId="21881"/>
    <cellStyle name="Финансовый 2 2 2 2 2 3 2 5" xfId="21882"/>
    <cellStyle name="Финансовый 2 2 2 2 2 3 2 6" xfId="21883"/>
    <cellStyle name="Финансовый 2 2 2 2 2 3 2 7" xfId="21884"/>
    <cellStyle name="Финансовый 2 2 2 2 2 3 2 8" xfId="21885"/>
    <cellStyle name="Финансовый 2 2 2 2 2 3 2 9" xfId="21886"/>
    <cellStyle name="Финансовый 2 2 2 2 2 3 3" xfId="5098"/>
    <cellStyle name="Финансовый 2 2 2 2 2 3 3 2" xfId="21887"/>
    <cellStyle name="Финансовый 2 2 2 2 2 3 3 3" xfId="21888"/>
    <cellStyle name="Финансовый 2 2 2 2 2 3 3 4" xfId="21889"/>
    <cellStyle name="Финансовый 2 2 2 2 2 3 3 5" xfId="21890"/>
    <cellStyle name="Финансовый 2 2 2 2 2 3 3 6" xfId="21891"/>
    <cellStyle name="Финансовый 2 2 2 2 2 3 3 7" xfId="21892"/>
    <cellStyle name="Финансовый 2 2 2 2 2 3 3 8" xfId="21893"/>
    <cellStyle name="Финансовый 2 2 2 2 2 3 3 9" xfId="21894"/>
    <cellStyle name="Финансовый 2 2 2 2 2 3 4" xfId="21895"/>
    <cellStyle name="Финансовый 2 2 2 2 2 3 5" xfId="21896"/>
    <cellStyle name="Финансовый 2 2 2 2 2 3 6" xfId="21897"/>
    <cellStyle name="Финансовый 2 2 2 2 2 3 7" xfId="21898"/>
    <cellStyle name="Финансовый 2 2 2 2 2 3 8" xfId="21899"/>
    <cellStyle name="Финансовый 2 2 2 2 2 3 9" xfId="21900"/>
    <cellStyle name="Финансовый 2 2 2 2 2 4" xfId="5099"/>
    <cellStyle name="Финансовый 2 2 2 2 2 4 2" xfId="21901"/>
    <cellStyle name="Финансовый 2 2 2 2 2 4 3" xfId="21902"/>
    <cellStyle name="Финансовый 2 2 2 2 2 4 4" xfId="21903"/>
    <cellStyle name="Финансовый 2 2 2 2 2 4 5" xfId="21904"/>
    <cellStyle name="Финансовый 2 2 2 2 2 4 6" xfId="21905"/>
    <cellStyle name="Финансовый 2 2 2 2 2 4 7" xfId="21906"/>
    <cellStyle name="Финансовый 2 2 2 2 2 4 8" xfId="21907"/>
    <cellStyle name="Финансовый 2 2 2 2 2 4 9" xfId="21908"/>
    <cellStyle name="Финансовый 2 2 2 2 2 5" xfId="21909"/>
    <cellStyle name="Финансовый 2 2 2 2 2 6" xfId="21910"/>
    <cellStyle name="Финансовый 2 2 2 2 2 7" xfId="21911"/>
    <cellStyle name="Финансовый 2 2 2 2 2 8" xfId="21912"/>
    <cellStyle name="Финансовый 2 2 2 2 2 9" xfId="21913"/>
    <cellStyle name="Финансовый 2 2 2 2 3" xfId="5100"/>
    <cellStyle name="Финансовый 2 2 2 2 3 2" xfId="5101"/>
    <cellStyle name="Финансовый 2 2 2 2 3 3" xfId="5102"/>
    <cellStyle name="Финансовый 2 2 2 2 4" xfId="5103"/>
    <cellStyle name="Финансовый 2 2 2 2 5" xfId="5104"/>
    <cellStyle name="Финансовый 2 2 2 2 5 2" xfId="21914"/>
    <cellStyle name="Финансовый 2 2 2 2 5 3" xfId="21915"/>
    <cellStyle name="Финансовый 2 2 2 2 5 4" xfId="21916"/>
    <cellStyle name="Финансовый 2 2 2 2 5 5" xfId="21917"/>
    <cellStyle name="Финансовый 2 2 2 2 6" xfId="21918"/>
    <cellStyle name="Финансовый 2 2 2 2 7" xfId="21919"/>
    <cellStyle name="Финансовый 2 2 2 2 8" xfId="21920"/>
    <cellStyle name="Финансовый 2 2 2 2 9" xfId="21921"/>
    <cellStyle name="Финансовый 2 2 2 20" xfId="21922"/>
    <cellStyle name="Финансовый 2 2 2 21" xfId="21923"/>
    <cellStyle name="Финансовый 2 2 2 3" xfId="5105"/>
    <cellStyle name="Финансовый 2 2 2 3 10" xfId="21924"/>
    <cellStyle name="Финансовый 2 2 2 3 11" xfId="21925"/>
    <cellStyle name="Финансовый 2 2 2 3 12" xfId="21926"/>
    <cellStyle name="Финансовый 2 2 2 3 2" xfId="5106"/>
    <cellStyle name="Финансовый 2 2 2 3 2 10" xfId="21927"/>
    <cellStyle name="Финансовый 2 2 2 3 2 11" xfId="21928"/>
    <cellStyle name="Финансовый 2 2 2 3 2 12" xfId="21929"/>
    <cellStyle name="Финансовый 2 2 2 3 2 2" xfId="5107"/>
    <cellStyle name="Финансовый 2 2 2 3 2 2 2" xfId="21930"/>
    <cellStyle name="Финансовый 2 2 2 3 2 2 3" xfId="21931"/>
    <cellStyle name="Финансовый 2 2 2 3 2 2 4" xfId="21932"/>
    <cellStyle name="Финансовый 2 2 2 3 2 2 5" xfId="21933"/>
    <cellStyle name="Финансовый 2 2 2 3 2 2 6" xfId="21934"/>
    <cellStyle name="Финансовый 2 2 2 3 2 2 7" xfId="21935"/>
    <cellStyle name="Финансовый 2 2 2 3 2 2 8" xfId="21936"/>
    <cellStyle name="Финансовый 2 2 2 3 2 2 9" xfId="21937"/>
    <cellStyle name="Финансовый 2 2 2 3 2 3" xfId="5108"/>
    <cellStyle name="Финансовый 2 2 2 3 2 3 2" xfId="21938"/>
    <cellStyle name="Финансовый 2 2 2 3 2 3 3" xfId="21939"/>
    <cellStyle name="Финансовый 2 2 2 3 2 3 4" xfId="21940"/>
    <cellStyle name="Финансовый 2 2 2 3 2 3 5" xfId="21941"/>
    <cellStyle name="Финансовый 2 2 2 3 2 3 6" xfId="21942"/>
    <cellStyle name="Финансовый 2 2 2 3 2 3 7" xfId="21943"/>
    <cellStyle name="Финансовый 2 2 2 3 2 3 8" xfId="21944"/>
    <cellStyle name="Финансовый 2 2 2 3 2 3 9" xfId="21945"/>
    <cellStyle name="Финансовый 2 2 2 3 2 4" xfId="5109"/>
    <cellStyle name="Финансовый 2 2 2 3 2 4 2" xfId="21946"/>
    <cellStyle name="Финансовый 2 2 2 3 2 4 3" xfId="21947"/>
    <cellStyle name="Финансовый 2 2 2 3 2 4 4" xfId="21948"/>
    <cellStyle name="Финансовый 2 2 2 3 2 4 5" xfId="21949"/>
    <cellStyle name="Финансовый 2 2 2 3 2 4 6" xfId="21950"/>
    <cellStyle name="Финансовый 2 2 2 3 2 4 7" xfId="21951"/>
    <cellStyle name="Финансовый 2 2 2 3 2 4 8" xfId="21952"/>
    <cellStyle name="Финансовый 2 2 2 3 2 4 9" xfId="21953"/>
    <cellStyle name="Финансовый 2 2 2 3 2 5" xfId="21954"/>
    <cellStyle name="Финансовый 2 2 2 3 2 6" xfId="21955"/>
    <cellStyle name="Финансовый 2 2 2 3 2 7" xfId="21956"/>
    <cellStyle name="Финансовый 2 2 2 3 2 8" xfId="21957"/>
    <cellStyle name="Финансовый 2 2 2 3 2 9" xfId="21958"/>
    <cellStyle name="Финансовый 2 2 2 3 3" xfId="5110"/>
    <cellStyle name="Финансовый 2 2 2 3 3 10" xfId="21959"/>
    <cellStyle name="Финансовый 2 2 2 3 3 11" xfId="21960"/>
    <cellStyle name="Финансовый 2 2 2 3 3 2" xfId="5111"/>
    <cellStyle name="Финансовый 2 2 2 3 3 2 2" xfId="21961"/>
    <cellStyle name="Финансовый 2 2 2 3 3 2 3" xfId="21962"/>
    <cellStyle name="Финансовый 2 2 2 3 3 2 4" xfId="21963"/>
    <cellStyle name="Финансовый 2 2 2 3 3 2 5" xfId="21964"/>
    <cellStyle name="Финансовый 2 2 2 3 3 2 6" xfId="21965"/>
    <cellStyle name="Финансовый 2 2 2 3 3 2 7" xfId="21966"/>
    <cellStyle name="Финансовый 2 2 2 3 3 2 8" xfId="21967"/>
    <cellStyle name="Финансовый 2 2 2 3 3 2 9" xfId="21968"/>
    <cellStyle name="Финансовый 2 2 2 3 3 3" xfId="5112"/>
    <cellStyle name="Финансовый 2 2 2 3 3 3 2" xfId="21969"/>
    <cellStyle name="Финансовый 2 2 2 3 3 3 3" xfId="21970"/>
    <cellStyle name="Финансовый 2 2 2 3 3 3 4" xfId="21971"/>
    <cellStyle name="Финансовый 2 2 2 3 3 3 5" xfId="21972"/>
    <cellStyle name="Финансовый 2 2 2 3 3 3 6" xfId="21973"/>
    <cellStyle name="Финансовый 2 2 2 3 3 3 7" xfId="21974"/>
    <cellStyle name="Финансовый 2 2 2 3 3 3 8" xfId="21975"/>
    <cellStyle name="Финансовый 2 2 2 3 3 3 9" xfId="21976"/>
    <cellStyle name="Финансовый 2 2 2 3 3 4" xfId="21977"/>
    <cellStyle name="Финансовый 2 2 2 3 3 5" xfId="21978"/>
    <cellStyle name="Финансовый 2 2 2 3 3 6" xfId="21979"/>
    <cellStyle name="Финансовый 2 2 2 3 3 7" xfId="21980"/>
    <cellStyle name="Финансовый 2 2 2 3 3 8" xfId="21981"/>
    <cellStyle name="Финансовый 2 2 2 3 3 9" xfId="21982"/>
    <cellStyle name="Финансовый 2 2 2 3 4" xfId="5113"/>
    <cellStyle name="Финансовый 2 2 2 3 4 2" xfId="21983"/>
    <cellStyle name="Финансовый 2 2 2 3 4 3" xfId="21984"/>
    <cellStyle name="Финансовый 2 2 2 3 4 4" xfId="21985"/>
    <cellStyle name="Финансовый 2 2 2 3 4 5" xfId="21986"/>
    <cellStyle name="Финансовый 2 2 2 3 4 6" xfId="21987"/>
    <cellStyle name="Финансовый 2 2 2 3 4 7" xfId="21988"/>
    <cellStyle name="Финансовый 2 2 2 3 4 8" xfId="21989"/>
    <cellStyle name="Финансовый 2 2 2 3 4 9" xfId="21990"/>
    <cellStyle name="Финансовый 2 2 2 3 5" xfId="21991"/>
    <cellStyle name="Финансовый 2 2 2 3 6" xfId="21992"/>
    <cellStyle name="Финансовый 2 2 2 3 7" xfId="21993"/>
    <cellStyle name="Финансовый 2 2 2 3 8" xfId="21994"/>
    <cellStyle name="Финансовый 2 2 2 3 9" xfId="21995"/>
    <cellStyle name="Финансовый 2 2 2 4" xfId="5114"/>
    <cellStyle name="Финансовый 2 2 2 4 10" xfId="21996"/>
    <cellStyle name="Финансовый 2 2 2 4 11" xfId="21997"/>
    <cellStyle name="Финансовый 2 2 2 4 12" xfId="21998"/>
    <cellStyle name="Финансовый 2 2 2 4 2" xfId="5115"/>
    <cellStyle name="Финансовый 2 2 2 4 2 10" xfId="21999"/>
    <cellStyle name="Финансовый 2 2 2 4 2 11" xfId="22000"/>
    <cellStyle name="Финансовый 2 2 2 4 2 12" xfId="22001"/>
    <cellStyle name="Финансовый 2 2 2 4 2 2" xfId="5116"/>
    <cellStyle name="Финансовый 2 2 2 4 2 2 2" xfId="22002"/>
    <cellStyle name="Финансовый 2 2 2 4 2 2 3" xfId="22003"/>
    <cellStyle name="Финансовый 2 2 2 4 2 2 4" xfId="22004"/>
    <cellStyle name="Финансовый 2 2 2 4 2 2 5" xfId="22005"/>
    <cellStyle name="Финансовый 2 2 2 4 2 2 6" xfId="22006"/>
    <cellStyle name="Финансовый 2 2 2 4 2 2 7" xfId="22007"/>
    <cellStyle name="Финансовый 2 2 2 4 2 2 8" xfId="22008"/>
    <cellStyle name="Финансовый 2 2 2 4 2 2 9" xfId="22009"/>
    <cellStyle name="Финансовый 2 2 2 4 2 3" xfId="5117"/>
    <cellStyle name="Финансовый 2 2 2 4 2 3 2" xfId="22010"/>
    <cellStyle name="Финансовый 2 2 2 4 2 3 3" xfId="22011"/>
    <cellStyle name="Финансовый 2 2 2 4 2 3 4" xfId="22012"/>
    <cellStyle name="Финансовый 2 2 2 4 2 3 5" xfId="22013"/>
    <cellStyle name="Финансовый 2 2 2 4 2 3 6" xfId="22014"/>
    <cellStyle name="Финансовый 2 2 2 4 2 3 7" xfId="22015"/>
    <cellStyle name="Финансовый 2 2 2 4 2 3 8" xfId="22016"/>
    <cellStyle name="Финансовый 2 2 2 4 2 3 9" xfId="22017"/>
    <cellStyle name="Финансовый 2 2 2 4 2 4" xfId="5118"/>
    <cellStyle name="Финансовый 2 2 2 4 2 4 2" xfId="22018"/>
    <cellStyle name="Финансовый 2 2 2 4 2 4 3" xfId="22019"/>
    <cellStyle name="Финансовый 2 2 2 4 2 4 4" xfId="22020"/>
    <cellStyle name="Финансовый 2 2 2 4 2 4 5" xfId="22021"/>
    <cellStyle name="Финансовый 2 2 2 4 2 4 6" xfId="22022"/>
    <cellStyle name="Финансовый 2 2 2 4 2 4 7" xfId="22023"/>
    <cellStyle name="Финансовый 2 2 2 4 2 4 8" xfId="22024"/>
    <cellStyle name="Финансовый 2 2 2 4 2 4 9" xfId="22025"/>
    <cellStyle name="Финансовый 2 2 2 4 2 5" xfId="22026"/>
    <cellStyle name="Финансовый 2 2 2 4 2 6" xfId="22027"/>
    <cellStyle name="Финансовый 2 2 2 4 2 7" xfId="22028"/>
    <cellStyle name="Финансовый 2 2 2 4 2 8" xfId="22029"/>
    <cellStyle name="Финансовый 2 2 2 4 2 9" xfId="22030"/>
    <cellStyle name="Финансовый 2 2 2 4 3" xfId="5119"/>
    <cellStyle name="Финансовый 2 2 2 4 3 10" xfId="22031"/>
    <cellStyle name="Финансовый 2 2 2 4 3 11" xfId="22032"/>
    <cellStyle name="Финансовый 2 2 2 4 3 2" xfId="5120"/>
    <cellStyle name="Финансовый 2 2 2 4 3 2 2" xfId="22033"/>
    <cellStyle name="Финансовый 2 2 2 4 3 2 3" xfId="22034"/>
    <cellStyle name="Финансовый 2 2 2 4 3 2 4" xfId="22035"/>
    <cellStyle name="Финансовый 2 2 2 4 3 2 5" xfId="22036"/>
    <cellStyle name="Финансовый 2 2 2 4 3 2 6" xfId="22037"/>
    <cellStyle name="Финансовый 2 2 2 4 3 2 7" xfId="22038"/>
    <cellStyle name="Финансовый 2 2 2 4 3 2 8" xfId="22039"/>
    <cellStyle name="Финансовый 2 2 2 4 3 2 9" xfId="22040"/>
    <cellStyle name="Финансовый 2 2 2 4 3 3" xfId="5121"/>
    <cellStyle name="Финансовый 2 2 2 4 3 3 2" xfId="22041"/>
    <cellStyle name="Финансовый 2 2 2 4 3 3 3" xfId="22042"/>
    <cellStyle name="Финансовый 2 2 2 4 3 3 4" xfId="22043"/>
    <cellStyle name="Финансовый 2 2 2 4 3 3 5" xfId="22044"/>
    <cellStyle name="Финансовый 2 2 2 4 3 3 6" xfId="22045"/>
    <cellStyle name="Финансовый 2 2 2 4 3 3 7" xfId="22046"/>
    <cellStyle name="Финансовый 2 2 2 4 3 3 8" xfId="22047"/>
    <cellStyle name="Финансовый 2 2 2 4 3 3 9" xfId="22048"/>
    <cellStyle name="Финансовый 2 2 2 4 3 4" xfId="22049"/>
    <cellStyle name="Финансовый 2 2 2 4 3 5" xfId="22050"/>
    <cellStyle name="Финансовый 2 2 2 4 3 6" xfId="22051"/>
    <cellStyle name="Финансовый 2 2 2 4 3 7" xfId="22052"/>
    <cellStyle name="Финансовый 2 2 2 4 3 8" xfId="22053"/>
    <cellStyle name="Финансовый 2 2 2 4 3 9" xfId="22054"/>
    <cellStyle name="Финансовый 2 2 2 4 4" xfId="5122"/>
    <cellStyle name="Финансовый 2 2 2 4 4 2" xfId="22055"/>
    <cellStyle name="Финансовый 2 2 2 4 4 3" xfId="22056"/>
    <cellStyle name="Финансовый 2 2 2 4 4 4" xfId="22057"/>
    <cellStyle name="Финансовый 2 2 2 4 4 5" xfId="22058"/>
    <cellStyle name="Финансовый 2 2 2 4 4 6" xfId="22059"/>
    <cellStyle name="Финансовый 2 2 2 4 4 7" xfId="22060"/>
    <cellStyle name="Финансовый 2 2 2 4 4 8" xfId="22061"/>
    <cellStyle name="Финансовый 2 2 2 4 4 9" xfId="22062"/>
    <cellStyle name="Финансовый 2 2 2 4 5" xfId="22063"/>
    <cellStyle name="Финансовый 2 2 2 4 6" xfId="22064"/>
    <cellStyle name="Финансовый 2 2 2 4 7" xfId="22065"/>
    <cellStyle name="Финансовый 2 2 2 4 8" xfId="22066"/>
    <cellStyle name="Финансовый 2 2 2 4 9" xfId="22067"/>
    <cellStyle name="Финансовый 2 2 2 5" xfId="5123"/>
    <cellStyle name="Финансовый 2 2 2 5 10" xfId="22068"/>
    <cellStyle name="Финансовый 2 2 2 5 11" xfId="22069"/>
    <cellStyle name="Финансовый 2 2 2 5 12" xfId="22070"/>
    <cellStyle name="Финансовый 2 2 2 5 2" xfId="5124"/>
    <cellStyle name="Финансовый 2 2 2 5 2 10" xfId="22071"/>
    <cellStyle name="Финансовый 2 2 2 5 2 11" xfId="22072"/>
    <cellStyle name="Финансовый 2 2 2 5 2 12" xfId="22073"/>
    <cellStyle name="Финансовый 2 2 2 5 2 2" xfId="5125"/>
    <cellStyle name="Финансовый 2 2 2 5 2 2 2" xfId="22074"/>
    <cellStyle name="Финансовый 2 2 2 5 2 2 3" xfId="22075"/>
    <cellStyle name="Финансовый 2 2 2 5 2 2 4" xfId="22076"/>
    <cellStyle name="Финансовый 2 2 2 5 2 2 5" xfId="22077"/>
    <cellStyle name="Финансовый 2 2 2 5 2 2 6" xfId="22078"/>
    <cellStyle name="Финансовый 2 2 2 5 2 2 7" xfId="22079"/>
    <cellStyle name="Финансовый 2 2 2 5 2 2 8" xfId="22080"/>
    <cellStyle name="Финансовый 2 2 2 5 2 2 9" xfId="22081"/>
    <cellStyle name="Финансовый 2 2 2 5 2 3" xfId="5126"/>
    <cellStyle name="Финансовый 2 2 2 5 2 3 2" xfId="22082"/>
    <cellStyle name="Финансовый 2 2 2 5 2 3 3" xfId="22083"/>
    <cellStyle name="Финансовый 2 2 2 5 2 3 4" xfId="22084"/>
    <cellStyle name="Финансовый 2 2 2 5 2 3 5" xfId="22085"/>
    <cellStyle name="Финансовый 2 2 2 5 2 3 6" xfId="22086"/>
    <cellStyle name="Финансовый 2 2 2 5 2 3 7" xfId="22087"/>
    <cellStyle name="Финансовый 2 2 2 5 2 3 8" xfId="22088"/>
    <cellStyle name="Финансовый 2 2 2 5 2 3 9" xfId="22089"/>
    <cellStyle name="Финансовый 2 2 2 5 2 4" xfId="5127"/>
    <cellStyle name="Финансовый 2 2 2 5 2 4 2" xfId="22090"/>
    <cellStyle name="Финансовый 2 2 2 5 2 4 3" xfId="22091"/>
    <cellStyle name="Финансовый 2 2 2 5 2 4 4" xfId="22092"/>
    <cellStyle name="Финансовый 2 2 2 5 2 4 5" xfId="22093"/>
    <cellStyle name="Финансовый 2 2 2 5 2 4 6" xfId="22094"/>
    <cellStyle name="Финансовый 2 2 2 5 2 4 7" xfId="22095"/>
    <cellStyle name="Финансовый 2 2 2 5 2 4 8" xfId="22096"/>
    <cellStyle name="Финансовый 2 2 2 5 2 4 9" xfId="22097"/>
    <cellStyle name="Финансовый 2 2 2 5 2 5" xfId="22098"/>
    <cellStyle name="Финансовый 2 2 2 5 2 6" xfId="22099"/>
    <cellStyle name="Финансовый 2 2 2 5 2 7" xfId="22100"/>
    <cellStyle name="Финансовый 2 2 2 5 2 8" xfId="22101"/>
    <cellStyle name="Финансовый 2 2 2 5 2 9" xfId="22102"/>
    <cellStyle name="Финансовый 2 2 2 5 3" xfId="5128"/>
    <cellStyle name="Финансовый 2 2 2 5 3 10" xfId="22103"/>
    <cellStyle name="Финансовый 2 2 2 5 3 11" xfId="22104"/>
    <cellStyle name="Финансовый 2 2 2 5 3 2" xfId="5129"/>
    <cellStyle name="Финансовый 2 2 2 5 3 2 2" xfId="22105"/>
    <cellStyle name="Финансовый 2 2 2 5 3 2 3" xfId="22106"/>
    <cellStyle name="Финансовый 2 2 2 5 3 2 4" xfId="22107"/>
    <cellStyle name="Финансовый 2 2 2 5 3 2 5" xfId="22108"/>
    <cellStyle name="Финансовый 2 2 2 5 3 2 6" xfId="22109"/>
    <cellStyle name="Финансовый 2 2 2 5 3 2 7" xfId="22110"/>
    <cellStyle name="Финансовый 2 2 2 5 3 2 8" xfId="22111"/>
    <cellStyle name="Финансовый 2 2 2 5 3 2 9" xfId="22112"/>
    <cellStyle name="Финансовый 2 2 2 5 3 3" xfId="5130"/>
    <cellStyle name="Финансовый 2 2 2 5 3 3 2" xfId="22113"/>
    <cellStyle name="Финансовый 2 2 2 5 3 3 3" xfId="22114"/>
    <cellStyle name="Финансовый 2 2 2 5 3 3 4" xfId="22115"/>
    <cellStyle name="Финансовый 2 2 2 5 3 3 5" xfId="22116"/>
    <cellStyle name="Финансовый 2 2 2 5 3 3 6" xfId="22117"/>
    <cellStyle name="Финансовый 2 2 2 5 3 3 7" xfId="22118"/>
    <cellStyle name="Финансовый 2 2 2 5 3 3 8" xfId="22119"/>
    <cellStyle name="Финансовый 2 2 2 5 3 3 9" xfId="22120"/>
    <cellStyle name="Финансовый 2 2 2 5 3 4" xfId="22121"/>
    <cellStyle name="Финансовый 2 2 2 5 3 5" xfId="22122"/>
    <cellStyle name="Финансовый 2 2 2 5 3 6" xfId="22123"/>
    <cellStyle name="Финансовый 2 2 2 5 3 7" xfId="22124"/>
    <cellStyle name="Финансовый 2 2 2 5 3 8" xfId="22125"/>
    <cellStyle name="Финансовый 2 2 2 5 3 9" xfId="22126"/>
    <cellStyle name="Финансовый 2 2 2 5 4" xfId="5131"/>
    <cellStyle name="Финансовый 2 2 2 5 4 2" xfId="22127"/>
    <cellStyle name="Финансовый 2 2 2 5 4 3" xfId="22128"/>
    <cellStyle name="Финансовый 2 2 2 5 4 4" xfId="22129"/>
    <cellStyle name="Финансовый 2 2 2 5 4 5" xfId="22130"/>
    <cellStyle name="Финансовый 2 2 2 5 4 6" xfId="22131"/>
    <cellStyle name="Финансовый 2 2 2 5 4 7" xfId="22132"/>
    <cellStyle name="Финансовый 2 2 2 5 4 8" xfId="22133"/>
    <cellStyle name="Финансовый 2 2 2 5 4 9" xfId="22134"/>
    <cellStyle name="Финансовый 2 2 2 5 5" xfId="22135"/>
    <cellStyle name="Финансовый 2 2 2 5 6" xfId="22136"/>
    <cellStyle name="Финансовый 2 2 2 5 7" xfId="22137"/>
    <cellStyle name="Финансовый 2 2 2 5 8" xfId="22138"/>
    <cellStyle name="Финансовый 2 2 2 5 9" xfId="22139"/>
    <cellStyle name="Финансовый 2 2 2 6" xfId="5132"/>
    <cellStyle name="Финансовый 2 2 2 6 10" xfId="22140"/>
    <cellStyle name="Финансовый 2 2 2 6 11" xfId="22141"/>
    <cellStyle name="Финансовый 2 2 2 6 12" xfId="22142"/>
    <cellStyle name="Финансовый 2 2 2 6 2" xfId="5133"/>
    <cellStyle name="Финансовый 2 2 2 6 2 10" xfId="22143"/>
    <cellStyle name="Финансовый 2 2 2 6 2 11" xfId="22144"/>
    <cellStyle name="Финансовый 2 2 2 6 2 12" xfId="22145"/>
    <cellStyle name="Финансовый 2 2 2 6 2 2" xfId="5134"/>
    <cellStyle name="Финансовый 2 2 2 6 2 2 2" xfId="22146"/>
    <cellStyle name="Финансовый 2 2 2 6 2 2 3" xfId="22147"/>
    <cellStyle name="Финансовый 2 2 2 6 2 2 4" xfId="22148"/>
    <cellStyle name="Финансовый 2 2 2 6 2 2 5" xfId="22149"/>
    <cellStyle name="Финансовый 2 2 2 6 2 2 6" xfId="22150"/>
    <cellStyle name="Финансовый 2 2 2 6 2 2 7" xfId="22151"/>
    <cellStyle name="Финансовый 2 2 2 6 2 2 8" xfId="22152"/>
    <cellStyle name="Финансовый 2 2 2 6 2 2 9" xfId="22153"/>
    <cellStyle name="Финансовый 2 2 2 6 2 3" xfId="5135"/>
    <cellStyle name="Финансовый 2 2 2 6 2 3 2" xfId="22154"/>
    <cellStyle name="Финансовый 2 2 2 6 2 3 3" xfId="22155"/>
    <cellStyle name="Финансовый 2 2 2 6 2 3 4" xfId="22156"/>
    <cellStyle name="Финансовый 2 2 2 6 2 3 5" xfId="22157"/>
    <cellStyle name="Финансовый 2 2 2 6 2 3 6" xfId="22158"/>
    <cellStyle name="Финансовый 2 2 2 6 2 3 7" xfId="22159"/>
    <cellStyle name="Финансовый 2 2 2 6 2 3 8" xfId="22160"/>
    <cellStyle name="Финансовый 2 2 2 6 2 3 9" xfId="22161"/>
    <cellStyle name="Финансовый 2 2 2 6 2 4" xfId="5136"/>
    <cellStyle name="Финансовый 2 2 2 6 2 4 2" xfId="22162"/>
    <cellStyle name="Финансовый 2 2 2 6 2 4 3" xfId="22163"/>
    <cellStyle name="Финансовый 2 2 2 6 2 4 4" xfId="22164"/>
    <cellStyle name="Финансовый 2 2 2 6 2 4 5" xfId="22165"/>
    <cellStyle name="Финансовый 2 2 2 6 2 4 6" xfId="22166"/>
    <cellStyle name="Финансовый 2 2 2 6 2 4 7" xfId="22167"/>
    <cellStyle name="Финансовый 2 2 2 6 2 4 8" xfId="22168"/>
    <cellStyle name="Финансовый 2 2 2 6 2 4 9" xfId="22169"/>
    <cellStyle name="Финансовый 2 2 2 6 2 5" xfId="22170"/>
    <cellStyle name="Финансовый 2 2 2 6 2 6" xfId="22171"/>
    <cellStyle name="Финансовый 2 2 2 6 2 7" xfId="22172"/>
    <cellStyle name="Финансовый 2 2 2 6 2 8" xfId="22173"/>
    <cellStyle name="Финансовый 2 2 2 6 2 9" xfId="22174"/>
    <cellStyle name="Финансовый 2 2 2 6 3" xfId="5137"/>
    <cellStyle name="Финансовый 2 2 2 6 3 10" xfId="22175"/>
    <cellStyle name="Финансовый 2 2 2 6 3 11" xfId="22176"/>
    <cellStyle name="Финансовый 2 2 2 6 3 2" xfId="5138"/>
    <cellStyle name="Финансовый 2 2 2 6 3 2 2" xfId="22177"/>
    <cellStyle name="Финансовый 2 2 2 6 3 2 3" xfId="22178"/>
    <cellStyle name="Финансовый 2 2 2 6 3 2 4" xfId="22179"/>
    <cellStyle name="Финансовый 2 2 2 6 3 2 5" xfId="22180"/>
    <cellStyle name="Финансовый 2 2 2 6 3 2 6" xfId="22181"/>
    <cellStyle name="Финансовый 2 2 2 6 3 2 7" xfId="22182"/>
    <cellStyle name="Финансовый 2 2 2 6 3 2 8" xfId="22183"/>
    <cellStyle name="Финансовый 2 2 2 6 3 2 9" xfId="22184"/>
    <cellStyle name="Финансовый 2 2 2 6 3 3" xfId="5139"/>
    <cellStyle name="Финансовый 2 2 2 6 3 3 2" xfId="22185"/>
    <cellStyle name="Финансовый 2 2 2 6 3 3 3" xfId="22186"/>
    <cellStyle name="Финансовый 2 2 2 6 3 3 4" xfId="22187"/>
    <cellStyle name="Финансовый 2 2 2 6 3 3 5" xfId="22188"/>
    <cellStyle name="Финансовый 2 2 2 6 3 3 6" xfId="22189"/>
    <cellStyle name="Финансовый 2 2 2 6 3 3 7" xfId="22190"/>
    <cellStyle name="Финансовый 2 2 2 6 3 3 8" xfId="22191"/>
    <cellStyle name="Финансовый 2 2 2 6 3 3 9" xfId="22192"/>
    <cellStyle name="Финансовый 2 2 2 6 3 4" xfId="22193"/>
    <cellStyle name="Финансовый 2 2 2 6 3 5" xfId="22194"/>
    <cellStyle name="Финансовый 2 2 2 6 3 6" xfId="22195"/>
    <cellStyle name="Финансовый 2 2 2 6 3 7" xfId="22196"/>
    <cellStyle name="Финансовый 2 2 2 6 3 8" xfId="22197"/>
    <cellStyle name="Финансовый 2 2 2 6 3 9" xfId="22198"/>
    <cellStyle name="Финансовый 2 2 2 6 4" xfId="5140"/>
    <cellStyle name="Финансовый 2 2 2 6 4 2" xfId="22199"/>
    <cellStyle name="Финансовый 2 2 2 6 4 3" xfId="22200"/>
    <cellStyle name="Финансовый 2 2 2 6 4 4" xfId="22201"/>
    <cellStyle name="Финансовый 2 2 2 6 4 5" xfId="22202"/>
    <cellStyle name="Финансовый 2 2 2 6 4 6" xfId="22203"/>
    <cellStyle name="Финансовый 2 2 2 6 4 7" xfId="22204"/>
    <cellStyle name="Финансовый 2 2 2 6 4 8" xfId="22205"/>
    <cellStyle name="Финансовый 2 2 2 6 4 9" xfId="22206"/>
    <cellStyle name="Финансовый 2 2 2 6 5" xfId="22207"/>
    <cellStyle name="Финансовый 2 2 2 6 6" xfId="22208"/>
    <cellStyle name="Финансовый 2 2 2 6 7" xfId="22209"/>
    <cellStyle name="Финансовый 2 2 2 6 8" xfId="22210"/>
    <cellStyle name="Финансовый 2 2 2 6 9" xfId="22211"/>
    <cellStyle name="Финансовый 2 2 2 7" xfId="5141"/>
    <cellStyle name="Финансовый 2 2 2 7 10" xfId="22212"/>
    <cellStyle name="Финансовый 2 2 2 7 11" xfId="22213"/>
    <cellStyle name="Финансовый 2 2 2 7 12" xfId="22214"/>
    <cellStyle name="Финансовый 2 2 2 7 2" xfId="5142"/>
    <cellStyle name="Финансовый 2 2 2 7 2 10" xfId="22215"/>
    <cellStyle name="Финансовый 2 2 2 7 2 11" xfId="22216"/>
    <cellStyle name="Финансовый 2 2 2 7 2 12" xfId="22217"/>
    <cellStyle name="Финансовый 2 2 2 7 2 2" xfId="5143"/>
    <cellStyle name="Финансовый 2 2 2 7 2 2 2" xfId="22218"/>
    <cellStyle name="Финансовый 2 2 2 7 2 2 3" xfId="22219"/>
    <cellStyle name="Финансовый 2 2 2 7 2 2 4" xfId="22220"/>
    <cellStyle name="Финансовый 2 2 2 7 2 2 5" xfId="22221"/>
    <cellStyle name="Финансовый 2 2 2 7 2 2 6" xfId="22222"/>
    <cellStyle name="Финансовый 2 2 2 7 2 2 7" xfId="22223"/>
    <cellStyle name="Финансовый 2 2 2 7 2 2 8" xfId="22224"/>
    <cellStyle name="Финансовый 2 2 2 7 2 2 9" xfId="22225"/>
    <cellStyle name="Финансовый 2 2 2 7 2 3" xfId="5144"/>
    <cellStyle name="Финансовый 2 2 2 7 2 3 2" xfId="22226"/>
    <cellStyle name="Финансовый 2 2 2 7 2 3 3" xfId="22227"/>
    <cellStyle name="Финансовый 2 2 2 7 2 3 4" xfId="22228"/>
    <cellStyle name="Финансовый 2 2 2 7 2 3 5" xfId="22229"/>
    <cellStyle name="Финансовый 2 2 2 7 2 3 6" xfId="22230"/>
    <cellStyle name="Финансовый 2 2 2 7 2 3 7" xfId="22231"/>
    <cellStyle name="Финансовый 2 2 2 7 2 3 8" xfId="22232"/>
    <cellStyle name="Финансовый 2 2 2 7 2 3 9" xfId="22233"/>
    <cellStyle name="Финансовый 2 2 2 7 2 4" xfId="5145"/>
    <cellStyle name="Финансовый 2 2 2 7 2 4 2" xfId="22234"/>
    <cellStyle name="Финансовый 2 2 2 7 2 4 3" xfId="22235"/>
    <cellStyle name="Финансовый 2 2 2 7 2 4 4" xfId="22236"/>
    <cellStyle name="Финансовый 2 2 2 7 2 4 5" xfId="22237"/>
    <cellStyle name="Финансовый 2 2 2 7 2 4 6" xfId="22238"/>
    <cellStyle name="Финансовый 2 2 2 7 2 4 7" xfId="22239"/>
    <cellStyle name="Финансовый 2 2 2 7 2 4 8" xfId="22240"/>
    <cellStyle name="Финансовый 2 2 2 7 2 4 9" xfId="22241"/>
    <cellStyle name="Финансовый 2 2 2 7 2 5" xfId="22242"/>
    <cellStyle name="Финансовый 2 2 2 7 2 6" xfId="22243"/>
    <cellStyle name="Финансовый 2 2 2 7 2 7" xfId="22244"/>
    <cellStyle name="Финансовый 2 2 2 7 2 8" xfId="22245"/>
    <cellStyle name="Финансовый 2 2 2 7 2 9" xfId="22246"/>
    <cellStyle name="Финансовый 2 2 2 7 3" xfId="5146"/>
    <cellStyle name="Финансовый 2 2 2 7 3 10" xfId="22247"/>
    <cellStyle name="Финансовый 2 2 2 7 3 11" xfId="22248"/>
    <cellStyle name="Финансовый 2 2 2 7 3 2" xfId="5147"/>
    <cellStyle name="Финансовый 2 2 2 7 3 2 2" xfId="22249"/>
    <cellStyle name="Финансовый 2 2 2 7 3 2 3" xfId="22250"/>
    <cellStyle name="Финансовый 2 2 2 7 3 2 4" xfId="22251"/>
    <cellStyle name="Финансовый 2 2 2 7 3 2 5" xfId="22252"/>
    <cellStyle name="Финансовый 2 2 2 7 3 2 6" xfId="22253"/>
    <cellStyle name="Финансовый 2 2 2 7 3 2 7" xfId="22254"/>
    <cellStyle name="Финансовый 2 2 2 7 3 2 8" xfId="22255"/>
    <cellStyle name="Финансовый 2 2 2 7 3 2 9" xfId="22256"/>
    <cellStyle name="Финансовый 2 2 2 7 3 3" xfId="5148"/>
    <cellStyle name="Финансовый 2 2 2 7 3 3 2" xfId="22257"/>
    <cellStyle name="Финансовый 2 2 2 7 3 3 3" xfId="22258"/>
    <cellStyle name="Финансовый 2 2 2 7 3 3 4" xfId="22259"/>
    <cellStyle name="Финансовый 2 2 2 7 3 3 5" xfId="22260"/>
    <cellStyle name="Финансовый 2 2 2 7 3 3 6" xfId="22261"/>
    <cellStyle name="Финансовый 2 2 2 7 3 3 7" xfId="22262"/>
    <cellStyle name="Финансовый 2 2 2 7 3 3 8" xfId="22263"/>
    <cellStyle name="Финансовый 2 2 2 7 3 3 9" xfId="22264"/>
    <cellStyle name="Финансовый 2 2 2 7 3 4" xfId="22265"/>
    <cellStyle name="Финансовый 2 2 2 7 3 5" xfId="22266"/>
    <cellStyle name="Финансовый 2 2 2 7 3 6" xfId="22267"/>
    <cellStyle name="Финансовый 2 2 2 7 3 7" xfId="22268"/>
    <cellStyle name="Финансовый 2 2 2 7 3 8" xfId="22269"/>
    <cellStyle name="Финансовый 2 2 2 7 3 9" xfId="22270"/>
    <cellStyle name="Финансовый 2 2 2 7 4" xfId="5149"/>
    <cellStyle name="Финансовый 2 2 2 7 4 2" xfId="22271"/>
    <cellStyle name="Финансовый 2 2 2 7 4 3" xfId="22272"/>
    <cellStyle name="Финансовый 2 2 2 7 4 4" xfId="22273"/>
    <cellStyle name="Финансовый 2 2 2 7 4 5" xfId="22274"/>
    <cellStyle name="Финансовый 2 2 2 7 4 6" xfId="22275"/>
    <cellStyle name="Финансовый 2 2 2 7 4 7" xfId="22276"/>
    <cellStyle name="Финансовый 2 2 2 7 4 8" xfId="22277"/>
    <cellStyle name="Финансовый 2 2 2 7 4 9" xfId="22278"/>
    <cellStyle name="Финансовый 2 2 2 7 5" xfId="22279"/>
    <cellStyle name="Финансовый 2 2 2 7 6" xfId="22280"/>
    <cellStyle name="Финансовый 2 2 2 7 7" xfId="22281"/>
    <cellStyle name="Финансовый 2 2 2 7 8" xfId="22282"/>
    <cellStyle name="Финансовый 2 2 2 7 9" xfId="22283"/>
    <cellStyle name="Финансовый 2 2 2 8" xfId="5150"/>
    <cellStyle name="Финансовый 2 2 2 8 10" xfId="22284"/>
    <cellStyle name="Финансовый 2 2 2 8 11" xfId="22285"/>
    <cellStyle name="Финансовый 2 2 2 8 12" xfId="22286"/>
    <cellStyle name="Финансовый 2 2 2 8 2" xfId="5151"/>
    <cellStyle name="Финансовый 2 2 2 8 2 10" xfId="22287"/>
    <cellStyle name="Финансовый 2 2 2 8 2 11" xfId="22288"/>
    <cellStyle name="Финансовый 2 2 2 8 2 12" xfId="22289"/>
    <cellStyle name="Финансовый 2 2 2 8 2 2" xfId="5152"/>
    <cellStyle name="Финансовый 2 2 2 8 2 2 2" xfId="22290"/>
    <cellStyle name="Финансовый 2 2 2 8 2 2 3" xfId="22291"/>
    <cellStyle name="Финансовый 2 2 2 8 2 2 4" xfId="22292"/>
    <cellStyle name="Финансовый 2 2 2 8 2 2 5" xfId="22293"/>
    <cellStyle name="Финансовый 2 2 2 8 2 2 6" xfId="22294"/>
    <cellStyle name="Финансовый 2 2 2 8 2 2 7" xfId="22295"/>
    <cellStyle name="Финансовый 2 2 2 8 2 2 8" xfId="22296"/>
    <cellStyle name="Финансовый 2 2 2 8 2 2 9" xfId="22297"/>
    <cellStyle name="Финансовый 2 2 2 8 2 3" xfId="5153"/>
    <cellStyle name="Финансовый 2 2 2 8 2 3 2" xfId="22298"/>
    <cellStyle name="Финансовый 2 2 2 8 2 3 3" xfId="22299"/>
    <cellStyle name="Финансовый 2 2 2 8 2 3 4" xfId="22300"/>
    <cellStyle name="Финансовый 2 2 2 8 2 3 5" xfId="22301"/>
    <cellStyle name="Финансовый 2 2 2 8 2 3 6" xfId="22302"/>
    <cellStyle name="Финансовый 2 2 2 8 2 3 7" xfId="22303"/>
    <cellStyle name="Финансовый 2 2 2 8 2 3 8" xfId="22304"/>
    <cellStyle name="Финансовый 2 2 2 8 2 3 9" xfId="22305"/>
    <cellStyle name="Финансовый 2 2 2 8 2 4" xfId="5154"/>
    <cellStyle name="Финансовый 2 2 2 8 2 4 2" xfId="22306"/>
    <cellStyle name="Финансовый 2 2 2 8 2 4 3" xfId="22307"/>
    <cellStyle name="Финансовый 2 2 2 8 2 4 4" xfId="22308"/>
    <cellStyle name="Финансовый 2 2 2 8 2 4 5" xfId="22309"/>
    <cellStyle name="Финансовый 2 2 2 8 2 4 6" xfId="22310"/>
    <cellStyle name="Финансовый 2 2 2 8 2 4 7" xfId="22311"/>
    <cellStyle name="Финансовый 2 2 2 8 2 4 8" xfId="22312"/>
    <cellStyle name="Финансовый 2 2 2 8 2 4 9" xfId="22313"/>
    <cellStyle name="Финансовый 2 2 2 8 2 5" xfId="22314"/>
    <cellStyle name="Финансовый 2 2 2 8 2 6" xfId="22315"/>
    <cellStyle name="Финансовый 2 2 2 8 2 7" xfId="22316"/>
    <cellStyle name="Финансовый 2 2 2 8 2 8" xfId="22317"/>
    <cellStyle name="Финансовый 2 2 2 8 2 9" xfId="22318"/>
    <cellStyle name="Финансовый 2 2 2 8 3" xfId="5155"/>
    <cellStyle name="Финансовый 2 2 2 8 3 10" xfId="22319"/>
    <cellStyle name="Финансовый 2 2 2 8 3 11" xfId="22320"/>
    <cellStyle name="Финансовый 2 2 2 8 3 2" xfId="5156"/>
    <cellStyle name="Финансовый 2 2 2 8 3 2 2" xfId="22321"/>
    <cellStyle name="Финансовый 2 2 2 8 3 2 3" xfId="22322"/>
    <cellStyle name="Финансовый 2 2 2 8 3 2 4" xfId="22323"/>
    <cellStyle name="Финансовый 2 2 2 8 3 2 5" xfId="22324"/>
    <cellStyle name="Финансовый 2 2 2 8 3 2 6" xfId="22325"/>
    <cellStyle name="Финансовый 2 2 2 8 3 2 7" xfId="22326"/>
    <cellStyle name="Финансовый 2 2 2 8 3 2 8" xfId="22327"/>
    <cellStyle name="Финансовый 2 2 2 8 3 2 9" xfId="22328"/>
    <cellStyle name="Финансовый 2 2 2 8 3 3" xfId="5157"/>
    <cellStyle name="Финансовый 2 2 2 8 3 3 2" xfId="22329"/>
    <cellStyle name="Финансовый 2 2 2 8 3 3 3" xfId="22330"/>
    <cellStyle name="Финансовый 2 2 2 8 3 3 4" xfId="22331"/>
    <cellStyle name="Финансовый 2 2 2 8 3 3 5" xfId="22332"/>
    <cellStyle name="Финансовый 2 2 2 8 3 3 6" xfId="22333"/>
    <cellStyle name="Финансовый 2 2 2 8 3 3 7" xfId="22334"/>
    <cellStyle name="Финансовый 2 2 2 8 3 3 8" xfId="22335"/>
    <cellStyle name="Финансовый 2 2 2 8 3 3 9" xfId="22336"/>
    <cellStyle name="Финансовый 2 2 2 8 3 4" xfId="22337"/>
    <cellStyle name="Финансовый 2 2 2 8 3 5" xfId="22338"/>
    <cellStyle name="Финансовый 2 2 2 8 3 6" xfId="22339"/>
    <cellStyle name="Финансовый 2 2 2 8 3 7" xfId="22340"/>
    <cellStyle name="Финансовый 2 2 2 8 3 8" xfId="22341"/>
    <cellStyle name="Финансовый 2 2 2 8 3 9" xfId="22342"/>
    <cellStyle name="Финансовый 2 2 2 8 4" xfId="5158"/>
    <cellStyle name="Финансовый 2 2 2 8 4 2" xfId="22343"/>
    <cellStyle name="Финансовый 2 2 2 8 4 3" xfId="22344"/>
    <cellStyle name="Финансовый 2 2 2 8 4 4" xfId="22345"/>
    <cellStyle name="Финансовый 2 2 2 8 4 5" xfId="22346"/>
    <cellStyle name="Финансовый 2 2 2 8 4 6" xfId="22347"/>
    <cellStyle name="Финансовый 2 2 2 8 4 7" xfId="22348"/>
    <cellStyle name="Финансовый 2 2 2 8 4 8" xfId="22349"/>
    <cellStyle name="Финансовый 2 2 2 8 4 9" xfId="22350"/>
    <cellStyle name="Финансовый 2 2 2 8 5" xfId="22351"/>
    <cellStyle name="Финансовый 2 2 2 8 6" xfId="22352"/>
    <cellStyle name="Финансовый 2 2 2 8 7" xfId="22353"/>
    <cellStyle name="Финансовый 2 2 2 8 8" xfId="22354"/>
    <cellStyle name="Финансовый 2 2 2 8 9" xfId="22355"/>
    <cellStyle name="Финансовый 2 2 2 9" xfId="5159"/>
    <cellStyle name="Финансовый 2 2 2 9 10" xfId="22356"/>
    <cellStyle name="Финансовый 2 2 2 9 11" xfId="22357"/>
    <cellStyle name="Финансовый 2 2 2 9 12" xfId="22358"/>
    <cellStyle name="Финансовый 2 2 2 9 2" xfId="5160"/>
    <cellStyle name="Финансовый 2 2 2 9 2 10" xfId="22359"/>
    <cellStyle name="Финансовый 2 2 2 9 2 11" xfId="22360"/>
    <cellStyle name="Финансовый 2 2 2 9 2 12" xfId="22361"/>
    <cellStyle name="Финансовый 2 2 2 9 2 2" xfId="5161"/>
    <cellStyle name="Финансовый 2 2 2 9 2 2 2" xfId="22362"/>
    <cellStyle name="Финансовый 2 2 2 9 2 2 3" xfId="22363"/>
    <cellStyle name="Финансовый 2 2 2 9 2 2 4" xfId="22364"/>
    <cellStyle name="Финансовый 2 2 2 9 2 2 5" xfId="22365"/>
    <cellStyle name="Финансовый 2 2 2 9 2 2 6" xfId="22366"/>
    <cellStyle name="Финансовый 2 2 2 9 2 2 7" xfId="22367"/>
    <cellStyle name="Финансовый 2 2 2 9 2 2 8" xfId="22368"/>
    <cellStyle name="Финансовый 2 2 2 9 2 2 9" xfId="22369"/>
    <cellStyle name="Финансовый 2 2 2 9 2 3" xfId="5162"/>
    <cellStyle name="Финансовый 2 2 2 9 2 3 2" xfId="22370"/>
    <cellStyle name="Финансовый 2 2 2 9 2 3 3" xfId="22371"/>
    <cellStyle name="Финансовый 2 2 2 9 2 3 4" xfId="22372"/>
    <cellStyle name="Финансовый 2 2 2 9 2 3 5" xfId="22373"/>
    <cellStyle name="Финансовый 2 2 2 9 2 3 6" xfId="22374"/>
    <cellStyle name="Финансовый 2 2 2 9 2 3 7" xfId="22375"/>
    <cellStyle name="Финансовый 2 2 2 9 2 3 8" xfId="22376"/>
    <cellStyle name="Финансовый 2 2 2 9 2 3 9" xfId="22377"/>
    <cellStyle name="Финансовый 2 2 2 9 2 4" xfId="5163"/>
    <cellStyle name="Финансовый 2 2 2 9 2 4 2" xfId="22378"/>
    <cellStyle name="Финансовый 2 2 2 9 2 4 3" xfId="22379"/>
    <cellStyle name="Финансовый 2 2 2 9 2 4 4" xfId="22380"/>
    <cellStyle name="Финансовый 2 2 2 9 2 4 5" xfId="22381"/>
    <cellStyle name="Финансовый 2 2 2 9 2 4 6" xfId="22382"/>
    <cellStyle name="Финансовый 2 2 2 9 2 4 7" xfId="22383"/>
    <cellStyle name="Финансовый 2 2 2 9 2 4 8" xfId="22384"/>
    <cellStyle name="Финансовый 2 2 2 9 2 4 9" xfId="22385"/>
    <cellStyle name="Финансовый 2 2 2 9 2 5" xfId="22386"/>
    <cellStyle name="Финансовый 2 2 2 9 2 6" xfId="22387"/>
    <cellStyle name="Финансовый 2 2 2 9 2 7" xfId="22388"/>
    <cellStyle name="Финансовый 2 2 2 9 2 8" xfId="22389"/>
    <cellStyle name="Финансовый 2 2 2 9 2 9" xfId="22390"/>
    <cellStyle name="Финансовый 2 2 2 9 3" xfId="5164"/>
    <cellStyle name="Финансовый 2 2 2 9 3 10" xfId="22391"/>
    <cellStyle name="Финансовый 2 2 2 9 3 11" xfId="22392"/>
    <cellStyle name="Финансовый 2 2 2 9 3 2" xfId="5165"/>
    <cellStyle name="Финансовый 2 2 2 9 3 2 2" xfId="22393"/>
    <cellStyle name="Финансовый 2 2 2 9 3 2 3" xfId="22394"/>
    <cellStyle name="Финансовый 2 2 2 9 3 2 4" xfId="22395"/>
    <cellStyle name="Финансовый 2 2 2 9 3 2 5" xfId="22396"/>
    <cellStyle name="Финансовый 2 2 2 9 3 2 6" xfId="22397"/>
    <cellStyle name="Финансовый 2 2 2 9 3 2 7" xfId="22398"/>
    <cellStyle name="Финансовый 2 2 2 9 3 2 8" xfId="22399"/>
    <cellStyle name="Финансовый 2 2 2 9 3 2 9" xfId="22400"/>
    <cellStyle name="Финансовый 2 2 2 9 3 3" xfId="5166"/>
    <cellStyle name="Финансовый 2 2 2 9 3 3 2" xfId="22401"/>
    <cellStyle name="Финансовый 2 2 2 9 3 3 3" xfId="22402"/>
    <cellStyle name="Финансовый 2 2 2 9 3 3 4" xfId="22403"/>
    <cellStyle name="Финансовый 2 2 2 9 3 3 5" xfId="22404"/>
    <cellStyle name="Финансовый 2 2 2 9 3 3 6" xfId="22405"/>
    <cellStyle name="Финансовый 2 2 2 9 3 3 7" xfId="22406"/>
    <cellStyle name="Финансовый 2 2 2 9 3 3 8" xfId="22407"/>
    <cellStyle name="Финансовый 2 2 2 9 3 3 9" xfId="22408"/>
    <cellStyle name="Финансовый 2 2 2 9 3 4" xfId="22409"/>
    <cellStyle name="Финансовый 2 2 2 9 3 5" xfId="22410"/>
    <cellStyle name="Финансовый 2 2 2 9 3 6" xfId="22411"/>
    <cellStyle name="Финансовый 2 2 2 9 3 7" xfId="22412"/>
    <cellStyle name="Финансовый 2 2 2 9 3 8" xfId="22413"/>
    <cellStyle name="Финансовый 2 2 2 9 3 9" xfId="22414"/>
    <cellStyle name="Финансовый 2 2 2 9 4" xfId="5167"/>
    <cellStyle name="Финансовый 2 2 2 9 4 2" xfId="22415"/>
    <cellStyle name="Финансовый 2 2 2 9 4 3" xfId="22416"/>
    <cellStyle name="Финансовый 2 2 2 9 4 4" xfId="22417"/>
    <cellStyle name="Финансовый 2 2 2 9 4 5" xfId="22418"/>
    <cellStyle name="Финансовый 2 2 2 9 4 6" xfId="22419"/>
    <cellStyle name="Финансовый 2 2 2 9 4 7" xfId="22420"/>
    <cellStyle name="Финансовый 2 2 2 9 4 8" xfId="22421"/>
    <cellStyle name="Финансовый 2 2 2 9 4 9" xfId="22422"/>
    <cellStyle name="Финансовый 2 2 2 9 5" xfId="22423"/>
    <cellStyle name="Финансовый 2 2 2 9 6" xfId="22424"/>
    <cellStyle name="Финансовый 2 2 2 9 7" xfId="22425"/>
    <cellStyle name="Финансовый 2 2 2 9 8" xfId="22426"/>
    <cellStyle name="Финансовый 2 2 2 9 9" xfId="22427"/>
    <cellStyle name="Финансовый 2 2 20" xfId="5168"/>
    <cellStyle name="Финансовый 2 2 20 10" xfId="22428"/>
    <cellStyle name="Финансовый 2 2 20 11" xfId="22429"/>
    <cellStyle name="Финансовый 2 2 20 12" xfId="22430"/>
    <cellStyle name="Финансовый 2 2 20 2" xfId="5169"/>
    <cellStyle name="Финансовый 2 2 20 2 10" xfId="22431"/>
    <cellStyle name="Финансовый 2 2 20 2 11" xfId="22432"/>
    <cellStyle name="Финансовый 2 2 20 2 12" xfId="22433"/>
    <cellStyle name="Финансовый 2 2 20 2 2" xfId="5170"/>
    <cellStyle name="Финансовый 2 2 20 2 2 2" xfId="22434"/>
    <cellStyle name="Финансовый 2 2 20 2 2 3" xfId="22435"/>
    <cellStyle name="Финансовый 2 2 20 2 2 4" xfId="22436"/>
    <cellStyle name="Финансовый 2 2 20 2 2 5" xfId="22437"/>
    <cellStyle name="Финансовый 2 2 20 2 2 6" xfId="22438"/>
    <cellStyle name="Финансовый 2 2 20 2 2 7" xfId="22439"/>
    <cellStyle name="Финансовый 2 2 20 2 2 8" xfId="22440"/>
    <cellStyle name="Финансовый 2 2 20 2 2 9" xfId="22441"/>
    <cellStyle name="Финансовый 2 2 20 2 3" xfId="5171"/>
    <cellStyle name="Финансовый 2 2 20 2 3 2" xfId="22442"/>
    <cellStyle name="Финансовый 2 2 20 2 3 3" xfId="22443"/>
    <cellStyle name="Финансовый 2 2 20 2 3 4" xfId="22444"/>
    <cellStyle name="Финансовый 2 2 20 2 3 5" xfId="22445"/>
    <cellStyle name="Финансовый 2 2 20 2 3 6" xfId="22446"/>
    <cellStyle name="Финансовый 2 2 20 2 3 7" xfId="22447"/>
    <cellStyle name="Финансовый 2 2 20 2 3 8" xfId="22448"/>
    <cellStyle name="Финансовый 2 2 20 2 3 9" xfId="22449"/>
    <cellStyle name="Финансовый 2 2 20 2 4" xfId="5172"/>
    <cellStyle name="Финансовый 2 2 20 2 4 2" xfId="22450"/>
    <cellStyle name="Финансовый 2 2 20 2 4 3" xfId="22451"/>
    <cellStyle name="Финансовый 2 2 20 2 4 4" xfId="22452"/>
    <cellStyle name="Финансовый 2 2 20 2 4 5" xfId="22453"/>
    <cellStyle name="Финансовый 2 2 20 2 4 6" xfId="22454"/>
    <cellStyle name="Финансовый 2 2 20 2 4 7" xfId="22455"/>
    <cellStyle name="Финансовый 2 2 20 2 4 8" xfId="22456"/>
    <cellStyle name="Финансовый 2 2 20 2 4 9" xfId="22457"/>
    <cellStyle name="Финансовый 2 2 20 2 5" xfId="22458"/>
    <cellStyle name="Финансовый 2 2 20 2 6" xfId="22459"/>
    <cellStyle name="Финансовый 2 2 20 2 7" xfId="22460"/>
    <cellStyle name="Финансовый 2 2 20 2 8" xfId="22461"/>
    <cellStyle name="Финансовый 2 2 20 2 9" xfId="22462"/>
    <cellStyle name="Финансовый 2 2 20 3" xfId="5173"/>
    <cellStyle name="Финансовый 2 2 20 3 10" xfId="22463"/>
    <cellStyle name="Финансовый 2 2 20 3 11" xfId="22464"/>
    <cellStyle name="Финансовый 2 2 20 3 2" xfId="5174"/>
    <cellStyle name="Финансовый 2 2 20 3 2 2" xfId="22465"/>
    <cellStyle name="Финансовый 2 2 20 3 2 3" xfId="22466"/>
    <cellStyle name="Финансовый 2 2 20 3 2 4" xfId="22467"/>
    <cellStyle name="Финансовый 2 2 20 3 2 5" xfId="22468"/>
    <cellStyle name="Финансовый 2 2 20 3 2 6" xfId="22469"/>
    <cellStyle name="Финансовый 2 2 20 3 2 7" xfId="22470"/>
    <cellStyle name="Финансовый 2 2 20 3 2 8" xfId="22471"/>
    <cellStyle name="Финансовый 2 2 20 3 2 9" xfId="22472"/>
    <cellStyle name="Финансовый 2 2 20 3 3" xfId="5175"/>
    <cellStyle name="Финансовый 2 2 20 3 3 2" xfId="22473"/>
    <cellStyle name="Финансовый 2 2 20 3 3 3" xfId="22474"/>
    <cellStyle name="Финансовый 2 2 20 3 3 4" xfId="22475"/>
    <cellStyle name="Финансовый 2 2 20 3 3 5" xfId="22476"/>
    <cellStyle name="Финансовый 2 2 20 3 3 6" xfId="22477"/>
    <cellStyle name="Финансовый 2 2 20 3 3 7" xfId="22478"/>
    <cellStyle name="Финансовый 2 2 20 3 3 8" xfId="22479"/>
    <cellStyle name="Финансовый 2 2 20 3 3 9" xfId="22480"/>
    <cellStyle name="Финансовый 2 2 20 3 4" xfId="22481"/>
    <cellStyle name="Финансовый 2 2 20 3 5" xfId="22482"/>
    <cellStyle name="Финансовый 2 2 20 3 6" xfId="22483"/>
    <cellStyle name="Финансовый 2 2 20 3 7" xfId="22484"/>
    <cellStyle name="Финансовый 2 2 20 3 8" xfId="22485"/>
    <cellStyle name="Финансовый 2 2 20 3 9" xfId="22486"/>
    <cellStyle name="Финансовый 2 2 20 4" xfId="5176"/>
    <cellStyle name="Финансовый 2 2 20 4 2" xfId="22487"/>
    <cellStyle name="Финансовый 2 2 20 4 3" xfId="22488"/>
    <cellStyle name="Финансовый 2 2 20 4 4" xfId="22489"/>
    <cellStyle name="Финансовый 2 2 20 4 5" xfId="22490"/>
    <cellStyle name="Финансовый 2 2 20 4 6" xfId="22491"/>
    <cellStyle name="Финансовый 2 2 20 4 7" xfId="22492"/>
    <cellStyle name="Финансовый 2 2 20 4 8" xfId="22493"/>
    <cellStyle name="Финансовый 2 2 20 4 9" xfId="22494"/>
    <cellStyle name="Финансовый 2 2 20 5" xfId="22495"/>
    <cellStyle name="Финансовый 2 2 20 6" xfId="22496"/>
    <cellStyle name="Финансовый 2 2 20 7" xfId="22497"/>
    <cellStyle name="Финансовый 2 2 20 8" xfId="22498"/>
    <cellStyle name="Финансовый 2 2 20 9" xfId="22499"/>
    <cellStyle name="Финансовый 2 2 21" xfId="5177"/>
    <cellStyle name="Финансовый 2 2 21 10" xfId="22500"/>
    <cellStyle name="Финансовый 2 2 21 11" xfId="22501"/>
    <cellStyle name="Финансовый 2 2 21 12" xfId="22502"/>
    <cellStyle name="Финансовый 2 2 21 2" xfId="5178"/>
    <cellStyle name="Финансовый 2 2 21 2 10" xfId="22503"/>
    <cellStyle name="Финансовый 2 2 21 2 11" xfId="22504"/>
    <cellStyle name="Финансовый 2 2 21 2 12" xfId="22505"/>
    <cellStyle name="Финансовый 2 2 21 2 2" xfId="5179"/>
    <cellStyle name="Финансовый 2 2 21 2 2 2" xfId="22506"/>
    <cellStyle name="Финансовый 2 2 21 2 2 3" xfId="22507"/>
    <cellStyle name="Финансовый 2 2 21 2 2 4" xfId="22508"/>
    <cellStyle name="Финансовый 2 2 21 2 2 5" xfId="22509"/>
    <cellStyle name="Финансовый 2 2 21 2 2 6" xfId="22510"/>
    <cellStyle name="Финансовый 2 2 21 2 2 7" xfId="22511"/>
    <cellStyle name="Финансовый 2 2 21 2 2 8" xfId="22512"/>
    <cellStyle name="Финансовый 2 2 21 2 2 9" xfId="22513"/>
    <cellStyle name="Финансовый 2 2 21 2 3" xfId="5180"/>
    <cellStyle name="Финансовый 2 2 21 2 3 2" xfId="22514"/>
    <cellStyle name="Финансовый 2 2 21 2 3 3" xfId="22515"/>
    <cellStyle name="Финансовый 2 2 21 2 3 4" xfId="22516"/>
    <cellStyle name="Финансовый 2 2 21 2 3 5" xfId="22517"/>
    <cellStyle name="Финансовый 2 2 21 2 3 6" xfId="22518"/>
    <cellStyle name="Финансовый 2 2 21 2 3 7" xfId="22519"/>
    <cellStyle name="Финансовый 2 2 21 2 3 8" xfId="22520"/>
    <cellStyle name="Финансовый 2 2 21 2 3 9" xfId="22521"/>
    <cellStyle name="Финансовый 2 2 21 2 4" xfId="5181"/>
    <cellStyle name="Финансовый 2 2 21 2 4 2" xfId="22522"/>
    <cellStyle name="Финансовый 2 2 21 2 4 3" xfId="22523"/>
    <cellStyle name="Финансовый 2 2 21 2 4 4" xfId="22524"/>
    <cellStyle name="Финансовый 2 2 21 2 4 5" xfId="22525"/>
    <cellStyle name="Финансовый 2 2 21 2 4 6" xfId="22526"/>
    <cellStyle name="Финансовый 2 2 21 2 4 7" xfId="22527"/>
    <cellStyle name="Финансовый 2 2 21 2 4 8" xfId="22528"/>
    <cellStyle name="Финансовый 2 2 21 2 4 9" xfId="22529"/>
    <cellStyle name="Финансовый 2 2 21 2 5" xfId="22530"/>
    <cellStyle name="Финансовый 2 2 21 2 6" xfId="22531"/>
    <cellStyle name="Финансовый 2 2 21 2 7" xfId="22532"/>
    <cellStyle name="Финансовый 2 2 21 2 8" xfId="22533"/>
    <cellStyle name="Финансовый 2 2 21 2 9" xfId="22534"/>
    <cellStyle name="Финансовый 2 2 21 3" xfId="5182"/>
    <cellStyle name="Финансовый 2 2 21 3 10" xfId="22535"/>
    <cellStyle name="Финансовый 2 2 21 3 11" xfId="22536"/>
    <cellStyle name="Финансовый 2 2 21 3 2" xfId="5183"/>
    <cellStyle name="Финансовый 2 2 21 3 2 2" xfId="22537"/>
    <cellStyle name="Финансовый 2 2 21 3 2 3" xfId="22538"/>
    <cellStyle name="Финансовый 2 2 21 3 2 4" xfId="22539"/>
    <cellStyle name="Финансовый 2 2 21 3 2 5" xfId="22540"/>
    <cellStyle name="Финансовый 2 2 21 3 2 6" xfId="22541"/>
    <cellStyle name="Финансовый 2 2 21 3 2 7" xfId="22542"/>
    <cellStyle name="Финансовый 2 2 21 3 2 8" xfId="22543"/>
    <cellStyle name="Финансовый 2 2 21 3 2 9" xfId="22544"/>
    <cellStyle name="Финансовый 2 2 21 3 3" xfId="5184"/>
    <cellStyle name="Финансовый 2 2 21 3 3 2" xfId="22545"/>
    <cellStyle name="Финансовый 2 2 21 3 3 3" xfId="22546"/>
    <cellStyle name="Финансовый 2 2 21 3 3 4" xfId="22547"/>
    <cellStyle name="Финансовый 2 2 21 3 3 5" xfId="22548"/>
    <cellStyle name="Финансовый 2 2 21 3 3 6" xfId="22549"/>
    <cellStyle name="Финансовый 2 2 21 3 3 7" xfId="22550"/>
    <cellStyle name="Финансовый 2 2 21 3 3 8" xfId="22551"/>
    <cellStyle name="Финансовый 2 2 21 3 3 9" xfId="22552"/>
    <cellStyle name="Финансовый 2 2 21 3 4" xfId="22553"/>
    <cellStyle name="Финансовый 2 2 21 3 5" xfId="22554"/>
    <cellStyle name="Финансовый 2 2 21 3 6" xfId="22555"/>
    <cellStyle name="Финансовый 2 2 21 3 7" xfId="22556"/>
    <cellStyle name="Финансовый 2 2 21 3 8" xfId="22557"/>
    <cellStyle name="Финансовый 2 2 21 3 9" xfId="22558"/>
    <cellStyle name="Финансовый 2 2 21 4" xfId="5185"/>
    <cellStyle name="Финансовый 2 2 21 4 2" xfId="22559"/>
    <cellStyle name="Финансовый 2 2 21 4 3" xfId="22560"/>
    <cellStyle name="Финансовый 2 2 21 4 4" xfId="22561"/>
    <cellStyle name="Финансовый 2 2 21 4 5" xfId="22562"/>
    <cellStyle name="Финансовый 2 2 21 4 6" xfId="22563"/>
    <cellStyle name="Финансовый 2 2 21 4 7" xfId="22564"/>
    <cellStyle name="Финансовый 2 2 21 4 8" xfId="22565"/>
    <cellStyle name="Финансовый 2 2 21 4 9" xfId="22566"/>
    <cellStyle name="Финансовый 2 2 21 5" xfId="22567"/>
    <cellStyle name="Финансовый 2 2 21 6" xfId="22568"/>
    <cellStyle name="Финансовый 2 2 21 7" xfId="22569"/>
    <cellStyle name="Финансовый 2 2 21 8" xfId="22570"/>
    <cellStyle name="Финансовый 2 2 21 9" xfId="22571"/>
    <cellStyle name="Финансовый 2 2 22" xfId="5186"/>
    <cellStyle name="Финансовый 2 2 22 2" xfId="5187"/>
    <cellStyle name="Финансовый 2 2 22 3" xfId="5188"/>
    <cellStyle name="Финансовый 2 2 23" xfId="5189"/>
    <cellStyle name="Финансовый 2 2 24" xfId="5190"/>
    <cellStyle name="Финансовый 2 2 24 2" xfId="22572"/>
    <cellStyle name="Финансовый 2 2 24 3" xfId="22573"/>
    <cellStyle name="Финансовый 2 2 24 4" xfId="22574"/>
    <cellStyle name="Финансовый 2 2 24 5" xfId="22575"/>
    <cellStyle name="Финансовый 2 2 25" xfId="22576"/>
    <cellStyle name="Финансовый 2 2 26" xfId="22577"/>
    <cellStyle name="Финансовый 2 2 27" xfId="22578"/>
    <cellStyle name="Финансовый 2 2 28" xfId="22579"/>
    <cellStyle name="Финансовый 2 2 3" xfId="5191"/>
    <cellStyle name="Финансовый 2 2 3 2" xfId="5192"/>
    <cellStyle name="Финансовый 2 2 3 2 2" xfId="5193"/>
    <cellStyle name="Финансовый 2 2 3 2 3" xfId="5194"/>
    <cellStyle name="Финансовый 2 2 3 3" xfId="5195"/>
    <cellStyle name="Финансовый 2 2 3 4" xfId="5196"/>
    <cellStyle name="Финансовый 2 2 3 4 2" xfId="22580"/>
    <cellStyle name="Финансовый 2 2 3 4 3" xfId="22581"/>
    <cellStyle name="Финансовый 2 2 3 4 4" xfId="22582"/>
    <cellStyle name="Финансовый 2 2 3 4 5" xfId="22583"/>
    <cellStyle name="Финансовый 2 2 3 5" xfId="22584"/>
    <cellStyle name="Финансовый 2 2 3 6" xfId="22585"/>
    <cellStyle name="Финансовый 2 2 3 7" xfId="22586"/>
    <cellStyle name="Финансовый 2 2 3 8" xfId="22587"/>
    <cellStyle name="Финансовый 2 2 4" xfId="5197"/>
    <cellStyle name="Финансовый 2 2 4 2" xfId="5198"/>
    <cellStyle name="Финансовый 2 2 4 2 2" xfId="5199"/>
    <cellStyle name="Финансовый 2 2 4 2 3" xfId="5200"/>
    <cellStyle name="Финансовый 2 2 4 3" xfId="5201"/>
    <cellStyle name="Финансовый 2 2 4 4" xfId="5202"/>
    <cellStyle name="Финансовый 2 2 4 4 2" xfId="22588"/>
    <cellStyle name="Финансовый 2 2 4 4 3" xfId="22589"/>
    <cellStyle name="Финансовый 2 2 4 4 4" xfId="22590"/>
    <cellStyle name="Финансовый 2 2 4 4 5" xfId="22591"/>
    <cellStyle name="Финансовый 2 2 4 5" xfId="22592"/>
    <cellStyle name="Финансовый 2 2 4 6" xfId="22593"/>
    <cellStyle name="Финансовый 2 2 4 7" xfId="22594"/>
    <cellStyle name="Финансовый 2 2 4 8" xfId="22595"/>
    <cellStyle name="Финансовый 2 2 5" xfId="5203"/>
    <cellStyle name="Финансовый 2 2 5 2" xfId="5204"/>
    <cellStyle name="Финансовый 2 2 5 2 2" xfId="5205"/>
    <cellStyle name="Финансовый 2 2 5 2 3" xfId="5206"/>
    <cellStyle name="Финансовый 2 2 5 3" xfId="5207"/>
    <cellStyle name="Финансовый 2 2 5 4" xfId="5208"/>
    <cellStyle name="Финансовый 2 2 5 4 2" xfId="22596"/>
    <cellStyle name="Финансовый 2 2 5 4 3" xfId="22597"/>
    <cellStyle name="Финансовый 2 2 5 4 4" xfId="22598"/>
    <cellStyle name="Финансовый 2 2 5 4 5" xfId="22599"/>
    <cellStyle name="Финансовый 2 2 5 5" xfId="22600"/>
    <cellStyle name="Финансовый 2 2 5 6" xfId="22601"/>
    <cellStyle name="Финансовый 2 2 5 7" xfId="22602"/>
    <cellStyle name="Финансовый 2 2 5 8" xfId="22603"/>
    <cellStyle name="Финансовый 2 2 6" xfId="5209"/>
    <cellStyle name="Финансовый 2 2 6 2" xfId="5210"/>
    <cellStyle name="Финансовый 2 2 6 2 2" xfId="5211"/>
    <cellStyle name="Финансовый 2 2 6 2 3" xfId="5212"/>
    <cellStyle name="Финансовый 2 2 6 3" xfId="5213"/>
    <cellStyle name="Финансовый 2 2 6 4" xfId="5214"/>
    <cellStyle name="Финансовый 2 2 6 4 2" xfId="22604"/>
    <cellStyle name="Финансовый 2 2 6 4 3" xfId="22605"/>
    <cellStyle name="Финансовый 2 2 6 4 4" xfId="22606"/>
    <cellStyle name="Финансовый 2 2 6 4 5" xfId="22607"/>
    <cellStyle name="Финансовый 2 2 6 5" xfId="22608"/>
    <cellStyle name="Финансовый 2 2 6 6" xfId="22609"/>
    <cellStyle name="Финансовый 2 2 6 7" xfId="22610"/>
    <cellStyle name="Финансовый 2 2 6 8" xfId="22611"/>
    <cellStyle name="Финансовый 2 2 7" xfId="5215"/>
    <cellStyle name="Финансовый 2 2 7 2" xfId="5216"/>
    <cellStyle name="Финансовый 2 2 7 2 2" xfId="5217"/>
    <cellStyle name="Финансовый 2 2 7 2 3" xfId="5218"/>
    <cellStyle name="Финансовый 2 2 7 3" xfId="5219"/>
    <cellStyle name="Финансовый 2 2 7 4" xfId="5220"/>
    <cellStyle name="Финансовый 2 2 7 4 2" xfId="22612"/>
    <cellStyle name="Финансовый 2 2 7 4 3" xfId="22613"/>
    <cellStyle name="Финансовый 2 2 7 4 4" xfId="22614"/>
    <cellStyle name="Финансовый 2 2 7 4 5" xfId="22615"/>
    <cellStyle name="Финансовый 2 2 7 5" xfId="22616"/>
    <cellStyle name="Финансовый 2 2 7 6" xfId="22617"/>
    <cellStyle name="Финансовый 2 2 7 7" xfId="22618"/>
    <cellStyle name="Финансовый 2 2 7 8" xfId="22619"/>
    <cellStyle name="Финансовый 2 2 8" xfId="5221"/>
    <cellStyle name="Финансовый 2 2 8 2" xfId="5222"/>
    <cellStyle name="Финансовый 2 2 8 2 2" xfId="5223"/>
    <cellStyle name="Финансовый 2 2 8 2 3" xfId="5224"/>
    <cellStyle name="Финансовый 2 2 8 3" xfId="5225"/>
    <cellStyle name="Финансовый 2 2 8 4" xfId="5226"/>
    <cellStyle name="Финансовый 2 2 8 4 2" xfId="22620"/>
    <cellStyle name="Финансовый 2 2 8 4 3" xfId="22621"/>
    <cellStyle name="Финансовый 2 2 8 4 4" xfId="22622"/>
    <cellStyle name="Финансовый 2 2 8 4 5" xfId="22623"/>
    <cellStyle name="Финансовый 2 2 8 5" xfId="22624"/>
    <cellStyle name="Финансовый 2 2 8 6" xfId="22625"/>
    <cellStyle name="Финансовый 2 2 8 7" xfId="22626"/>
    <cellStyle name="Финансовый 2 2 8 8" xfId="22627"/>
    <cellStyle name="Финансовый 2 2 9" xfId="5227"/>
    <cellStyle name="Финансовый 2 2 9 2" xfId="5228"/>
    <cellStyle name="Финансовый 2 2 9 2 2" xfId="5229"/>
    <cellStyle name="Финансовый 2 2 9 2 3" xfId="5230"/>
    <cellStyle name="Финансовый 2 2 9 3" xfId="5231"/>
    <cellStyle name="Финансовый 2 2 9 4" xfId="5232"/>
    <cellStyle name="Финансовый 2 2 9 4 2" xfId="22628"/>
    <cellStyle name="Финансовый 2 2 9 4 3" xfId="22629"/>
    <cellStyle name="Финансовый 2 2 9 4 4" xfId="22630"/>
    <cellStyle name="Финансовый 2 2 9 4 5" xfId="22631"/>
    <cellStyle name="Финансовый 2 2 9 5" xfId="22632"/>
    <cellStyle name="Финансовый 2 2 9 6" xfId="22633"/>
    <cellStyle name="Финансовый 2 2 9 7" xfId="22634"/>
    <cellStyle name="Финансовый 2 2 9 8" xfId="22635"/>
    <cellStyle name="Финансовый 2 20" xfId="5233"/>
    <cellStyle name="Финансовый 2 20 2" xfId="5234"/>
    <cellStyle name="Финансовый 2 20 2 2" xfId="5235"/>
    <cellStyle name="Финансовый 2 20 2 3" xfId="5236"/>
    <cellStyle name="Финансовый 2 20 3" xfId="5237"/>
    <cellStyle name="Финансовый 2 20 4" xfId="5238"/>
    <cellStyle name="Финансовый 2 20 4 2" xfId="22636"/>
    <cellStyle name="Финансовый 2 20 4 3" xfId="22637"/>
    <cellStyle name="Финансовый 2 20 4 4" xfId="22638"/>
    <cellStyle name="Финансовый 2 20 4 5" xfId="22639"/>
    <cellStyle name="Финансовый 2 20 5" xfId="22640"/>
    <cellStyle name="Финансовый 2 20 6" xfId="22641"/>
    <cellStyle name="Финансовый 2 20 7" xfId="22642"/>
    <cellStyle name="Финансовый 2 20 8" xfId="22643"/>
    <cellStyle name="Финансовый 2 21" xfId="5239"/>
    <cellStyle name="Финансовый 2 21 2" xfId="5240"/>
    <cellStyle name="Финансовый 2 21 2 2" xfId="5241"/>
    <cellStyle name="Финансовый 2 21 2 3" xfId="5242"/>
    <cellStyle name="Финансовый 2 21 3" xfId="5243"/>
    <cellStyle name="Финансовый 2 21 4" xfId="5244"/>
    <cellStyle name="Финансовый 2 21 4 2" xfId="22644"/>
    <cellStyle name="Финансовый 2 21 4 3" xfId="22645"/>
    <cellStyle name="Финансовый 2 21 4 4" xfId="22646"/>
    <cellStyle name="Финансовый 2 21 4 5" xfId="22647"/>
    <cellStyle name="Финансовый 2 21 5" xfId="22648"/>
    <cellStyle name="Финансовый 2 21 6" xfId="22649"/>
    <cellStyle name="Финансовый 2 21 7" xfId="22650"/>
    <cellStyle name="Финансовый 2 21 8" xfId="22651"/>
    <cellStyle name="Финансовый 2 22" xfId="5245"/>
    <cellStyle name="Финансовый 2 22 2" xfId="5246"/>
    <cellStyle name="Финансовый 2 22 2 2" xfId="5247"/>
    <cellStyle name="Финансовый 2 22 2 3" xfId="5248"/>
    <cellStyle name="Финансовый 2 22 3" xfId="5249"/>
    <cellStyle name="Финансовый 2 22 4" xfId="5250"/>
    <cellStyle name="Финансовый 2 22 4 2" xfId="22652"/>
    <cellStyle name="Финансовый 2 22 4 3" xfId="22653"/>
    <cellStyle name="Финансовый 2 22 4 4" xfId="22654"/>
    <cellStyle name="Финансовый 2 22 4 5" xfId="22655"/>
    <cellStyle name="Финансовый 2 22 5" xfId="22656"/>
    <cellStyle name="Финансовый 2 22 6" xfId="22657"/>
    <cellStyle name="Финансовый 2 22 7" xfId="22658"/>
    <cellStyle name="Финансовый 2 22 8" xfId="22659"/>
    <cellStyle name="Финансовый 2 23" xfId="5251"/>
    <cellStyle name="Финансовый 2 23 2" xfId="5252"/>
    <cellStyle name="Финансовый 2 23 2 2" xfId="5253"/>
    <cellStyle name="Финансовый 2 23 2 3" xfId="5254"/>
    <cellStyle name="Финансовый 2 23 3" xfId="5255"/>
    <cellStyle name="Финансовый 2 23 4" xfId="5256"/>
    <cellStyle name="Финансовый 2 23 4 2" xfId="22660"/>
    <cellStyle name="Финансовый 2 23 4 3" xfId="22661"/>
    <cellStyle name="Финансовый 2 23 4 4" xfId="22662"/>
    <cellStyle name="Финансовый 2 23 4 5" xfId="22663"/>
    <cellStyle name="Финансовый 2 23 5" xfId="22664"/>
    <cellStyle name="Финансовый 2 23 6" xfId="22665"/>
    <cellStyle name="Финансовый 2 23 7" xfId="22666"/>
    <cellStyle name="Финансовый 2 23 8" xfId="22667"/>
    <cellStyle name="Финансовый 2 24" xfId="5257"/>
    <cellStyle name="Финансовый 2 24 10" xfId="22668"/>
    <cellStyle name="Финансовый 2 24 11" xfId="22669"/>
    <cellStyle name="Финансовый 2 24 12" xfId="22670"/>
    <cellStyle name="Финансовый 2 24 2" xfId="5258"/>
    <cellStyle name="Финансовый 2 24 2 10" xfId="22671"/>
    <cellStyle name="Финансовый 2 24 2 11" xfId="22672"/>
    <cellStyle name="Финансовый 2 24 2 12" xfId="22673"/>
    <cellStyle name="Финансовый 2 24 2 2" xfId="5259"/>
    <cellStyle name="Финансовый 2 24 2 2 2" xfId="22674"/>
    <cellStyle name="Финансовый 2 24 2 2 3" xfId="22675"/>
    <cellStyle name="Финансовый 2 24 2 2 4" xfId="22676"/>
    <cellStyle name="Финансовый 2 24 2 2 5" xfId="22677"/>
    <cellStyle name="Финансовый 2 24 2 2 6" xfId="22678"/>
    <cellStyle name="Финансовый 2 24 2 2 7" xfId="22679"/>
    <cellStyle name="Финансовый 2 24 2 2 8" xfId="22680"/>
    <cellStyle name="Финансовый 2 24 2 2 9" xfId="22681"/>
    <cellStyle name="Финансовый 2 24 2 3" xfId="5260"/>
    <cellStyle name="Финансовый 2 24 2 3 2" xfId="22682"/>
    <cellStyle name="Финансовый 2 24 2 3 3" xfId="22683"/>
    <cellStyle name="Финансовый 2 24 2 3 4" xfId="22684"/>
    <cellStyle name="Финансовый 2 24 2 3 5" xfId="22685"/>
    <cellStyle name="Финансовый 2 24 2 3 6" xfId="22686"/>
    <cellStyle name="Финансовый 2 24 2 3 7" xfId="22687"/>
    <cellStyle name="Финансовый 2 24 2 3 8" xfId="22688"/>
    <cellStyle name="Финансовый 2 24 2 3 9" xfId="22689"/>
    <cellStyle name="Финансовый 2 24 2 4" xfId="5261"/>
    <cellStyle name="Финансовый 2 24 2 4 2" xfId="22690"/>
    <cellStyle name="Финансовый 2 24 2 4 3" xfId="22691"/>
    <cellStyle name="Финансовый 2 24 2 4 4" xfId="22692"/>
    <cellStyle name="Финансовый 2 24 2 4 5" xfId="22693"/>
    <cellStyle name="Финансовый 2 24 2 4 6" xfId="22694"/>
    <cellStyle name="Финансовый 2 24 2 4 7" xfId="22695"/>
    <cellStyle name="Финансовый 2 24 2 4 8" xfId="22696"/>
    <cellStyle name="Финансовый 2 24 2 4 9" xfId="22697"/>
    <cellStyle name="Финансовый 2 24 2 5" xfId="22698"/>
    <cellStyle name="Финансовый 2 24 2 6" xfId="22699"/>
    <cellStyle name="Финансовый 2 24 2 7" xfId="22700"/>
    <cellStyle name="Финансовый 2 24 2 8" xfId="22701"/>
    <cellStyle name="Финансовый 2 24 2 9" xfId="22702"/>
    <cellStyle name="Финансовый 2 24 3" xfId="5262"/>
    <cellStyle name="Финансовый 2 24 3 10" xfId="22703"/>
    <cellStyle name="Финансовый 2 24 3 11" xfId="22704"/>
    <cellStyle name="Финансовый 2 24 3 2" xfId="5263"/>
    <cellStyle name="Финансовый 2 24 3 2 2" xfId="22705"/>
    <cellStyle name="Финансовый 2 24 3 2 3" xfId="22706"/>
    <cellStyle name="Финансовый 2 24 3 2 4" xfId="22707"/>
    <cellStyle name="Финансовый 2 24 3 2 5" xfId="22708"/>
    <cellStyle name="Финансовый 2 24 3 2 6" xfId="22709"/>
    <cellStyle name="Финансовый 2 24 3 2 7" xfId="22710"/>
    <cellStyle name="Финансовый 2 24 3 2 8" xfId="22711"/>
    <cellStyle name="Финансовый 2 24 3 2 9" xfId="22712"/>
    <cellStyle name="Финансовый 2 24 3 3" xfId="5264"/>
    <cellStyle name="Финансовый 2 24 3 3 2" xfId="22713"/>
    <cellStyle name="Финансовый 2 24 3 3 3" xfId="22714"/>
    <cellStyle name="Финансовый 2 24 3 3 4" xfId="22715"/>
    <cellStyle name="Финансовый 2 24 3 3 5" xfId="22716"/>
    <cellStyle name="Финансовый 2 24 3 3 6" xfId="22717"/>
    <cellStyle name="Финансовый 2 24 3 3 7" xfId="22718"/>
    <cellStyle name="Финансовый 2 24 3 3 8" xfId="22719"/>
    <cellStyle name="Финансовый 2 24 3 3 9" xfId="22720"/>
    <cellStyle name="Финансовый 2 24 3 4" xfId="22721"/>
    <cellStyle name="Финансовый 2 24 3 5" xfId="22722"/>
    <cellStyle name="Финансовый 2 24 3 6" xfId="22723"/>
    <cellStyle name="Финансовый 2 24 3 7" xfId="22724"/>
    <cellStyle name="Финансовый 2 24 3 8" xfId="22725"/>
    <cellStyle name="Финансовый 2 24 3 9" xfId="22726"/>
    <cellStyle name="Финансовый 2 24 4" xfId="5265"/>
    <cellStyle name="Финансовый 2 24 4 2" xfId="22727"/>
    <cellStyle name="Финансовый 2 24 4 3" xfId="22728"/>
    <cellStyle name="Финансовый 2 24 4 4" xfId="22729"/>
    <cellStyle name="Финансовый 2 24 4 5" xfId="22730"/>
    <cellStyle name="Финансовый 2 24 4 6" xfId="22731"/>
    <cellStyle name="Финансовый 2 24 4 7" xfId="22732"/>
    <cellStyle name="Финансовый 2 24 4 8" xfId="22733"/>
    <cellStyle name="Финансовый 2 24 4 9" xfId="22734"/>
    <cellStyle name="Финансовый 2 24 5" xfId="22735"/>
    <cellStyle name="Финансовый 2 24 6" xfId="22736"/>
    <cellStyle name="Финансовый 2 24 7" xfId="22737"/>
    <cellStyle name="Финансовый 2 24 8" xfId="22738"/>
    <cellStyle name="Финансовый 2 24 9" xfId="22739"/>
    <cellStyle name="Финансовый 2 25" xfId="5266"/>
    <cellStyle name="Финансовый 2 25 10" xfId="22740"/>
    <cellStyle name="Финансовый 2 25 11" xfId="22741"/>
    <cellStyle name="Финансовый 2 25 12" xfId="22742"/>
    <cellStyle name="Финансовый 2 25 2" xfId="5267"/>
    <cellStyle name="Финансовый 2 25 2 10" xfId="22743"/>
    <cellStyle name="Финансовый 2 25 2 11" xfId="22744"/>
    <cellStyle name="Финансовый 2 25 2 12" xfId="22745"/>
    <cellStyle name="Финансовый 2 25 2 2" xfId="5268"/>
    <cellStyle name="Финансовый 2 25 2 2 2" xfId="22746"/>
    <cellStyle name="Финансовый 2 25 2 2 3" xfId="22747"/>
    <cellStyle name="Финансовый 2 25 2 2 4" xfId="22748"/>
    <cellStyle name="Финансовый 2 25 2 2 5" xfId="22749"/>
    <cellStyle name="Финансовый 2 25 2 2 6" xfId="22750"/>
    <cellStyle name="Финансовый 2 25 2 2 7" xfId="22751"/>
    <cellStyle name="Финансовый 2 25 2 2 8" xfId="22752"/>
    <cellStyle name="Финансовый 2 25 2 2 9" xfId="22753"/>
    <cellStyle name="Финансовый 2 25 2 3" xfId="5269"/>
    <cellStyle name="Финансовый 2 25 2 3 2" xfId="22754"/>
    <cellStyle name="Финансовый 2 25 2 3 3" xfId="22755"/>
    <cellStyle name="Финансовый 2 25 2 3 4" xfId="22756"/>
    <cellStyle name="Финансовый 2 25 2 3 5" xfId="22757"/>
    <cellStyle name="Финансовый 2 25 2 3 6" xfId="22758"/>
    <cellStyle name="Финансовый 2 25 2 3 7" xfId="22759"/>
    <cellStyle name="Финансовый 2 25 2 3 8" xfId="22760"/>
    <cellStyle name="Финансовый 2 25 2 3 9" xfId="22761"/>
    <cellStyle name="Финансовый 2 25 2 4" xfId="5270"/>
    <cellStyle name="Финансовый 2 25 2 4 2" xfId="22762"/>
    <cellStyle name="Финансовый 2 25 2 4 3" xfId="22763"/>
    <cellStyle name="Финансовый 2 25 2 4 4" xfId="22764"/>
    <cellStyle name="Финансовый 2 25 2 4 5" xfId="22765"/>
    <cellStyle name="Финансовый 2 25 2 4 6" xfId="22766"/>
    <cellStyle name="Финансовый 2 25 2 4 7" xfId="22767"/>
    <cellStyle name="Финансовый 2 25 2 4 8" xfId="22768"/>
    <cellStyle name="Финансовый 2 25 2 4 9" xfId="22769"/>
    <cellStyle name="Финансовый 2 25 2 5" xfId="22770"/>
    <cellStyle name="Финансовый 2 25 2 6" xfId="22771"/>
    <cellStyle name="Финансовый 2 25 2 7" xfId="22772"/>
    <cellStyle name="Финансовый 2 25 2 8" xfId="22773"/>
    <cellStyle name="Финансовый 2 25 2 9" xfId="22774"/>
    <cellStyle name="Финансовый 2 25 3" xfId="5271"/>
    <cellStyle name="Финансовый 2 25 3 10" xfId="22775"/>
    <cellStyle name="Финансовый 2 25 3 11" xfId="22776"/>
    <cellStyle name="Финансовый 2 25 3 2" xfId="5272"/>
    <cellStyle name="Финансовый 2 25 3 2 2" xfId="22777"/>
    <cellStyle name="Финансовый 2 25 3 2 3" xfId="22778"/>
    <cellStyle name="Финансовый 2 25 3 2 4" xfId="22779"/>
    <cellStyle name="Финансовый 2 25 3 2 5" xfId="22780"/>
    <cellStyle name="Финансовый 2 25 3 2 6" xfId="22781"/>
    <cellStyle name="Финансовый 2 25 3 2 7" xfId="22782"/>
    <cellStyle name="Финансовый 2 25 3 2 8" xfId="22783"/>
    <cellStyle name="Финансовый 2 25 3 2 9" xfId="22784"/>
    <cellStyle name="Финансовый 2 25 3 3" xfId="5273"/>
    <cellStyle name="Финансовый 2 25 3 3 2" xfId="22785"/>
    <cellStyle name="Финансовый 2 25 3 3 3" xfId="22786"/>
    <cellStyle name="Финансовый 2 25 3 3 4" xfId="22787"/>
    <cellStyle name="Финансовый 2 25 3 3 5" xfId="22788"/>
    <cellStyle name="Финансовый 2 25 3 3 6" xfId="22789"/>
    <cellStyle name="Финансовый 2 25 3 3 7" xfId="22790"/>
    <cellStyle name="Финансовый 2 25 3 3 8" xfId="22791"/>
    <cellStyle name="Финансовый 2 25 3 3 9" xfId="22792"/>
    <cellStyle name="Финансовый 2 25 3 4" xfId="22793"/>
    <cellStyle name="Финансовый 2 25 3 5" xfId="22794"/>
    <cellStyle name="Финансовый 2 25 3 6" xfId="22795"/>
    <cellStyle name="Финансовый 2 25 3 7" xfId="22796"/>
    <cellStyle name="Финансовый 2 25 3 8" xfId="22797"/>
    <cellStyle name="Финансовый 2 25 3 9" xfId="22798"/>
    <cellStyle name="Финансовый 2 25 4" xfId="5274"/>
    <cellStyle name="Финансовый 2 25 4 2" xfId="22799"/>
    <cellStyle name="Финансовый 2 25 4 3" xfId="22800"/>
    <cellStyle name="Финансовый 2 25 4 4" xfId="22801"/>
    <cellStyle name="Финансовый 2 25 4 5" xfId="22802"/>
    <cellStyle name="Финансовый 2 25 4 6" xfId="22803"/>
    <cellStyle name="Финансовый 2 25 4 7" xfId="22804"/>
    <cellStyle name="Финансовый 2 25 4 8" xfId="22805"/>
    <cellStyle name="Финансовый 2 25 4 9" xfId="22806"/>
    <cellStyle name="Финансовый 2 25 5" xfId="22807"/>
    <cellStyle name="Финансовый 2 25 6" xfId="22808"/>
    <cellStyle name="Финансовый 2 25 7" xfId="22809"/>
    <cellStyle name="Финансовый 2 25 8" xfId="22810"/>
    <cellStyle name="Финансовый 2 25 9" xfId="22811"/>
    <cellStyle name="Финансовый 2 26" xfId="5275"/>
    <cellStyle name="Финансовый 2 26 2" xfId="5276"/>
    <cellStyle name="Финансовый 2 26 3" xfId="5277"/>
    <cellStyle name="Финансовый 2 27" xfId="5278"/>
    <cellStyle name="Финансовый 2 28" xfId="5279"/>
    <cellStyle name="Финансовый 2 28 2" xfId="22812"/>
    <cellStyle name="Финансовый 2 28 3" xfId="22813"/>
    <cellStyle name="Финансовый 2 28 4" xfId="22814"/>
    <cellStyle name="Финансовый 2 28 5" xfId="22815"/>
    <cellStyle name="Финансовый 2 29" xfId="5280"/>
    <cellStyle name="Финансовый 2 29 2" xfId="22816"/>
    <cellStyle name="Финансовый 2 29 3" xfId="22817"/>
    <cellStyle name="Финансовый 2 29 4" xfId="22818"/>
    <cellStyle name="Финансовый 2 29 5" xfId="22819"/>
    <cellStyle name="Финансовый 2 3" xfId="5281"/>
    <cellStyle name="Финансовый 2 3 2" xfId="5282"/>
    <cellStyle name="Финансовый 2 3 2 2" xfId="5283"/>
    <cellStyle name="Финансовый 2 3 2 3" xfId="5284"/>
    <cellStyle name="Финансовый 2 3 3" xfId="5285"/>
    <cellStyle name="Финансовый 2 3 4" xfId="5286"/>
    <cellStyle name="Финансовый 2 3 4 2" xfId="22820"/>
    <cellStyle name="Финансовый 2 3 4 3" xfId="22821"/>
    <cellStyle name="Финансовый 2 3 4 4" xfId="22822"/>
    <cellStyle name="Финансовый 2 3 4 5" xfId="22823"/>
    <cellStyle name="Финансовый 2 3 5" xfId="22824"/>
    <cellStyle name="Финансовый 2 3 6" xfId="22825"/>
    <cellStyle name="Финансовый 2 3 7" xfId="22826"/>
    <cellStyle name="Финансовый 2 3 8" xfId="22827"/>
    <cellStyle name="Финансовый 2 30" xfId="22828"/>
    <cellStyle name="Финансовый 2 31" xfId="22829"/>
    <cellStyle name="Финансовый 2 32" xfId="22830"/>
    <cellStyle name="Финансовый 2 33" xfId="22831"/>
    <cellStyle name="Финансовый 2 34" xfId="22832"/>
    <cellStyle name="Финансовый 2 35" xfId="23906"/>
    <cellStyle name="Финансовый 2 4" xfId="5287"/>
    <cellStyle name="Финансовый 2 4 2" xfId="5288"/>
    <cellStyle name="Финансовый 2 4 2 2" xfId="5289"/>
    <cellStyle name="Финансовый 2 4 2 3" xfId="5290"/>
    <cellStyle name="Финансовый 2 4 3" xfId="5291"/>
    <cellStyle name="Финансовый 2 4 4" xfId="5292"/>
    <cellStyle name="Финансовый 2 4 4 2" xfId="22833"/>
    <cellStyle name="Финансовый 2 4 4 3" xfId="22834"/>
    <cellStyle name="Финансовый 2 4 4 4" xfId="22835"/>
    <cellStyle name="Финансовый 2 4 4 5" xfId="22836"/>
    <cellStyle name="Финансовый 2 4 5" xfId="22837"/>
    <cellStyle name="Финансовый 2 4 6" xfId="22838"/>
    <cellStyle name="Финансовый 2 4 7" xfId="22839"/>
    <cellStyle name="Финансовый 2 4 8" xfId="22840"/>
    <cellStyle name="Финансовый 2 5" xfId="5293"/>
    <cellStyle name="Финансовый 2 5 2" xfId="5294"/>
    <cellStyle name="Финансовый 2 5 2 2" xfId="5295"/>
    <cellStyle name="Финансовый 2 5 2 3" xfId="5296"/>
    <cellStyle name="Финансовый 2 5 3" xfId="5297"/>
    <cellStyle name="Финансовый 2 5 4" xfId="5298"/>
    <cellStyle name="Финансовый 2 5 4 2" xfId="22841"/>
    <cellStyle name="Финансовый 2 5 4 3" xfId="22842"/>
    <cellStyle name="Финансовый 2 5 4 4" xfId="22843"/>
    <cellStyle name="Финансовый 2 5 4 5" xfId="22844"/>
    <cellStyle name="Финансовый 2 5 5" xfId="22845"/>
    <cellStyle name="Финансовый 2 5 6" xfId="22846"/>
    <cellStyle name="Финансовый 2 5 7" xfId="22847"/>
    <cellStyle name="Финансовый 2 5 8" xfId="22848"/>
    <cellStyle name="Финансовый 2 6" xfId="5299"/>
    <cellStyle name="Финансовый 2 6 2" xfId="5300"/>
    <cellStyle name="Финансовый 2 6 2 2" xfId="5301"/>
    <cellStyle name="Финансовый 2 6 2 3" xfId="5302"/>
    <cellStyle name="Финансовый 2 6 3" xfId="5303"/>
    <cellStyle name="Финансовый 2 6 4" xfId="5304"/>
    <cellStyle name="Финансовый 2 6 4 2" xfId="22849"/>
    <cellStyle name="Финансовый 2 6 4 3" xfId="22850"/>
    <cellStyle name="Финансовый 2 6 4 4" xfId="22851"/>
    <cellStyle name="Финансовый 2 6 4 5" xfId="22852"/>
    <cellStyle name="Финансовый 2 6 5" xfId="22853"/>
    <cellStyle name="Финансовый 2 6 6" xfId="22854"/>
    <cellStyle name="Финансовый 2 6 7" xfId="22855"/>
    <cellStyle name="Финансовый 2 6 8" xfId="22856"/>
    <cellStyle name="Финансовый 2 7" xfId="5305"/>
    <cellStyle name="Финансовый 2 7 10" xfId="22857"/>
    <cellStyle name="Финансовый 2 7 11" xfId="22858"/>
    <cellStyle name="Финансовый 2 7 12" xfId="22859"/>
    <cellStyle name="Финансовый 2 7 2" xfId="5306"/>
    <cellStyle name="Финансовый 2 7 2 10" xfId="22860"/>
    <cellStyle name="Финансовый 2 7 2 11" xfId="22861"/>
    <cellStyle name="Финансовый 2 7 2 12" xfId="22862"/>
    <cellStyle name="Финансовый 2 7 2 2" xfId="5307"/>
    <cellStyle name="Финансовый 2 7 2 2 2" xfId="22863"/>
    <cellStyle name="Финансовый 2 7 2 2 3" xfId="22864"/>
    <cellStyle name="Финансовый 2 7 2 2 4" xfId="22865"/>
    <cellStyle name="Финансовый 2 7 2 2 5" xfId="22866"/>
    <cellStyle name="Финансовый 2 7 2 2 6" xfId="22867"/>
    <cellStyle name="Финансовый 2 7 2 2 7" xfId="22868"/>
    <cellStyle name="Финансовый 2 7 2 2 8" xfId="22869"/>
    <cellStyle name="Финансовый 2 7 2 2 9" xfId="22870"/>
    <cellStyle name="Финансовый 2 7 2 3" xfId="5308"/>
    <cellStyle name="Финансовый 2 7 2 3 2" xfId="22871"/>
    <cellStyle name="Финансовый 2 7 2 3 3" xfId="22872"/>
    <cellStyle name="Финансовый 2 7 2 3 4" xfId="22873"/>
    <cellStyle name="Финансовый 2 7 2 3 5" xfId="22874"/>
    <cellStyle name="Финансовый 2 7 2 3 6" xfId="22875"/>
    <cellStyle name="Финансовый 2 7 2 3 7" xfId="22876"/>
    <cellStyle name="Финансовый 2 7 2 3 8" xfId="22877"/>
    <cellStyle name="Финансовый 2 7 2 3 9" xfId="22878"/>
    <cellStyle name="Финансовый 2 7 2 4" xfId="5309"/>
    <cellStyle name="Финансовый 2 7 2 4 2" xfId="22879"/>
    <cellStyle name="Финансовый 2 7 2 4 3" xfId="22880"/>
    <cellStyle name="Финансовый 2 7 2 4 4" xfId="22881"/>
    <cellStyle name="Финансовый 2 7 2 4 5" xfId="22882"/>
    <cellStyle name="Финансовый 2 7 2 4 6" xfId="22883"/>
    <cellStyle name="Финансовый 2 7 2 4 7" xfId="22884"/>
    <cellStyle name="Финансовый 2 7 2 4 8" xfId="22885"/>
    <cellStyle name="Финансовый 2 7 2 4 9" xfId="22886"/>
    <cellStyle name="Финансовый 2 7 2 5" xfId="22887"/>
    <cellStyle name="Финансовый 2 7 2 6" xfId="22888"/>
    <cellStyle name="Финансовый 2 7 2 7" xfId="22889"/>
    <cellStyle name="Финансовый 2 7 2 8" xfId="22890"/>
    <cellStyle name="Финансовый 2 7 2 9" xfId="22891"/>
    <cellStyle name="Финансовый 2 7 3" xfId="5310"/>
    <cellStyle name="Финансовый 2 7 3 10" xfId="22892"/>
    <cellStyle name="Финансовый 2 7 3 11" xfId="22893"/>
    <cellStyle name="Финансовый 2 7 3 2" xfId="5311"/>
    <cellStyle name="Финансовый 2 7 3 2 2" xfId="22894"/>
    <cellStyle name="Финансовый 2 7 3 2 3" xfId="22895"/>
    <cellStyle name="Финансовый 2 7 3 2 4" xfId="22896"/>
    <cellStyle name="Финансовый 2 7 3 2 5" xfId="22897"/>
    <cellStyle name="Финансовый 2 7 3 2 6" xfId="22898"/>
    <cellStyle name="Финансовый 2 7 3 2 7" xfId="22899"/>
    <cellStyle name="Финансовый 2 7 3 2 8" xfId="22900"/>
    <cellStyle name="Финансовый 2 7 3 2 9" xfId="22901"/>
    <cellStyle name="Финансовый 2 7 3 3" xfId="5312"/>
    <cellStyle name="Финансовый 2 7 3 3 2" xfId="22902"/>
    <cellStyle name="Финансовый 2 7 3 3 3" xfId="22903"/>
    <cellStyle name="Финансовый 2 7 3 3 4" xfId="22904"/>
    <cellStyle name="Финансовый 2 7 3 3 5" xfId="22905"/>
    <cellStyle name="Финансовый 2 7 3 3 6" xfId="22906"/>
    <cellStyle name="Финансовый 2 7 3 3 7" xfId="22907"/>
    <cellStyle name="Финансовый 2 7 3 3 8" xfId="22908"/>
    <cellStyle name="Финансовый 2 7 3 3 9" xfId="22909"/>
    <cellStyle name="Финансовый 2 7 3 4" xfId="22910"/>
    <cellStyle name="Финансовый 2 7 3 5" xfId="22911"/>
    <cellStyle name="Финансовый 2 7 3 6" xfId="22912"/>
    <cellStyle name="Финансовый 2 7 3 7" xfId="22913"/>
    <cellStyle name="Финансовый 2 7 3 8" xfId="22914"/>
    <cellStyle name="Финансовый 2 7 3 9" xfId="22915"/>
    <cellStyle name="Финансовый 2 7 4" xfId="5313"/>
    <cellStyle name="Финансовый 2 7 4 2" xfId="22916"/>
    <cellStyle name="Финансовый 2 7 4 3" xfId="22917"/>
    <cellStyle name="Финансовый 2 7 4 4" xfId="22918"/>
    <cellStyle name="Финансовый 2 7 4 5" xfId="22919"/>
    <cellStyle name="Финансовый 2 7 4 6" xfId="22920"/>
    <cellStyle name="Финансовый 2 7 4 7" xfId="22921"/>
    <cellStyle name="Финансовый 2 7 4 8" xfId="22922"/>
    <cellStyle name="Финансовый 2 7 4 9" xfId="22923"/>
    <cellStyle name="Финансовый 2 7 5" xfId="22924"/>
    <cellStyle name="Финансовый 2 7 6" xfId="22925"/>
    <cellStyle name="Финансовый 2 7 7" xfId="22926"/>
    <cellStyle name="Финансовый 2 7 8" xfId="22927"/>
    <cellStyle name="Финансовый 2 7 9" xfId="22928"/>
    <cellStyle name="Финансовый 2 8" xfId="5314"/>
    <cellStyle name="Финансовый 2 8 10" xfId="22929"/>
    <cellStyle name="Финансовый 2 8 11" xfId="22930"/>
    <cellStyle name="Финансовый 2 8 12" xfId="22931"/>
    <cellStyle name="Финансовый 2 8 2" xfId="5315"/>
    <cellStyle name="Финансовый 2 8 2 10" xfId="22932"/>
    <cellStyle name="Финансовый 2 8 2 11" xfId="22933"/>
    <cellStyle name="Финансовый 2 8 2 12" xfId="22934"/>
    <cellStyle name="Финансовый 2 8 2 2" xfId="5316"/>
    <cellStyle name="Финансовый 2 8 2 2 2" xfId="22935"/>
    <cellStyle name="Финансовый 2 8 2 2 3" xfId="22936"/>
    <cellStyle name="Финансовый 2 8 2 2 4" xfId="22937"/>
    <cellStyle name="Финансовый 2 8 2 2 5" xfId="22938"/>
    <cellStyle name="Финансовый 2 8 2 2 6" xfId="22939"/>
    <cellStyle name="Финансовый 2 8 2 2 7" xfId="22940"/>
    <cellStyle name="Финансовый 2 8 2 2 8" xfId="22941"/>
    <cellStyle name="Финансовый 2 8 2 2 9" xfId="22942"/>
    <cellStyle name="Финансовый 2 8 2 3" xfId="5317"/>
    <cellStyle name="Финансовый 2 8 2 3 2" xfId="22943"/>
    <cellStyle name="Финансовый 2 8 2 3 3" xfId="22944"/>
    <cellStyle name="Финансовый 2 8 2 3 4" xfId="22945"/>
    <cellStyle name="Финансовый 2 8 2 3 5" xfId="22946"/>
    <cellStyle name="Финансовый 2 8 2 3 6" xfId="22947"/>
    <cellStyle name="Финансовый 2 8 2 3 7" xfId="22948"/>
    <cellStyle name="Финансовый 2 8 2 3 8" xfId="22949"/>
    <cellStyle name="Финансовый 2 8 2 3 9" xfId="22950"/>
    <cellStyle name="Финансовый 2 8 2 4" xfId="5318"/>
    <cellStyle name="Финансовый 2 8 2 4 2" xfId="22951"/>
    <cellStyle name="Финансовый 2 8 2 4 3" xfId="22952"/>
    <cellStyle name="Финансовый 2 8 2 4 4" xfId="22953"/>
    <cellStyle name="Финансовый 2 8 2 4 5" xfId="22954"/>
    <cellStyle name="Финансовый 2 8 2 4 6" xfId="22955"/>
    <cellStyle name="Финансовый 2 8 2 4 7" xfId="22956"/>
    <cellStyle name="Финансовый 2 8 2 4 8" xfId="22957"/>
    <cellStyle name="Финансовый 2 8 2 4 9" xfId="22958"/>
    <cellStyle name="Финансовый 2 8 2 5" xfId="22959"/>
    <cellStyle name="Финансовый 2 8 2 6" xfId="22960"/>
    <cellStyle name="Финансовый 2 8 2 7" xfId="22961"/>
    <cellStyle name="Финансовый 2 8 2 8" xfId="22962"/>
    <cellStyle name="Финансовый 2 8 2 9" xfId="22963"/>
    <cellStyle name="Финансовый 2 8 3" xfId="5319"/>
    <cellStyle name="Финансовый 2 8 3 10" xfId="22964"/>
    <cellStyle name="Финансовый 2 8 3 11" xfId="22965"/>
    <cellStyle name="Финансовый 2 8 3 2" xfId="5320"/>
    <cellStyle name="Финансовый 2 8 3 2 2" xfId="22966"/>
    <cellStyle name="Финансовый 2 8 3 2 3" xfId="22967"/>
    <cellStyle name="Финансовый 2 8 3 2 4" xfId="22968"/>
    <cellStyle name="Финансовый 2 8 3 2 5" xfId="22969"/>
    <cellStyle name="Финансовый 2 8 3 2 6" xfId="22970"/>
    <cellStyle name="Финансовый 2 8 3 2 7" xfId="22971"/>
    <cellStyle name="Финансовый 2 8 3 2 8" xfId="22972"/>
    <cellStyle name="Финансовый 2 8 3 2 9" xfId="22973"/>
    <cellStyle name="Финансовый 2 8 3 3" xfId="5321"/>
    <cellStyle name="Финансовый 2 8 3 3 2" xfId="22974"/>
    <cellStyle name="Финансовый 2 8 3 3 3" xfId="22975"/>
    <cellStyle name="Финансовый 2 8 3 3 4" xfId="22976"/>
    <cellStyle name="Финансовый 2 8 3 3 5" xfId="22977"/>
    <cellStyle name="Финансовый 2 8 3 3 6" xfId="22978"/>
    <cellStyle name="Финансовый 2 8 3 3 7" xfId="22979"/>
    <cellStyle name="Финансовый 2 8 3 3 8" xfId="22980"/>
    <cellStyle name="Финансовый 2 8 3 3 9" xfId="22981"/>
    <cellStyle name="Финансовый 2 8 3 4" xfId="22982"/>
    <cellStyle name="Финансовый 2 8 3 5" xfId="22983"/>
    <cellStyle name="Финансовый 2 8 3 6" xfId="22984"/>
    <cellStyle name="Финансовый 2 8 3 7" xfId="22985"/>
    <cellStyle name="Финансовый 2 8 3 8" xfId="22986"/>
    <cellStyle name="Финансовый 2 8 3 9" xfId="22987"/>
    <cellStyle name="Финансовый 2 8 4" xfId="5322"/>
    <cellStyle name="Финансовый 2 8 4 2" xfId="22988"/>
    <cellStyle name="Финансовый 2 8 4 3" xfId="22989"/>
    <cellStyle name="Финансовый 2 8 4 4" xfId="22990"/>
    <cellStyle name="Финансовый 2 8 4 5" xfId="22991"/>
    <cellStyle name="Финансовый 2 8 4 6" xfId="22992"/>
    <cellStyle name="Финансовый 2 8 4 7" xfId="22993"/>
    <cellStyle name="Финансовый 2 8 4 8" xfId="22994"/>
    <cellStyle name="Финансовый 2 8 4 9" xfId="22995"/>
    <cellStyle name="Финансовый 2 8 5" xfId="22996"/>
    <cellStyle name="Финансовый 2 8 6" xfId="22997"/>
    <cellStyle name="Финансовый 2 8 7" xfId="22998"/>
    <cellStyle name="Финансовый 2 8 8" xfId="22999"/>
    <cellStyle name="Финансовый 2 8 9" xfId="23000"/>
    <cellStyle name="Финансовый 2 9" xfId="5323"/>
    <cellStyle name="Финансовый 2 9 10" xfId="23001"/>
    <cellStyle name="Финансовый 2 9 11" xfId="23002"/>
    <cellStyle name="Финансовый 2 9 12" xfId="23003"/>
    <cellStyle name="Финансовый 2 9 2" xfId="5324"/>
    <cellStyle name="Финансовый 2 9 2 10" xfId="23004"/>
    <cellStyle name="Финансовый 2 9 2 11" xfId="23005"/>
    <cellStyle name="Финансовый 2 9 2 12" xfId="23006"/>
    <cellStyle name="Финансовый 2 9 2 2" xfId="5325"/>
    <cellStyle name="Финансовый 2 9 2 2 2" xfId="23007"/>
    <cellStyle name="Финансовый 2 9 2 2 3" xfId="23008"/>
    <cellStyle name="Финансовый 2 9 2 2 4" xfId="23009"/>
    <cellStyle name="Финансовый 2 9 2 2 5" xfId="23010"/>
    <cellStyle name="Финансовый 2 9 2 2 6" xfId="23011"/>
    <cellStyle name="Финансовый 2 9 2 2 7" xfId="23012"/>
    <cellStyle name="Финансовый 2 9 2 2 8" xfId="23013"/>
    <cellStyle name="Финансовый 2 9 2 2 9" xfId="23014"/>
    <cellStyle name="Финансовый 2 9 2 3" xfId="5326"/>
    <cellStyle name="Финансовый 2 9 2 3 2" xfId="23015"/>
    <cellStyle name="Финансовый 2 9 2 3 3" xfId="23016"/>
    <cellStyle name="Финансовый 2 9 2 3 4" xfId="23017"/>
    <cellStyle name="Финансовый 2 9 2 3 5" xfId="23018"/>
    <cellStyle name="Финансовый 2 9 2 3 6" xfId="23019"/>
    <cellStyle name="Финансовый 2 9 2 3 7" xfId="23020"/>
    <cellStyle name="Финансовый 2 9 2 3 8" xfId="23021"/>
    <cellStyle name="Финансовый 2 9 2 3 9" xfId="23022"/>
    <cellStyle name="Финансовый 2 9 2 4" xfId="5327"/>
    <cellStyle name="Финансовый 2 9 2 4 2" xfId="23023"/>
    <cellStyle name="Финансовый 2 9 2 4 3" xfId="23024"/>
    <cellStyle name="Финансовый 2 9 2 4 4" xfId="23025"/>
    <cellStyle name="Финансовый 2 9 2 4 5" xfId="23026"/>
    <cellStyle name="Финансовый 2 9 2 4 6" xfId="23027"/>
    <cellStyle name="Финансовый 2 9 2 4 7" xfId="23028"/>
    <cellStyle name="Финансовый 2 9 2 4 8" xfId="23029"/>
    <cellStyle name="Финансовый 2 9 2 4 9" xfId="23030"/>
    <cellStyle name="Финансовый 2 9 2 5" xfId="23031"/>
    <cellStyle name="Финансовый 2 9 2 6" xfId="23032"/>
    <cellStyle name="Финансовый 2 9 2 7" xfId="23033"/>
    <cellStyle name="Финансовый 2 9 2 8" xfId="23034"/>
    <cellStyle name="Финансовый 2 9 2 9" xfId="23035"/>
    <cellStyle name="Финансовый 2 9 3" xfId="5328"/>
    <cellStyle name="Финансовый 2 9 3 10" xfId="23036"/>
    <cellStyle name="Финансовый 2 9 3 11" xfId="23037"/>
    <cellStyle name="Финансовый 2 9 3 2" xfId="5329"/>
    <cellStyle name="Финансовый 2 9 3 2 2" xfId="23038"/>
    <cellStyle name="Финансовый 2 9 3 2 3" xfId="23039"/>
    <cellStyle name="Финансовый 2 9 3 2 4" xfId="23040"/>
    <cellStyle name="Финансовый 2 9 3 2 5" xfId="23041"/>
    <cellStyle name="Финансовый 2 9 3 2 6" xfId="23042"/>
    <cellStyle name="Финансовый 2 9 3 2 7" xfId="23043"/>
    <cellStyle name="Финансовый 2 9 3 2 8" xfId="23044"/>
    <cellStyle name="Финансовый 2 9 3 2 9" xfId="23045"/>
    <cellStyle name="Финансовый 2 9 3 3" xfId="5330"/>
    <cellStyle name="Финансовый 2 9 3 3 2" xfId="23046"/>
    <cellStyle name="Финансовый 2 9 3 3 3" xfId="23047"/>
    <cellStyle name="Финансовый 2 9 3 3 4" xfId="23048"/>
    <cellStyle name="Финансовый 2 9 3 3 5" xfId="23049"/>
    <cellStyle name="Финансовый 2 9 3 3 6" xfId="23050"/>
    <cellStyle name="Финансовый 2 9 3 3 7" xfId="23051"/>
    <cellStyle name="Финансовый 2 9 3 3 8" xfId="23052"/>
    <cellStyle name="Финансовый 2 9 3 3 9" xfId="23053"/>
    <cellStyle name="Финансовый 2 9 3 4" xfId="23054"/>
    <cellStyle name="Финансовый 2 9 3 5" xfId="23055"/>
    <cellStyle name="Финансовый 2 9 3 6" xfId="23056"/>
    <cellStyle name="Финансовый 2 9 3 7" xfId="23057"/>
    <cellStyle name="Финансовый 2 9 3 8" xfId="23058"/>
    <cellStyle name="Финансовый 2 9 3 9" xfId="23059"/>
    <cellStyle name="Финансовый 2 9 4" xfId="5331"/>
    <cellStyle name="Финансовый 2 9 4 2" xfId="23060"/>
    <cellStyle name="Финансовый 2 9 4 3" xfId="23061"/>
    <cellStyle name="Финансовый 2 9 4 4" xfId="23062"/>
    <cellStyle name="Финансовый 2 9 4 5" xfId="23063"/>
    <cellStyle name="Финансовый 2 9 4 6" xfId="23064"/>
    <cellStyle name="Финансовый 2 9 4 7" xfId="23065"/>
    <cellStyle name="Финансовый 2 9 4 8" xfId="23066"/>
    <cellStyle name="Финансовый 2 9 4 9" xfId="23067"/>
    <cellStyle name="Финансовый 2 9 5" xfId="23068"/>
    <cellStyle name="Финансовый 2 9 6" xfId="23069"/>
    <cellStyle name="Финансовый 2 9 7" xfId="23070"/>
    <cellStyle name="Финансовый 2 9 8" xfId="23071"/>
    <cellStyle name="Финансовый 2 9 9" xfId="23072"/>
    <cellStyle name="Финансовый 3" xfId="7"/>
    <cellStyle name="Финансовый 3 10" xfId="5332"/>
    <cellStyle name="Финансовый 3 10 2" xfId="5333"/>
    <cellStyle name="Финансовый 3 10 2 2" xfId="5334"/>
    <cellStyle name="Финансовый 3 10 2 3" xfId="5335"/>
    <cellStyle name="Финансовый 3 10 3" xfId="5336"/>
    <cellStyle name="Финансовый 3 10 4" xfId="5337"/>
    <cellStyle name="Финансовый 3 10 4 2" xfId="23073"/>
    <cellStyle name="Финансовый 3 10 4 3" xfId="23074"/>
    <cellStyle name="Финансовый 3 10 4 4" xfId="23075"/>
    <cellStyle name="Финансовый 3 10 4 5" xfId="23076"/>
    <cellStyle name="Финансовый 3 10 5" xfId="23077"/>
    <cellStyle name="Финансовый 3 10 6" xfId="23078"/>
    <cellStyle name="Финансовый 3 10 7" xfId="23079"/>
    <cellStyle name="Финансовый 3 10 8" xfId="23080"/>
    <cellStyle name="Финансовый 3 11" xfId="5338"/>
    <cellStyle name="Финансовый 3 11 10" xfId="23081"/>
    <cellStyle name="Финансовый 3 11 11" xfId="23082"/>
    <cellStyle name="Финансовый 3 11 12" xfId="23083"/>
    <cellStyle name="Финансовый 3 11 2" xfId="5339"/>
    <cellStyle name="Финансовый 3 11 2 2" xfId="23084"/>
    <cellStyle name="Финансовый 3 11 2 3" xfId="23085"/>
    <cellStyle name="Финансовый 3 11 2 4" xfId="23086"/>
    <cellStyle name="Финансовый 3 11 2 5" xfId="23087"/>
    <cellStyle name="Финансовый 3 11 2 6" xfId="23088"/>
    <cellStyle name="Финансовый 3 11 2 7" xfId="23089"/>
    <cellStyle name="Финансовый 3 11 2 8" xfId="23090"/>
    <cellStyle name="Финансовый 3 11 2 9" xfId="23091"/>
    <cellStyle name="Финансовый 3 11 3" xfId="5340"/>
    <cellStyle name="Финансовый 3 11 3 2" xfId="23092"/>
    <cellStyle name="Финансовый 3 11 3 3" xfId="23093"/>
    <cellStyle name="Финансовый 3 11 3 4" xfId="23094"/>
    <cellStyle name="Финансовый 3 11 3 5" xfId="23095"/>
    <cellStyle name="Финансовый 3 11 3 6" xfId="23096"/>
    <cellStyle name="Финансовый 3 11 3 7" xfId="23097"/>
    <cellStyle name="Финансовый 3 11 3 8" xfId="23098"/>
    <cellStyle name="Финансовый 3 11 3 9" xfId="23099"/>
    <cellStyle name="Финансовый 3 11 4" xfId="5341"/>
    <cellStyle name="Финансовый 3 11 4 2" xfId="23100"/>
    <cellStyle name="Финансовый 3 11 4 3" xfId="23101"/>
    <cellStyle name="Финансовый 3 11 4 4" xfId="23102"/>
    <cellStyle name="Финансовый 3 11 4 5" xfId="23103"/>
    <cellStyle name="Финансовый 3 11 4 6" xfId="23104"/>
    <cellStyle name="Финансовый 3 11 4 7" xfId="23105"/>
    <cellStyle name="Финансовый 3 11 4 8" xfId="23106"/>
    <cellStyle name="Финансовый 3 11 4 9" xfId="23107"/>
    <cellStyle name="Финансовый 3 11 5" xfId="23108"/>
    <cellStyle name="Финансовый 3 11 6" xfId="23109"/>
    <cellStyle name="Финансовый 3 11 7" xfId="23110"/>
    <cellStyle name="Финансовый 3 11 8" xfId="23111"/>
    <cellStyle name="Финансовый 3 11 9" xfId="23112"/>
    <cellStyle name="Финансовый 3 12" xfId="5342"/>
    <cellStyle name="Финансовый 3 12 10" xfId="23113"/>
    <cellStyle name="Финансовый 3 12 11" xfId="23114"/>
    <cellStyle name="Финансовый 3 12 2" xfId="5343"/>
    <cellStyle name="Финансовый 3 12 2 2" xfId="23115"/>
    <cellStyle name="Финансовый 3 12 2 3" xfId="23116"/>
    <cellStyle name="Финансовый 3 12 2 4" xfId="23117"/>
    <cellStyle name="Финансовый 3 12 2 5" xfId="23118"/>
    <cellStyle name="Финансовый 3 12 2 6" xfId="23119"/>
    <cellStyle name="Финансовый 3 12 2 7" xfId="23120"/>
    <cellStyle name="Финансовый 3 12 2 8" xfId="23121"/>
    <cellStyle name="Финансовый 3 12 2 9" xfId="23122"/>
    <cellStyle name="Финансовый 3 12 3" xfId="5344"/>
    <cellStyle name="Финансовый 3 12 3 2" xfId="23123"/>
    <cellStyle name="Финансовый 3 12 3 3" xfId="23124"/>
    <cellStyle name="Финансовый 3 12 3 4" xfId="23125"/>
    <cellStyle name="Финансовый 3 12 3 5" xfId="23126"/>
    <cellStyle name="Финансовый 3 12 3 6" xfId="23127"/>
    <cellStyle name="Финансовый 3 12 3 7" xfId="23128"/>
    <cellStyle name="Финансовый 3 12 3 8" xfId="23129"/>
    <cellStyle name="Финансовый 3 12 3 9" xfId="23130"/>
    <cellStyle name="Финансовый 3 12 4" xfId="23131"/>
    <cellStyle name="Финансовый 3 12 5" xfId="23132"/>
    <cellStyle name="Финансовый 3 12 6" xfId="23133"/>
    <cellStyle name="Финансовый 3 12 7" xfId="23134"/>
    <cellStyle name="Финансовый 3 12 8" xfId="23135"/>
    <cellStyle name="Финансовый 3 12 9" xfId="23136"/>
    <cellStyle name="Финансовый 3 13" xfId="5345"/>
    <cellStyle name="Финансовый 3 13 2" xfId="23137"/>
    <cellStyle name="Финансовый 3 13 3" xfId="23138"/>
    <cellStyle name="Финансовый 3 13 4" xfId="23139"/>
    <cellStyle name="Финансовый 3 13 5" xfId="23140"/>
    <cellStyle name="Финансовый 3 13 6" xfId="23141"/>
    <cellStyle name="Финансовый 3 13 7" xfId="23142"/>
    <cellStyle name="Финансовый 3 13 8" xfId="23143"/>
    <cellStyle name="Финансовый 3 13 9" xfId="23144"/>
    <cellStyle name="Финансовый 3 14" xfId="23145"/>
    <cellStyle name="Финансовый 3 15" xfId="23146"/>
    <cellStyle name="Финансовый 3 16" xfId="23147"/>
    <cellStyle name="Финансовый 3 17" xfId="23148"/>
    <cellStyle name="Финансовый 3 18" xfId="23149"/>
    <cellStyle name="Финансовый 3 19" xfId="23150"/>
    <cellStyle name="Финансовый 3 2" xfId="5346"/>
    <cellStyle name="Финансовый 3 2 2" xfId="5347"/>
    <cellStyle name="Финансовый 3 2 2 2" xfId="5348"/>
    <cellStyle name="Финансовый 3 2 2 3" xfId="5349"/>
    <cellStyle name="Финансовый 3 2 3" xfId="5350"/>
    <cellStyle name="Финансовый 3 2 4" xfId="5351"/>
    <cellStyle name="Финансовый 3 2 4 2" xfId="23151"/>
    <cellStyle name="Финансовый 3 2 4 3" xfId="23152"/>
    <cellStyle name="Финансовый 3 2 4 4" xfId="23153"/>
    <cellStyle name="Финансовый 3 2 4 5" xfId="23154"/>
    <cellStyle name="Финансовый 3 2 5" xfId="23155"/>
    <cellStyle name="Финансовый 3 2 6" xfId="23156"/>
    <cellStyle name="Финансовый 3 2 7" xfId="23157"/>
    <cellStyle name="Финансовый 3 2 8" xfId="23158"/>
    <cellStyle name="Финансовый 3 20" xfId="23159"/>
    <cellStyle name="Финансовый 3 21" xfId="23160"/>
    <cellStyle name="Финансовый 3 3" xfId="5352"/>
    <cellStyle name="Финансовый 3 3 2" xfId="5353"/>
    <cellStyle name="Финансовый 3 3 2 2" xfId="5354"/>
    <cellStyle name="Финансовый 3 3 2 3" xfId="5355"/>
    <cellStyle name="Финансовый 3 3 3" xfId="5356"/>
    <cellStyle name="Финансовый 3 3 4" xfId="5357"/>
    <cellStyle name="Финансовый 3 3 4 2" xfId="23161"/>
    <cellStyle name="Финансовый 3 3 4 3" xfId="23162"/>
    <cellStyle name="Финансовый 3 3 4 4" xfId="23163"/>
    <cellStyle name="Финансовый 3 3 4 5" xfId="23164"/>
    <cellStyle name="Финансовый 3 3 5" xfId="23165"/>
    <cellStyle name="Финансовый 3 3 6" xfId="23166"/>
    <cellStyle name="Финансовый 3 3 7" xfId="23167"/>
    <cellStyle name="Финансовый 3 3 8" xfId="23168"/>
    <cellStyle name="Финансовый 3 4" xfId="5358"/>
    <cellStyle name="Финансовый 3 4 2" xfId="5359"/>
    <cellStyle name="Финансовый 3 4 2 2" xfId="5360"/>
    <cellStyle name="Финансовый 3 4 2 3" xfId="5361"/>
    <cellStyle name="Финансовый 3 4 3" xfId="5362"/>
    <cellStyle name="Финансовый 3 4 4" xfId="5363"/>
    <cellStyle name="Финансовый 3 4 4 2" xfId="23169"/>
    <cellStyle name="Финансовый 3 4 4 3" xfId="23170"/>
    <cellStyle name="Финансовый 3 4 4 4" xfId="23171"/>
    <cellStyle name="Финансовый 3 4 4 5" xfId="23172"/>
    <cellStyle name="Финансовый 3 4 5" xfId="23173"/>
    <cellStyle name="Финансовый 3 4 6" xfId="23174"/>
    <cellStyle name="Финансовый 3 4 7" xfId="23175"/>
    <cellStyle name="Финансовый 3 4 8" xfId="23176"/>
    <cellStyle name="Финансовый 3 5" xfId="5364"/>
    <cellStyle name="Финансовый 3 5 2" xfId="5365"/>
    <cellStyle name="Финансовый 3 5 2 2" xfId="5366"/>
    <cellStyle name="Финансовый 3 5 2 3" xfId="5367"/>
    <cellStyle name="Финансовый 3 5 3" xfId="5368"/>
    <cellStyle name="Финансовый 3 5 4" xfId="5369"/>
    <cellStyle name="Финансовый 3 5 4 2" xfId="23177"/>
    <cellStyle name="Финансовый 3 5 4 3" xfId="23178"/>
    <cellStyle name="Финансовый 3 5 4 4" xfId="23179"/>
    <cellStyle name="Финансовый 3 5 4 5" xfId="23180"/>
    <cellStyle name="Финансовый 3 5 5" xfId="23181"/>
    <cellStyle name="Финансовый 3 5 6" xfId="23182"/>
    <cellStyle name="Финансовый 3 5 7" xfId="23183"/>
    <cellStyle name="Финансовый 3 5 8" xfId="23184"/>
    <cellStyle name="Финансовый 3 6" xfId="5370"/>
    <cellStyle name="Финансовый 3 6 2" xfId="5371"/>
    <cellStyle name="Финансовый 3 6 2 2" xfId="5372"/>
    <cellStyle name="Финансовый 3 6 2 3" xfId="5373"/>
    <cellStyle name="Финансовый 3 6 3" xfId="5374"/>
    <cellStyle name="Финансовый 3 6 4" xfId="5375"/>
    <cellStyle name="Финансовый 3 6 4 2" xfId="23185"/>
    <cellStyle name="Финансовый 3 6 4 3" xfId="23186"/>
    <cellStyle name="Финансовый 3 6 4 4" xfId="23187"/>
    <cellStyle name="Финансовый 3 6 4 5" xfId="23188"/>
    <cellStyle name="Финансовый 3 6 5" xfId="23189"/>
    <cellStyle name="Финансовый 3 6 6" xfId="23190"/>
    <cellStyle name="Финансовый 3 6 7" xfId="23191"/>
    <cellStyle name="Финансовый 3 6 8" xfId="23192"/>
    <cellStyle name="Финансовый 3 7" xfId="5376"/>
    <cellStyle name="Финансовый 3 7 2" xfId="5377"/>
    <cellStyle name="Финансовый 3 7 2 2" xfId="5378"/>
    <cellStyle name="Финансовый 3 7 2 3" xfId="5379"/>
    <cellStyle name="Финансовый 3 7 3" xfId="5380"/>
    <cellStyle name="Финансовый 3 7 4" xfId="5381"/>
    <cellStyle name="Финансовый 3 7 4 2" xfId="23193"/>
    <cellStyle name="Финансовый 3 7 4 3" xfId="23194"/>
    <cellStyle name="Финансовый 3 7 4 4" xfId="23195"/>
    <cellStyle name="Финансовый 3 7 4 5" xfId="23196"/>
    <cellStyle name="Финансовый 3 7 5" xfId="23197"/>
    <cellStyle name="Финансовый 3 7 6" xfId="23198"/>
    <cellStyle name="Финансовый 3 7 7" xfId="23199"/>
    <cellStyle name="Финансовый 3 7 8" xfId="23200"/>
    <cellStyle name="Финансовый 3 8" xfId="5382"/>
    <cellStyle name="Финансовый 3 8 2" xfId="5383"/>
    <cellStyle name="Финансовый 3 8 2 2" xfId="5384"/>
    <cellStyle name="Финансовый 3 8 2 3" xfId="5385"/>
    <cellStyle name="Финансовый 3 8 3" xfId="5386"/>
    <cellStyle name="Финансовый 3 8 4" xfId="5387"/>
    <cellStyle name="Финансовый 3 8 4 2" xfId="23201"/>
    <cellStyle name="Финансовый 3 8 4 3" xfId="23202"/>
    <cellStyle name="Финансовый 3 8 4 4" xfId="23203"/>
    <cellStyle name="Финансовый 3 8 4 5" xfId="23204"/>
    <cellStyle name="Финансовый 3 8 5" xfId="23205"/>
    <cellStyle name="Финансовый 3 8 6" xfId="23206"/>
    <cellStyle name="Финансовый 3 8 7" xfId="23207"/>
    <cellStyle name="Финансовый 3 8 8" xfId="23208"/>
    <cellStyle name="Финансовый 3 9" xfId="5388"/>
    <cellStyle name="Финансовый 3 9 2" xfId="5389"/>
    <cellStyle name="Финансовый 3 9 2 2" xfId="5390"/>
    <cellStyle name="Финансовый 3 9 2 3" xfId="5391"/>
    <cellStyle name="Финансовый 3 9 3" xfId="5392"/>
    <cellStyle name="Финансовый 3 9 4" xfId="5393"/>
    <cellStyle name="Финансовый 3 9 4 2" xfId="23209"/>
    <cellStyle name="Финансовый 3 9 4 3" xfId="23210"/>
    <cellStyle name="Финансовый 3 9 4 4" xfId="23211"/>
    <cellStyle name="Финансовый 3 9 4 5" xfId="23212"/>
    <cellStyle name="Финансовый 3 9 5" xfId="23213"/>
    <cellStyle name="Финансовый 3 9 6" xfId="23214"/>
    <cellStyle name="Финансовый 3 9 7" xfId="23215"/>
    <cellStyle name="Финансовый 3 9 8" xfId="23216"/>
    <cellStyle name="Финансовый 4" xfId="9"/>
    <cellStyle name="Финансовый 4 2" xfId="5394"/>
    <cellStyle name="Финансовый 4 2 2" xfId="5395"/>
    <cellStyle name="Финансовый 4 2 2 2" xfId="5396"/>
    <cellStyle name="Финансовый 4 2 2 3" xfId="5397"/>
    <cellStyle name="Финансовый 4 2 3" xfId="5398"/>
    <cellStyle name="Финансовый 4 2 4" xfId="5399"/>
    <cellStyle name="Финансовый 4 3" xfId="5400"/>
    <cellStyle name="Финансовый 4 4" xfId="5401"/>
    <cellStyle name="Финансовый 4 5" xfId="5402"/>
    <cellStyle name="Финансовый 4 6" xfId="5403"/>
    <cellStyle name="Финансовый 5" xfId="5404"/>
    <cellStyle name="Финансовый 5 10" xfId="23217"/>
    <cellStyle name="Финансовый 5 11" xfId="23218"/>
    <cellStyle name="Финансовый 5 12" xfId="23219"/>
    <cellStyle name="Финансовый 5 2" xfId="5405"/>
    <cellStyle name="Финансовый 5 2 10" xfId="23220"/>
    <cellStyle name="Финансовый 5 2 11" xfId="23221"/>
    <cellStyle name="Финансовый 5 2 12" xfId="23222"/>
    <cellStyle name="Финансовый 5 2 2" xfId="5406"/>
    <cellStyle name="Финансовый 5 2 2 2" xfId="23223"/>
    <cellStyle name="Финансовый 5 2 2 3" xfId="23224"/>
    <cellStyle name="Финансовый 5 2 2 4" xfId="23225"/>
    <cellStyle name="Финансовый 5 2 2 5" xfId="23226"/>
    <cellStyle name="Финансовый 5 2 2 6" xfId="23227"/>
    <cellStyle name="Финансовый 5 2 2 7" xfId="23228"/>
    <cellStyle name="Финансовый 5 2 2 8" xfId="23229"/>
    <cellStyle name="Финансовый 5 2 2 9" xfId="23230"/>
    <cellStyle name="Финансовый 5 2 3" xfId="5407"/>
    <cellStyle name="Финансовый 5 2 3 2" xfId="23231"/>
    <cellStyle name="Финансовый 5 2 3 3" xfId="23232"/>
    <cellStyle name="Финансовый 5 2 3 4" xfId="23233"/>
    <cellStyle name="Финансовый 5 2 3 5" xfId="23234"/>
    <cellStyle name="Финансовый 5 2 3 6" xfId="23235"/>
    <cellStyle name="Финансовый 5 2 3 7" xfId="23236"/>
    <cellStyle name="Финансовый 5 2 3 8" xfId="23237"/>
    <cellStyle name="Финансовый 5 2 3 9" xfId="23238"/>
    <cellStyle name="Финансовый 5 2 4" xfId="5408"/>
    <cellStyle name="Финансовый 5 2 4 2" xfId="23239"/>
    <cellStyle name="Финансовый 5 2 4 3" xfId="23240"/>
    <cellStyle name="Финансовый 5 2 4 4" xfId="23241"/>
    <cellStyle name="Финансовый 5 2 4 5" xfId="23242"/>
    <cellStyle name="Финансовый 5 2 4 6" xfId="23243"/>
    <cellStyle name="Финансовый 5 2 4 7" xfId="23244"/>
    <cellStyle name="Финансовый 5 2 4 8" xfId="23245"/>
    <cellStyle name="Финансовый 5 2 4 9" xfId="23246"/>
    <cellStyle name="Финансовый 5 2 5" xfId="23247"/>
    <cellStyle name="Финансовый 5 2 6" xfId="23248"/>
    <cellStyle name="Финансовый 5 2 7" xfId="23249"/>
    <cellStyle name="Финансовый 5 2 8" xfId="23250"/>
    <cellStyle name="Финансовый 5 2 9" xfId="23251"/>
    <cellStyle name="Финансовый 5 3" xfId="5409"/>
    <cellStyle name="Финансовый 5 3 10" xfId="23252"/>
    <cellStyle name="Финансовый 5 3 11" xfId="23253"/>
    <cellStyle name="Финансовый 5 3 2" xfId="5410"/>
    <cellStyle name="Финансовый 5 3 2 2" xfId="23254"/>
    <cellStyle name="Финансовый 5 3 2 3" xfId="23255"/>
    <cellStyle name="Финансовый 5 3 2 4" xfId="23256"/>
    <cellStyle name="Финансовый 5 3 2 5" xfId="23257"/>
    <cellStyle name="Финансовый 5 3 2 6" xfId="23258"/>
    <cellStyle name="Финансовый 5 3 2 7" xfId="23259"/>
    <cellStyle name="Финансовый 5 3 2 8" xfId="23260"/>
    <cellStyle name="Финансовый 5 3 2 9" xfId="23261"/>
    <cellStyle name="Финансовый 5 3 3" xfId="5411"/>
    <cellStyle name="Финансовый 5 3 3 2" xfId="23262"/>
    <cellStyle name="Финансовый 5 3 3 3" xfId="23263"/>
    <cellStyle name="Финансовый 5 3 3 4" xfId="23264"/>
    <cellStyle name="Финансовый 5 3 3 5" xfId="23265"/>
    <cellStyle name="Финансовый 5 3 3 6" xfId="23266"/>
    <cellStyle name="Финансовый 5 3 3 7" xfId="23267"/>
    <cellStyle name="Финансовый 5 3 3 8" xfId="23268"/>
    <cellStyle name="Финансовый 5 3 3 9" xfId="23269"/>
    <cellStyle name="Финансовый 5 3 4" xfId="23270"/>
    <cellStyle name="Финансовый 5 3 5" xfId="23271"/>
    <cellStyle name="Финансовый 5 3 6" xfId="23272"/>
    <cellStyle name="Финансовый 5 3 7" xfId="23273"/>
    <cellStyle name="Финансовый 5 3 8" xfId="23274"/>
    <cellStyle name="Финансовый 5 3 9" xfId="23275"/>
    <cellStyle name="Финансовый 5 4" xfId="5412"/>
    <cellStyle name="Финансовый 5 4 2" xfId="23276"/>
    <cellStyle name="Финансовый 5 4 3" xfId="23277"/>
    <cellStyle name="Финансовый 5 4 4" xfId="23278"/>
    <cellStyle name="Финансовый 5 4 5" xfId="23279"/>
    <cellStyle name="Финансовый 5 4 6" xfId="23280"/>
    <cellStyle name="Финансовый 5 4 7" xfId="23281"/>
    <cellStyle name="Финансовый 5 4 8" xfId="23282"/>
    <cellStyle name="Финансовый 5 4 9" xfId="23283"/>
    <cellStyle name="Финансовый 5 5" xfId="23284"/>
    <cellStyle name="Финансовый 5 6" xfId="23285"/>
    <cellStyle name="Финансовый 5 7" xfId="23286"/>
    <cellStyle name="Финансовый 5 8" xfId="23287"/>
    <cellStyle name="Финансовый 5 9" xfId="23288"/>
    <cellStyle name="Финансовый 6" xfId="5413"/>
    <cellStyle name="Финансовый 6 10" xfId="23289"/>
    <cellStyle name="Финансовый 6 11" xfId="23290"/>
    <cellStyle name="Финансовый 6 12" xfId="23291"/>
    <cellStyle name="Финансовый 6 2" xfId="5414"/>
    <cellStyle name="Финансовый 6 2 10" xfId="23292"/>
    <cellStyle name="Финансовый 6 2 11" xfId="23293"/>
    <cellStyle name="Финансовый 6 2 12" xfId="23294"/>
    <cellStyle name="Финансовый 6 2 2" xfId="5415"/>
    <cellStyle name="Финансовый 6 2 2 2" xfId="23295"/>
    <cellStyle name="Финансовый 6 2 2 3" xfId="23296"/>
    <cellStyle name="Финансовый 6 2 2 4" xfId="23297"/>
    <cellStyle name="Финансовый 6 2 2 5" xfId="23298"/>
    <cellStyle name="Финансовый 6 2 2 6" xfId="23299"/>
    <cellStyle name="Финансовый 6 2 2 7" xfId="23300"/>
    <cellStyle name="Финансовый 6 2 2 8" xfId="23301"/>
    <cellStyle name="Финансовый 6 2 2 9" xfId="23302"/>
    <cellStyle name="Финансовый 6 2 3" xfId="5416"/>
    <cellStyle name="Финансовый 6 2 3 2" xfId="23303"/>
    <cellStyle name="Финансовый 6 2 3 3" xfId="23304"/>
    <cellStyle name="Финансовый 6 2 3 4" xfId="23305"/>
    <cellStyle name="Финансовый 6 2 3 5" xfId="23306"/>
    <cellStyle name="Финансовый 6 2 3 6" xfId="23307"/>
    <cellStyle name="Финансовый 6 2 3 7" xfId="23308"/>
    <cellStyle name="Финансовый 6 2 3 8" xfId="23309"/>
    <cellStyle name="Финансовый 6 2 3 9" xfId="23310"/>
    <cellStyle name="Финансовый 6 2 4" xfId="5417"/>
    <cellStyle name="Финансовый 6 2 4 2" xfId="23311"/>
    <cellStyle name="Финансовый 6 2 4 3" xfId="23312"/>
    <cellStyle name="Финансовый 6 2 4 4" xfId="23313"/>
    <cellStyle name="Финансовый 6 2 4 5" xfId="23314"/>
    <cellStyle name="Финансовый 6 2 4 6" xfId="23315"/>
    <cellStyle name="Финансовый 6 2 4 7" xfId="23316"/>
    <cellStyle name="Финансовый 6 2 4 8" xfId="23317"/>
    <cellStyle name="Финансовый 6 2 4 9" xfId="23318"/>
    <cellStyle name="Финансовый 6 2 5" xfId="23319"/>
    <cellStyle name="Финансовый 6 2 6" xfId="23320"/>
    <cellStyle name="Финансовый 6 2 7" xfId="23321"/>
    <cellStyle name="Финансовый 6 2 8" xfId="23322"/>
    <cellStyle name="Финансовый 6 2 9" xfId="23323"/>
    <cellStyle name="Финансовый 6 3" xfId="5418"/>
    <cellStyle name="Финансовый 6 3 10" xfId="23324"/>
    <cellStyle name="Финансовый 6 3 11" xfId="23325"/>
    <cellStyle name="Финансовый 6 3 2" xfId="5419"/>
    <cellStyle name="Финансовый 6 3 2 2" xfId="23326"/>
    <cellStyle name="Финансовый 6 3 2 3" xfId="23327"/>
    <cellStyle name="Финансовый 6 3 2 4" xfId="23328"/>
    <cellStyle name="Финансовый 6 3 2 5" xfId="23329"/>
    <cellStyle name="Финансовый 6 3 2 6" xfId="23330"/>
    <cellStyle name="Финансовый 6 3 2 7" xfId="23331"/>
    <cellStyle name="Финансовый 6 3 2 8" xfId="23332"/>
    <cellStyle name="Финансовый 6 3 2 9" xfId="23333"/>
    <cellStyle name="Финансовый 6 3 3" xfId="5420"/>
    <cellStyle name="Финансовый 6 3 3 2" xfId="23334"/>
    <cellStyle name="Финансовый 6 3 3 3" xfId="23335"/>
    <cellStyle name="Финансовый 6 3 3 4" xfId="23336"/>
    <cellStyle name="Финансовый 6 3 3 5" xfId="23337"/>
    <cellStyle name="Финансовый 6 3 3 6" xfId="23338"/>
    <cellStyle name="Финансовый 6 3 3 7" xfId="23339"/>
    <cellStyle name="Финансовый 6 3 3 8" xfId="23340"/>
    <cellStyle name="Финансовый 6 3 3 9" xfId="23341"/>
    <cellStyle name="Финансовый 6 3 4" xfId="23342"/>
    <cellStyle name="Финансовый 6 3 5" xfId="23343"/>
    <cellStyle name="Финансовый 6 3 6" xfId="23344"/>
    <cellStyle name="Финансовый 6 3 7" xfId="23345"/>
    <cellStyle name="Финансовый 6 3 8" xfId="23346"/>
    <cellStyle name="Финансовый 6 3 9" xfId="23347"/>
    <cellStyle name="Финансовый 6 4" xfId="5421"/>
    <cellStyle name="Финансовый 6 4 2" xfId="23348"/>
    <cellStyle name="Финансовый 6 4 3" xfId="23349"/>
    <cellStyle name="Финансовый 6 4 4" xfId="23350"/>
    <cellStyle name="Финансовый 6 4 5" xfId="23351"/>
    <cellStyle name="Финансовый 6 4 6" xfId="23352"/>
    <cellStyle name="Финансовый 6 4 7" xfId="23353"/>
    <cellStyle name="Финансовый 6 4 8" xfId="23354"/>
    <cellStyle name="Финансовый 6 4 9" xfId="23355"/>
    <cellStyle name="Финансовый 6 5" xfId="23356"/>
    <cellStyle name="Финансовый 6 6" xfId="23357"/>
    <cellStyle name="Финансовый 6 7" xfId="23358"/>
    <cellStyle name="Финансовый 6 8" xfId="23359"/>
    <cellStyle name="Финансовый 6 9" xfId="23360"/>
    <cellStyle name="Финансовый 7" xfId="5422"/>
    <cellStyle name="Финансовый 7 10" xfId="23361"/>
    <cellStyle name="Финансовый 7 11" xfId="23362"/>
    <cellStyle name="Финансовый 7 12" xfId="23363"/>
    <cellStyle name="Финансовый 7 2" xfId="5423"/>
    <cellStyle name="Финансовый 7 2 10" xfId="23364"/>
    <cellStyle name="Финансовый 7 2 11" xfId="23365"/>
    <cellStyle name="Финансовый 7 2 12" xfId="23366"/>
    <cellStyle name="Финансовый 7 2 2" xfId="5424"/>
    <cellStyle name="Финансовый 7 2 2 2" xfId="23367"/>
    <cellStyle name="Финансовый 7 2 2 3" xfId="23368"/>
    <cellStyle name="Финансовый 7 2 2 4" xfId="23369"/>
    <cellStyle name="Финансовый 7 2 2 5" xfId="23370"/>
    <cellStyle name="Финансовый 7 2 2 6" xfId="23371"/>
    <cellStyle name="Финансовый 7 2 2 7" xfId="23372"/>
    <cellStyle name="Финансовый 7 2 2 8" xfId="23373"/>
    <cellStyle name="Финансовый 7 2 2 9" xfId="23374"/>
    <cellStyle name="Финансовый 7 2 3" xfId="5425"/>
    <cellStyle name="Финансовый 7 2 3 2" xfId="23375"/>
    <cellStyle name="Финансовый 7 2 3 3" xfId="23376"/>
    <cellStyle name="Финансовый 7 2 3 4" xfId="23377"/>
    <cellStyle name="Финансовый 7 2 3 5" xfId="23378"/>
    <cellStyle name="Финансовый 7 2 3 6" xfId="23379"/>
    <cellStyle name="Финансовый 7 2 3 7" xfId="23380"/>
    <cellStyle name="Финансовый 7 2 3 8" xfId="23381"/>
    <cellStyle name="Финансовый 7 2 3 9" xfId="23382"/>
    <cellStyle name="Финансовый 7 2 4" xfId="5426"/>
    <cellStyle name="Финансовый 7 2 4 2" xfId="23383"/>
    <cellStyle name="Финансовый 7 2 4 3" xfId="23384"/>
    <cellStyle name="Финансовый 7 2 4 4" xfId="23385"/>
    <cellStyle name="Финансовый 7 2 4 5" xfId="23386"/>
    <cellStyle name="Финансовый 7 2 4 6" xfId="23387"/>
    <cellStyle name="Финансовый 7 2 4 7" xfId="23388"/>
    <cellStyle name="Финансовый 7 2 4 8" xfId="23389"/>
    <cellStyle name="Финансовый 7 2 4 9" xfId="23390"/>
    <cellStyle name="Финансовый 7 2 5" xfId="23391"/>
    <cellStyle name="Финансовый 7 2 6" xfId="23392"/>
    <cellStyle name="Финансовый 7 2 7" xfId="23393"/>
    <cellStyle name="Финансовый 7 2 8" xfId="23394"/>
    <cellStyle name="Финансовый 7 2 9" xfId="23395"/>
    <cellStyle name="Финансовый 7 3" xfId="5427"/>
    <cellStyle name="Финансовый 7 3 10" xfId="23396"/>
    <cellStyle name="Финансовый 7 3 11" xfId="23397"/>
    <cellStyle name="Финансовый 7 3 2" xfId="5428"/>
    <cellStyle name="Финансовый 7 3 2 2" xfId="23398"/>
    <cellStyle name="Финансовый 7 3 2 3" xfId="23399"/>
    <cellStyle name="Финансовый 7 3 2 4" xfId="23400"/>
    <cellStyle name="Финансовый 7 3 2 5" xfId="23401"/>
    <cellStyle name="Финансовый 7 3 2 6" xfId="23402"/>
    <cellStyle name="Финансовый 7 3 2 7" xfId="23403"/>
    <cellStyle name="Финансовый 7 3 2 8" xfId="23404"/>
    <cellStyle name="Финансовый 7 3 2 9" xfId="23405"/>
    <cellStyle name="Финансовый 7 3 3" xfId="5429"/>
    <cellStyle name="Финансовый 7 3 3 2" xfId="23406"/>
    <cellStyle name="Финансовый 7 3 3 3" xfId="23407"/>
    <cellStyle name="Финансовый 7 3 3 4" xfId="23408"/>
    <cellStyle name="Финансовый 7 3 3 5" xfId="23409"/>
    <cellStyle name="Финансовый 7 3 3 6" xfId="23410"/>
    <cellStyle name="Финансовый 7 3 3 7" xfId="23411"/>
    <cellStyle name="Финансовый 7 3 3 8" xfId="23412"/>
    <cellStyle name="Финансовый 7 3 3 9" xfId="23413"/>
    <cellStyle name="Финансовый 7 3 4" xfId="23414"/>
    <cellStyle name="Финансовый 7 3 5" xfId="23415"/>
    <cellStyle name="Финансовый 7 3 6" xfId="23416"/>
    <cellStyle name="Финансовый 7 3 7" xfId="23417"/>
    <cellStyle name="Финансовый 7 3 8" xfId="23418"/>
    <cellStyle name="Финансовый 7 3 9" xfId="23419"/>
    <cellStyle name="Финансовый 7 4" xfId="5430"/>
    <cellStyle name="Финансовый 7 4 2" xfId="23420"/>
    <cellStyle name="Финансовый 7 4 3" xfId="23421"/>
    <cellStyle name="Финансовый 7 4 4" xfId="23422"/>
    <cellStyle name="Финансовый 7 4 5" xfId="23423"/>
    <cellStyle name="Финансовый 7 4 6" xfId="23424"/>
    <cellStyle name="Финансовый 7 4 7" xfId="23425"/>
    <cellStyle name="Финансовый 7 4 8" xfId="23426"/>
    <cellStyle name="Финансовый 7 4 9" xfId="23427"/>
    <cellStyle name="Финансовый 7 5" xfId="23428"/>
    <cellStyle name="Финансовый 7 6" xfId="23429"/>
    <cellStyle name="Финансовый 7 7" xfId="23430"/>
    <cellStyle name="Финансовый 7 8" xfId="23431"/>
    <cellStyle name="Финансовый 7 9" xfId="23432"/>
    <cellStyle name="Финансовый 8" xfId="5431"/>
    <cellStyle name="Финансовый 8 10" xfId="23433"/>
    <cellStyle name="Финансовый 8 11" xfId="23434"/>
    <cellStyle name="Финансовый 8 12" xfId="23435"/>
    <cellStyle name="Финансовый 8 2" xfId="5432"/>
    <cellStyle name="Финансовый 8 2 10" xfId="23436"/>
    <cellStyle name="Финансовый 8 2 11" xfId="23437"/>
    <cellStyle name="Финансовый 8 2 12" xfId="23438"/>
    <cellStyle name="Финансовый 8 2 2" xfId="5433"/>
    <cellStyle name="Финансовый 8 2 2 2" xfId="23439"/>
    <cellStyle name="Финансовый 8 2 2 3" xfId="23440"/>
    <cellStyle name="Финансовый 8 2 2 4" xfId="23441"/>
    <cellStyle name="Финансовый 8 2 2 5" xfId="23442"/>
    <cellStyle name="Финансовый 8 2 2 6" xfId="23443"/>
    <cellStyle name="Финансовый 8 2 2 7" xfId="23444"/>
    <cellStyle name="Финансовый 8 2 2 8" xfId="23445"/>
    <cellStyle name="Финансовый 8 2 2 9" xfId="23446"/>
    <cellStyle name="Финансовый 8 2 3" xfId="5434"/>
    <cellStyle name="Финансовый 8 2 3 2" xfId="23447"/>
    <cellStyle name="Финансовый 8 2 3 3" xfId="23448"/>
    <cellStyle name="Финансовый 8 2 3 4" xfId="23449"/>
    <cellStyle name="Финансовый 8 2 3 5" xfId="23450"/>
    <cellStyle name="Финансовый 8 2 3 6" xfId="23451"/>
    <cellStyle name="Финансовый 8 2 3 7" xfId="23452"/>
    <cellStyle name="Финансовый 8 2 3 8" xfId="23453"/>
    <cellStyle name="Финансовый 8 2 3 9" xfId="23454"/>
    <cellStyle name="Финансовый 8 2 4" xfId="5435"/>
    <cellStyle name="Финансовый 8 2 4 2" xfId="23455"/>
    <cellStyle name="Финансовый 8 2 4 3" xfId="23456"/>
    <cellStyle name="Финансовый 8 2 4 4" xfId="23457"/>
    <cellStyle name="Финансовый 8 2 4 5" xfId="23458"/>
    <cellStyle name="Финансовый 8 2 4 6" xfId="23459"/>
    <cellStyle name="Финансовый 8 2 4 7" xfId="23460"/>
    <cellStyle name="Финансовый 8 2 4 8" xfId="23461"/>
    <cellStyle name="Финансовый 8 2 4 9" xfId="23462"/>
    <cellStyle name="Финансовый 8 2 5" xfId="23463"/>
    <cellStyle name="Финансовый 8 2 6" xfId="23464"/>
    <cellStyle name="Финансовый 8 2 7" xfId="23465"/>
    <cellStyle name="Финансовый 8 2 8" xfId="23466"/>
    <cellStyle name="Финансовый 8 2 9" xfId="23467"/>
    <cellStyle name="Финансовый 8 3" xfId="5436"/>
    <cellStyle name="Финансовый 8 3 10" xfId="23468"/>
    <cellStyle name="Финансовый 8 3 11" xfId="23469"/>
    <cellStyle name="Финансовый 8 3 2" xfId="5437"/>
    <cellStyle name="Финансовый 8 3 2 2" xfId="23470"/>
    <cellStyle name="Финансовый 8 3 2 3" xfId="23471"/>
    <cellStyle name="Финансовый 8 3 2 4" xfId="23472"/>
    <cellStyle name="Финансовый 8 3 2 5" xfId="23473"/>
    <cellStyle name="Финансовый 8 3 2 6" xfId="23474"/>
    <cellStyle name="Финансовый 8 3 2 7" xfId="23475"/>
    <cellStyle name="Финансовый 8 3 2 8" xfId="23476"/>
    <cellStyle name="Финансовый 8 3 2 9" xfId="23477"/>
    <cellStyle name="Финансовый 8 3 3" xfId="5438"/>
    <cellStyle name="Финансовый 8 3 3 2" xfId="23478"/>
    <cellStyle name="Финансовый 8 3 3 3" xfId="23479"/>
    <cellStyle name="Финансовый 8 3 3 4" xfId="23480"/>
    <cellStyle name="Финансовый 8 3 3 5" xfId="23481"/>
    <cellStyle name="Финансовый 8 3 3 6" xfId="23482"/>
    <cellStyle name="Финансовый 8 3 3 7" xfId="23483"/>
    <cellStyle name="Финансовый 8 3 3 8" xfId="23484"/>
    <cellStyle name="Финансовый 8 3 3 9" xfId="23485"/>
    <cellStyle name="Финансовый 8 3 4" xfId="23486"/>
    <cellStyle name="Финансовый 8 3 5" xfId="23487"/>
    <cellStyle name="Финансовый 8 3 6" xfId="23488"/>
    <cellStyle name="Финансовый 8 3 7" xfId="23489"/>
    <cellStyle name="Финансовый 8 3 8" xfId="23490"/>
    <cellStyle name="Финансовый 8 3 9" xfId="23491"/>
    <cellStyle name="Финансовый 8 4" xfId="5439"/>
    <cellStyle name="Финансовый 8 4 2" xfId="23492"/>
    <cellStyle name="Финансовый 8 4 3" xfId="23493"/>
    <cellStyle name="Финансовый 8 4 4" xfId="23494"/>
    <cellStyle name="Финансовый 8 4 5" xfId="23495"/>
    <cellStyle name="Финансовый 8 4 6" xfId="23496"/>
    <cellStyle name="Финансовый 8 4 7" xfId="23497"/>
    <cellStyle name="Финансовый 8 4 8" xfId="23498"/>
    <cellStyle name="Финансовый 8 4 9" xfId="23499"/>
    <cellStyle name="Финансовый 8 5" xfId="23500"/>
    <cellStyle name="Финансовый 8 6" xfId="23501"/>
    <cellStyle name="Финансовый 8 7" xfId="23502"/>
    <cellStyle name="Финансовый 8 8" xfId="23503"/>
    <cellStyle name="Финансовый 8 9" xfId="23504"/>
    <cellStyle name="Финансовый 9" xfId="5440"/>
    <cellStyle name="Финансовый 9 10" xfId="23505"/>
    <cellStyle name="Финансовый 9 11" xfId="23506"/>
    <cellStyle name="Финансовый 9 12" xfId="23507"/>
    <cellStyle name="Финансовый 9 2" xfId="5441"/>
    <cellStyle name="Финансовый 9 2 10" xfId="23508"/>
    <cellStyle name="Финансовый 9 2 11" xfId="23509"/>
    <cellStyle name="Финансовый 9 2 12" xfId="23510"/>
    <cellStyle name="Финансовый 9 2 2" xfId="5442"/>
    <cellStyle name="Финансовый 9 2 2 2" xfId="23511"/>
    <cellStyle name="Финансовый 9 2 2 3" xfId="23512"/>
    <cellStyle name="Финансовый 9 2 2 4" xfId="23513"/>
    <cellStyle name="Финансовый 9 2 2 5" xfId="23514"/>
    <cellStyle name="Финансовый 9 2 2 6" xfId="23515"/>
    <cellStyle name="Финансовый 9 2 2 7" xfId="23516"/>
    <cellStyle name="Финансовый 9 2 2 8" xfId="23517"/>
    <cellStyle name="Финансовый 9 2 2 9" xfId="23518"/>
    <cellStyle name="Финансовый 9 2 3" xfId="5443"/>
    <cellStyle name="Финансовый 9 2 3 2" xfId="23519"/>
    <cellStyle name="Финансовый 9 2 3 3" xfId="23520"/>
    <cellStyle name="Финансовый 9 2 3 4" xfId="23521"/>
    <cellStyle name="Финансовый 9 2 3 5" xfId="23522"/>
    <cellStyle name="Финансовый 9 2 3 6" xfId="23523"/>
    <cellStyle name="Финансовый 9 2 3 7" xfId="23524"/>
    <cellStyle name="Финансовый 9 2 3 8" xfId="23525"/>
    <cellStyle name="Финансовый 9 2 3 9" xfId="23526"/>
    <cellStyle name="Финансовый 9 2 4" xfId="5444"/>
    <cellStyle name="Финансовый 9 2 4 2" xfId="23527"/>
    <cellStyle name="Финансовый 9 2 4 3" xfId="23528"/>
    <cellStyle name="Финансовый 9 2 4 4" xfId="23529"/>
    <cellStyle name="Финансовый 9 2 4 5" xfId="23530"/>
    <cellStyle name="Финансовый 9 2 4 6" xfId="23531"/>
    <cellStyle name="Финансовый 9 2 4 7" xfId="23532"/>
    <cellStyle name="Финансовый 9 2 4 8" xfId="23533"/>
    <cellStyle name="Финансовый 9 2 4 9" xfId="23534"/>
    <cellStyle name="Финансовый 9 2 5" xfId="23535"/>
    <cellStyle name="Финансовый 9 2 6" xfId="23536"/>
    <cellStyle name="Финансовый 9 2 7" xfId="23537"/>
    <cellStyle name="Финансовый 9 2 8" xfId="23538"/>
    <cellStyle name="Финансовый 9 2 9" xfId="23539"/>
    <cellStyle name="Финансовый 9 3" xfId="5445"/>
    <cellStyle name="Финансовый 9 3 10" xfId="23540"/>
    <cellStyle name="Финансовый 9 3 11" xfId="23541"/>
    <cellStyle name="Финансовый 9 3 2" xfId="5446"/>
    <cellStyle name="Финансовый 9 3 2 2" xfId="23542"/>
    <cellStyle name="Финансовый 9 3 2 3" xfId="23543"/>
    <cellStyle name="Финансовый 9 3 2 4" xfId="23544"/>
    <cellStyle name="Финансовый 9 3 2 5" xfId="23545"/>
    <cellStyle name="Финансовый 9 3 2 6" xfId="23546"/>
    <cellStyle name="Финансовый 9 3 2 7" xfId="23547"/>
    <cellStyle name="Финансовый 9 3 2 8" xfId="23548"/>
    <cellStyle name="Финансовый 9 3 2 9" xfId="23549"/>
    <cellStyle name="Финансовый 9 3 3" xfId="5447"/>
    <cellStyle name="Финансовый 9 3 3 2" xfId="23550"/>
    <cellStyle name="Финансовый 9 3 3 3" xfId="23551"/>
    <cellStyle name="Финансовый 9 3 3 4" xfId="23552"/>
    <cellStyle name="Финансовый 9 3 3 5" xfId="23553"/>
    <cellStyle name="Финансовый 9 3 3 6" xfId="23554"/>
    <cellStyle name="Финансовый 9 3 3 7" xfId="23555"/>
    <cellStyle name="Финансовый 9 3 3 8" xfId="23556"/>
    <cellStyle name="Финансовый 9 3 3 9" xfId="23557"/>
    <cellStyle name="Финансовый 9 3 4" xfId="23558"/>
    <cellStyle name="Финансовый 9 3 5" xfId="23559"/>
    <cellStyle name="Финансовый 9 3 6" xfId="23560"/>
    <cellStyle name="Финансовый 9 3 7" xfId="23561"/>
    <cellStyle name="Финансовый 9 3 8" xfId="23562"/>
    <cellStyle name="Финансовый 9 3 9" xfId="23563"/>
    <cellStyle name="Финансовый 9 4" xfId="5448"/>
    <cellStyle name="Финансовый 9 4 2" xfId="23564"/>
    <cellStyle name="Финансовый 9 4 3" xfId="23565"/>
    <cellStyle name="Финансовый 9 4 4" xfId="23566"/>
    <cellStyle name="Финансовый 9 4 5" xfId="23567"/>
    <cellStyle name="Финансовый 9 4 6" xfId="23568"/>
    <cellStyle name="Финансовый 9 4 7" xfId="23569"/>
    <cellStyle name="Финансовый 9 4 8" xfId="23570"/>
    <cellStyle name="Финансовый 9 4 9" xfId="23571"/>
    <cellStyle name="Финансовый 9 5" xfId="23572"/>
    <cellStyle name="Финансовый 9 6" xfId="23573"/>
    <cellStyle name="Финансовый 9 7" xfId="23574"/>
    <cellStyle name="Финансовый 9 8" xfId="23575"/>
    <cellStyle name="Финансовый 9 9" xfId="23576"/>
    <cellStyle name="Хороший 2" xfId="5449"/>
    <cellStyle name="Хороший 2 10" xfId="5450"/>
    <cellStyle name="Хороший 2 10 2" xfId="23577"/>
    <cellStyle name="Хороший 2 10 3" xfId="23578"/>
    <cellStyle name="Хороший 2 10 4" xfId="23579"/>
    <cellStyle name="Хороший 2 10 5" xfId="23580"/>
    <cellStyle name="Хороший 2 11" xfId="23581"/>
    <cellStyle name="Хороший 2 12" xfId="23582"/>
    <cellStyle name="Хороший 2 13" xfId="23583"/>
    <cellStyle name="Хороший 2 14" xfId="23584"/>
    <cellStyle name="Хороший 2 2" xfId="5451"/>
    <cellStyle name="Хороший 2 2 2" xfId="5452"/>
    <cellStyle name="Хороший 2 2 2 2" xfId="5453"/>
    <cellStyle name="Хороший 2 2 2 2 2" xfId="23585"/>
    <cellStyle name="Хороший 2 2 2 2 3" xfId="23586"/>
    <cellStyle name="Хороший 2 2 2 2 4" xfId="23587"/>
    <cellStyle name="Хороший 2 2 2 2 5" xfId="23588"/>
    <cellStyle name="Хороший 2 2 2 2 6" xfId="23589"/>
    <cellStyle name="Хороший 2 2 2 3" xfId="5454"/>
    <cellStyle name="Хороший 2 2 2 3 2" xfId="23590"/>
    <cellStyle name="Хороший 2 2 2 3 3" xfId="23591"/>
    <cellStyle name="Хороший 2 2 2 3 4" xfId="23592"/>
    <cellStyle name="Хороший 2 2 2 3 5" xfId="23593"/>
    <cellStyle name="Хороший 2 2 2 3 6" xfId="23594"/>
    <cellStyle name="Хороший 2 2 2 4" xfId="23595"/>
    <cellStyle name="Хороший 2 2 2 5" xfId="23596"/>
    <cellStyle name="Хороший 2 2 2 6" xfId="23597"/>
    <cellStyle name="Хороший 2 2 2 7" xfId="23598"/>
    <cellStyle name="Хороший 2 2 2 8" xfId="23599"/>
    <cellStyle name="Хороший 2 2 3" xfId="5455"/>
    <cellStyle name="Хороший 2 2 3 2" xfId="23600"/>
    <cellStyle name="Хороший 2 2 3 3" xfId="23601"/>
    <cellStyle name="Хороший 2 2 3 4" xfId="23602"/>
    <cellStyle name="Хороший 2 2 3 5" xfId="23603"/>
    <cellStyle name="Хороший 2 2 3 6" xfId="23604"/>
    <cellStyle name="Хороший 2 2 4" xfId="5456"/>
    <cellStyle name="Хороший 2 2 4 2" xfId="23605"/>
    <cellStyle name="Хороший 2 2 4 3" xfId="23606"/>
    <cellStyle name="Хороший 2 2 4 4" xfId="23607"/>
    <cellStyle name="Хороший 2 2 4 5" xfId="23608"/>
    <cellStyle name="Хороший 2 2 5" xfId="23609"/>
    <cellStyle name="Хороший 2 2 6" xfId="23610"/>
    <cellStyle name="Хороший 2 2 7" xfId="23611"/>
    <cellStyle name="Хороший 2 2 8" xfId="23612"/>
    <cellStyle name="Хороший 2 3" xfId="5457"/>
    <cellStyle name="Хороший 2 3 2" xfId="5458"/>
    <cellStyle name="Хороший 2 3 2 2" xfId="5459"/>
    <cellStyle name="Хороший 2 3 2 2 2" xfId="23613"/>
    <cellStyle name="Хороший 2 3 2 2 3" xfId="23614"/>
    <cellStyle name="Хороший 2 3 2 2 4" xfId="23615"/>
    <cellStyle name="Хороший 2 3 2 2 5" xfId="23616"/>
    <cellStyle name="Хороший 2 3 2 2 6" xfId="23617"/>
    <cellStyle name="Хороший 2 3 2 3" xfId="5460"/>
    <cellStyle name="Хороший 2 3 2 3 2" xfId="23618"/>
    <cellStyle name="Хороший 2 3 2 3 3" xfId="23619"/>
    <cellStyle name="Хороший 2 3 2 3 4" xfId="23620"/>
    <cellStyle name="Хороший 2 3 2 3 5" xfId="23621"/>
    <cellStyle name="Хороший 2 3 2 3 6" xfId="23622"/>
    <cellStyle name="Хороший 2 3 2 4" xfId="23623"/>
    <cellStyle name="Хороший 2 3 2 5" xfId="23624"/>
    <cellStyle name="Хороший 2 3 2 6" xfId="23625"/>
    <cellStyle name="Хороший 2 3 2 7" xfId="23626"/>
    <cellStyle name="Хороший 2 3 2 8" xfId="23627"/>
    <cellStyle name="Хороший 2 3 3" xfId="5461"/>
    <cellStyle name="Хороший 2 3 3 2" xfId="23628"/>
    <cellStyle name="Хороший 2 3 3 3" xfId="23629"/>
    <cellStyle name="Хороший 2 3 3 4" xfId="23630"/>
    <cellStyle name="Хороший 2 3 3 5" xfId="23631"/>
    <cellStyle name="Хороший 2 3 3 6" xfId="23632"/>
    <cellStyle name="Хороший 2 3 4" xfId="5462"/>
    <cellStyle name="Хороший 2 3 4 2" xfId="23633"/>
    <cellStyle name="Хороший 2 3 4 3" xfId="23634"/>
    <cellStyle name="Хороший 2 3 4 4" xfId="23635"/>
    <cellStyle name="Хороший 2 3 4 5" xfId="23636"/>
    <cellStyle name="Хороший 2 3 5" xfId="23637"/>
    <cellStyle name="Хороший 2 3 6" xfId="23638"/>
    <cellStyle name="Хороший 2 3 7" xfId="23639"/>
    <cellStyle name="Хороший 2 3 8" xfId="23640"/>
    <cellStyle name="Хороший 2 4" xfId="5463"/>
    <cellStyle name="Хороший 2 4 2" xfId="5464"/>
    <cellStyle name="Хороший 2 4 2 2" xfId="5465"/>
    <cellStyle name="Хороший 2 4 2 2 2" xfId="23641"/>
    <cellStyle name="Хороший 2 4 2 2 3" xfId="23642"/>
    <cellStyle name="Хороший 2 4 2 2 4" xfId="23643"/>
    <cellStyle name="Хороший 2 4 2 2 5" xfId="23644"/>
    <cellStyle name="Хороший 2 4 2 2 6" xfId="23645"/>
    <cellStyle name="Хороший 2 4 2 3" xfId="5466"/>
    <cellStyle name="Хороший 2 4 2 3 2" xfId="23646"/>
    <cellStyle name="Хороший 2 4 2 3 3" xfId="23647"/>
    <cellStyle name="Хороший 2 4 2 3 4" xfId="23648"/>
    <cellStyle name="Хороший 2 4 2 3 5" xfId="23649"/>
    <cellStyle name="Хороший 2 4 2 3 6" xfId="23650"/>
    <cellStyle name="Хороший 2 4 2 4" xfId="23651"/>
    <cellStyle name="Хороший 2 4 2 5" xfId="23652"/>
    <cellStyle name="Хороший 2 4 2 6" xfId="23653"/>
    <cellStyle name="Хороший 2 4 2 7" xfId="23654"/>
    <cellStyle name="Хороший 2 4 2 8" xfId="23655"/>
    <cellStyle name="Хороший 2 4 3" xfId="5467"/>
    <cellStyle name="Хороший 2 4 3 2" xfId="23656"/>
    <cellStyle name="Хороший 2 4 3 3" xfId="23657"/>
    <cellStyle name="Хороший 2 4 3 4" xfId="23658"/>
    <cellStyle name="Хороший 2 4 3 5" xfId="23659"/>
    <cellStyle name="Хороший 2 4 3 6" xfId="23660"/>
    <cellStyle name="Хороший 2 4 4" xfId="5468"/>
    <cellStyle name="Хороший 2 4 4 2" xfId="23661"/>
    <cellStyle name="Хороший 2 4 4 3" xfId="23662"/>
    <cellStyle name="Хороший 2 4 4 4" xfId="23663"/>
    <cellStyle name="Хороший 2 4 4 5" xfId="23664"/>
    <cellStyle name="Хороший 2 4 5" xfId="23665"/>
    <cellStyle name="Хороший 2 4 6" xfId="23666"/>
    <cellStyle name="Хороший 2 4 7" xfId="23667"/>
    <cellStyle name="Хороший 2 4 8" xfId="23668"/>
    <cellStyle name="Хороший 2 5" xfId="5469"/>
    <cellStyle name="Хороший 2 5 2" xfId="5470"/>
    <cellStyle name="Хороший 2 5 2 2" xfId="5471"/>
    <cellStyle name="Хороший 2 5 2 2 2" xfId="23669"/>
    <cellStyle name="Хороший 2 5 2 2 3" xfId="23670"/>
    <cellStyle name="Хороший 2 5 2 2 4" xfId="23671"/>
    <cellStyle name="Хороший 2 5 2 2 5" xfId="23672"/>
    <cellStyle name="Хороший 2 5 2 2 6" xfId="23673"/>
    <cellStyle name="Хороший 2 5 2 3" xfId="5472"/>
    <cellStyle name="Хороший 2 5 2 3 2" xfId="23674"/>
    <cellStyle name="Хороший 2 5 2 3 3" xfId="23675"/>
    <cellStyle name="Хороший 2 5 2 3 4" xfId="23676"/>
    <cellStyle name="Хороший 2 5 2 3 5" xfId="23677"/>
    <cellStyle name="Хороший 2 5 2 3 6" xfId="23678"/>
    <cellStyle name="Хороший 2 5 2 4" xfId="23679"/>
    <cellStyle name="Хороший 2 5 2 5" xfId="23680"/>
    <cellStyle name="Хороший 2 5 2 6" xfId="23681"/>
    <cellStyle name="Хороший 2 5 2 7" xfId="23682"/>
    <cellStyle name="Хороший 2 5 2 8" xfId="23683"/>
    <cellStyle name="Хороший 2 5 3" xfId="5473"/>
    <cellStyle name="Хороший 2 5 3 2" xfId="23684"/>
    <cellStyle name="Хороший 2 5 3 3" xfId="23685"/>
    <cellStyle name="Хороший 2 5 3 4" xfId="23686"/>
    <cellStyle name="Хороший 2 5 3 5" xfId="23687"/>
    <cellStyle name="Хороший 2 5 3 6" xfId="23688"/>
    <cellStyle name="Хороший 2 5 4" xfId="5474"/>
    <cellStyle name="Хороший 2 5 4 2" xfId="23689"/>
    <cellStyle name="Хороший 2 5 4 3" xfId="23690"/>
    <cellStyle name="Хороший 2 5 4 4" xfId="23691"/>
    <cellStyle name="Хороший 2 5 4 5" xfId="23692"/>
    <cellStyle name="Хороший 2 5 5" xfId="23693"/>
    <cellStyle name="Хороший 2 5 6" xfId="23694"/>
    <cellStyle name="Хороший 2 5 7" xfId="23695"/>
    <cellStyle name="Хороший 2 5 8" xfId="23696"/>
    <cellStyle name="Хороший 2 6" xfId="5475"/>
    <cellStyle name="Хороший 2 6 2" xfId="5476"/>
    <cellStyle name="Хороший 2 6 2 2" xfId="5477"/>
    <cellStyle name="Хороший 2 6 2 2 2" xfId="23697"/>
    <cellStyle name="Хороший 2 6 2 2 3" xfId="23698"/>
    <cellStyle name="Хороший 2 6 2 2 4" xfId="23699"/>
    <cellStyle name="Хороший 2 6 2 2 5" xfId="23700"/>
    <cellStyle name="Хороший 2 6 2 2 6" xfId="23701"/>
    <cellStyle name="Хороший 2 6 2 3" xfId="5478"/>
    <cellStyle name="Хороший 2 6 2 3 2" xfId="23702"/>
    <cellStyle name="Хороший 2 6 2 3 3" xfId="23703"/>
    <cellStyle name="Хороший 2 6 2 3 4" xfId="23704"/>
    <cellStyle name="Хороший 2 6 2 3 5" xfId="23705"/>
    <cellStyle name="Хороший 2 6 2 3 6" xfId="23706"/>
    <cellStyle name="Хороший 2 6 2 4" xfId="23707"/>
    <cellStyle name="Хороший 2 6 2 5" xfId="23708"/>
    <cellStyle name="Хороший 2 6 2 6" xfId="23709"/>
    <cellStyle name="Хороший 2 6 2 7" xfId="23710"/>
    <cellStyle name="Хороший 2 6 2 8" xfId="23711"/>
    <cellStyle name="Хороший 2 6 3" xfId="5479"/>
    <cellStyle name="Хороший 2 6 3 2" xfId="23712"/>
    <cellStyle name="Хороший 2 6 3 3" xfId="23713"/>
    <cellStyle name="Хороший 2 6 3 4" xfId="23714"/>
    <cellStyle name="Хороший 2 6 3 5" xfId="23715"/>
    <cellStyle name="Хороший 2 6 3 6" xfId="23716"/>
    <cellStyle name="Хороший 2 6 4" xfId="5480"/>
    <cellStyle name="Хороший 2 6 4 2" xfId="23717"/>
    <cellStyle name="Хороший 2 6 4 3" xfId="23718"/>
    <cellStyle name="Хороший 2 6 4 4" xfId="23719"/>
    <cellStyle name="Хороший 2 6 4 5" xfId="23720"/>
    <cellStyle name="Хороший 2 6 5" xfId="23721"/>
    <cellStyle name="Хороший 2 6 6" xfId="23722"/>
    <cellStyle name="Хороший 2 6 7" xfId="23723"/>
    <cellStyle name="Хороший 2 6 8" xfId="23724"/>
    <cellStyle name="Хороший 2 7" xfId="5481"/>
    <cellStyle name="Хороший 2 7 2" xfId="5482"/>
    <cellStyle name="Хороший 2 7 2 2" xfId="5483"/>
    <cellStyle name="Хороший 2 7 2 3" xfId="5484"/>
    <cellStyle name="Хороший 2 7 3" xfId="5485"/>
    <cellStyle name="Хороший 2 7 4" xfId="5486"/>
    <cellStyle name="Хороший 2 7 4 2" xfId="23725"/>
    <cellStyle name="Хороший 2 7 4 3" xfId="23726"/>
    <cellStyle name="Хороший 2 7 4 4" xfId="23727"/>
    <cellStyle name="Хороший 2 7 4 5" xfId="23728"/>
    <cellStyle name="Хороший 2 7 5" xfId="23729"/>
    <cellStyle name="Хороший 2 7 6" xfId="23730"/>
    <cellStyle name="Хороший 2 7 7" xfId="23731"/>
    <cellStyle name="Хороший 2 7 8" xfId="23732"/>
    <cellStyle name="Хороший 2 8" xfId="5487"/>
    <cellStyle name="Хороший 2 8 2" xfId="5488"/>
    <cellStyle name="Хороший 2 8 2 2" xfId="23733"/>
    <cellStyle name="Хороший 2 8 2 3" xfId="23734"/>
    <cellStyle name="Хороший 2 8 2 4" xfId="23735"/>
    <cellStyle name="Хороший 2 8 2 5" xfId="23736"/>
    <cellStyle name="Хороший 2 8 2 6" xfId="23737"/>
    <cellStyle name="Хороший 2 8 3" xfId="5489"/>
    <cellStyle name="Хороший 2 8 3 2" xfId="23738"/>
    <cellStyle name="Хороший 2 8 3 3" xfId="23739"/>
    <cellStyle name="Хороший 2 8 3 4" xfId="23740"/>
    <cellStyle name="Хороший 2 8 3 5" xfId="23741"/>
    <cellStyle name="Хороший 2 8 3 6" xfId="23742"/>
    <cellStyle name="Хороший 2 8 4" xfId="23743"/>
    <cellStyle name="Хороший 2 8 5" xfId="23744"/>
    <cellStyle name="Хороший 2 8 6" xfId="23745"/>
    <cellStyle name="Хороший 2 8 7" xfId="23746"/>
    <cellStyle name="Хороший 2 8 8" xfId="23747"/>
    <cellStyle name="Хороший 2 9" xfId="5490"/>
    <cellStyle name="Хороший 2 9 2" xfId="23748"/>
    <cellStyle name="Хороший 2 9 3" xfId="23749"/>
    <cellStyle name="Хороший 2 9 4" xfId="23750"/>
    <cellStyle name="Хороший 2 9 5" xfId="23751"/>
    <cellStyle name="Хороший 2 9 6" xfId="23752"/>
    <cellStyle name="Хороший 3" xfId="5491"/>
    <cellStyle name="Хороший 3 2" xfId="5492"/>
    <cellStyle name="Хороший 3 2 2" xfId="5493"/>
    <cellStyle name="Хороший 3 2 2 2" xfId="23753"/>
    <cellStyle name="Хороший 3 2 2 3" xfId="23754"/>
    <cellStyle name="Хороший 3 2 2 4" xfId="23755"/>
    <cellStyle name="Хороший 3 2 2 5" xfId="23756"/>
    <cellStyle name="Хороший 3 2 2 6" xfId="23757"/>
    <cellStyle name="Хороший 3 2 3" xfId="5494"/>
    <cellStyle name="Хороший 3 2 3 2" xfId="23758"/>
    <cellStyle name="Хороший 3 2 3 3" xfId="23759"/>
    <cellStyle name="Хороший 3 2 3 4" xfId="23760"/>
    <cellStyle name="Хороший 3 2 3 5" xfId="23761"/>
    <cellStyle name="Хороший 3 2 3 6" xfId="23762"/>
    <cellStyle name="Хороший 3 2 4" xfId="23763"/>
    <cellStyle name="Хороший 3 2 5" xfId="23764"/>
    <cellStyle name="Хороший 3 2 6" xfId="23765"/>
    <cellStyle name="Хороший 3 2 7" xfId="23766"/>
    <cellStyle name="Хороший 3 2 8" xfId="23767"/>
    <cellStyle name="Хороший 3 3" xfId="5495"/>
    <cellStyle name="Хороший 3 3 2" xfId="23768"/>
    <cellStyle name="Хороший 3 3 3" xfId="23769"/>
    <cellStyle name="Хороший 3 3 4" xfId="23770"/>
    <cellStyle name="Хороший 3 3 5" xfId="23771"/>
    <cellStyle name="Хороший 3 3 6" xfId="23772"/>
    <cellStyle name="Хороший 3 4" xfId="5496"/>
    <cellStyle name="Хороший 3 4 2" xfId="23773"/>
    <cellStyle name="Хороший 3 4 3" xfId="23774"/>
    <cellStyle name="Хороший 3 4 4" xfId="23775"/>
    <cellStyle name="Хороший 3 4 5" xfId="23776"/>
    <cellStyle name="Хороший 3 5" xfId="23777"/>
    <cellStyle name="Хороший 3 6" xfId="23778"/>
    <cellStyle name="Хороший 3 7" xfId="23779"/>
    <cellStyle name="Хороший 3 8" xfId="23780"/>
    <cellStyle name="Хороший 4" xfId="5497"/>
    <cellStyle name="Хороший 4 2" xfId="5498"/>
    <cellStyle name="Хороший 4 2 2" xfId="5499"/>
    <cellStyle name="Хороший 4 2 2 2" xfId="23781"/>
    <cellStyle name="Хороший 4 2 2 3" xfId="23782"/>
    <cellStyle name="Хороший 4 2 2 4" xfId="23783"/>
    <cellStyle name="Хороший 4 2 2 5" xfId="23784"/>
    <cellStyle name="Хороший 4 2 2 6" xfId="23785"/>
    <cellStyle name="Хороший 4 2 3" xfId="5500"/>
    <cellStyle name="Хороший 4 2 3 2" xfId="23786"/>
    <cellStyle name="Хороший 4 2 3 3" xfId="23787"/>
    <cellStyle name="Хороший 4 2 3 4" xfId="23788"/>
    <cellStyle name="Хороший 4 2 3 5" xfId="23789"/>
    <cellStyle name="Хороший 4 2 3 6" xfId="23790"/>
    <cellStyle name="Хороший 4 2 4" xfId="23791"/>
    <cellStyle name="Хороший 4 2 5" xfId="23792"/>
    <cellStyle name="Хороший 4 2 6" xfId="23793"/>
    <cellStyle name="Хороший 4 2 7" xfId="23794"/>
    <cellStyle name="Хороший 4 2 8" xfId="23795"/>
    <cellStyle name="Хороший 4 3" xfId="5501"/>
    <cellStyle name="Хороший 4 3 2" xfId="23796"/>
    <cellStyle name="Хороший 4 3 3" xfId="23797"/>
    <cellStyle name="Хороший 4 3 4" xfId="23798"/>
    <cellStyle name="Хороший 4 3 5" xfId="23799"/>
    <cellStyle name="Хороший 4 3 6" xfId="23800"/>
    <cellStyle name="Хороший 4 4" xfId="5502"/>
    <cellStyle name="Хороший 4 4 2" xfId="23801"/>
    <cellStyle name="Хороший 4 4 3" xfId="23802"/>
    <cellStyle name="Хороший 4 4 4" xfId="23803"/>
    <cellStyle name="Хороший 4 4 5" xfId="23804"/>
    <cellStyle name="Хороший 4 5" xfId="23805"/>
    <cellStyle name="Хороший 4 6" xfId="23806"/>
    <cellStyle name="Хороший 4 7" xfId="23807"/>
    <cellStyle name="Хороший 4 8" xfId="23808"/>
    <cellStyle name="Хороший 5" xfId="5503"/>
    <cellStyle name="Хороший 5 2" xfId="5504"/>
    <cellStyle name="Хороший 5 2 2" xfId="5505"/>
    <cellStyle name="Хороший 5 2 2 2" xfId="23809"/>
    <cellStyle name="Хороший 5 2 2 3" xfId="23810"/>
    <cellStyle name="Хороший 5 2 2 4" xfId="23811"/>
    <cellStyle name="Хороший 5 2 2 5" xfId="23812"/>
    <cellStyle name="Хороший 5 2 2 6" xfId="23813"/>
    <cellStyle name="Хороший 5 2 3" xfId="5506"/>
    <cellStyle name="Хороший 5 2 3 2" xfId="23814"/>
    <cellStyle name="Хороший 5 2 3 3" xfId="23815"/>
    <cellStyle name="Хороший 5 2 3 4" xfId="23816"/>
    <cellStyle name="Хороший 5 2 3 5" xfId="23817"/>
    <cellStyle name="Хороший 5 2 3 6" xfId="23818"/>
    <cellStyle name="Хороший 5 2 4" xfId="23819"/>
    <cellStyle name="Хороший 5 2 5" xfId="23820"/>
    <cellStyle name="Хороший 5 2 6" xfId="23821"/>
    <cellStyle name="Хороший 5 2 7" xfId="23822"/>
    <cellStyle name="Хороший 5 2 8" xfId="23823"/>
    <cellStyle name="Хороший 5 3" xfId="5507"/>
    <cellStyle name="Хороший 5 3 2" xfId="23824"/>
    <cellStyle name="Хороший 5 3 3" xfId="23825"/>
    <cellStyle name="Хороший 5 3 4" xfId="23826"/>
    <cellStyle name="Хороший 5 3 5" xfId="23827"/>
    <cellStyle name="Хороший 5 3 6" xfId="23828"/>
    <cellStyle name="Хороший 5 4" xfId="5508"/>
    <cellStyle name="Хороший 5 4 2" xfId="23829"/>
    <cellStyle name="Хороший 5 4 3" xfId="23830"/>
    <cellStyle name="Хороший 5 4 4" xfId="23831"/>
    <cellStyle name="Хороший 5 4 5" xfId="23832"/>
    <cellStyle name="Хороший 5 5" xfId="23833"/>
    <cellStyle name="Хороший 5 6" xfId="23834"/>
    <cellStyle name="Хороший 5 7" xfId="23835"/>
    <cellStyle name="Хороший 5 8" xfId="23836"/>
  </cellStyles>
  <dxfs count="0"/>
  <tableStyles count="0" defaultTableStyle="TableStyleMedium2" defaultPivotStyle="PivotStyleLight16"/>
  <colors>
    <mruColors>
      <color rgb="FFFF0066"/>
      <color rgb="FFCC66FF"/>
      <color rgb="FFB3A3F5"/>
      <color rgb="FFCC00FF"/>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5.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8.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4.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externalLink" Target="externalLinks/externalLink7.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externalLink" Target="externalLinks/externalLink2.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externalLink" Target="externalLinks/externalLink9.xml"/></Relationships>
</file>

<file path=xl/drawings/drawing1.xml><?xml version="1.0" encoding="utf-8"?>
<xdr:wsDr xmlns:xdr="http://schemas.openxmlformats.org/drawingml/2006/spreadsheetDrawing" xmlns:a="http://schemas.openxmlformats.org/drawingml/2006/main">
  <xdr:twoCellAnchor>
    <xdr:from>
      <xdr:col>3</xdr:col>
      <xdr:colOff>177800</xdr:colOff>
      <xdr:row>7</xdr:row>
      <xdr:rowOff>362744</xdr:rowOff>
    </xdr:from>
    <xdr:to>
      <xdr:col>3</xdr:col>
      <xdr:colOff>406400</xdr:colOff>
      <xdr:row>7</xdr:row>
      <xdr:rowOff>572294</xdr:rowOff>
    </xdr:to>
    <xdr:cxnSp macro="">
      <xdr:nvCxnSpPr>
        <xdr:cNvPr id="2" name="Прямая со стрелкой 1"/>
        <xdr:cNvCxnSpPr/>
      </xdr:nvCxnSpPr>
      <xdr:spPr>
        <a:xfrm flipV="1">
          <a:off x="2854325" y="2667794"/>
          <a:ext cx="228600" cy="20955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180975</xdr:colOff>
      <xdr:row>8</xdr:row>
      <xdr:rowOff>193145</xdr:rowOff>
    </xdr:from>
    <xdr:to>
      <xdr:col>3</xdr:col>
      <xdr:colOff>456142</xdr:colOff>
      <xdr:row>8</xdr:row>
      <xdr:rowOff>388726</xdr:rowOff>
    </xdr:to>
    <xdr:cxnSp macro="">
      <xdr:nvCxnSpPr>
        <xdr:cNvPr id="3" name="Прямая со стрелкой 2"/>
        <xdr:cNvCxnSpPr/>
      </xdr:nvCxnSpPr>
      <xdr:spPr>
        <a:xfrm flipV="1">
          <a:off x="2857500" y="3450695"/>
          <a:ext cx="275167" cy="19558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188912</xdr:colOff>
      <xdr:row>11</xdr:row>
      <xdr:rowOff>568325</xdr:rowOff>
    </xdr:from>
    <xdr:to>
      <xdr:col>3</xdr:col>
      <xdr:colOff>417512</xdr:colOff>
      <xdr:row>11</xdr:row>
      <xdr:rowOff>815975</xdr:rowOff>
    </xdr:to>
    <xdr:cxnSp macro="">
      <xdr:nvCxnSpPr>
        <xdr:cNvPr id="4" name="Прямая со стрелкой 3"/>
        <xdr:cNvCxnSpPr/>
      </xdr:nvCxnSpPr>
      <xdr:spPr>
        <a:xfrm flipV="1">
          <a:off x="2865437" y="5702300"/>
          <a:ext cx="228600" cy="24765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188913</xdr:colOff>
      <xdr:row>12</xdr:row>
      <xdr:rowOff>584200</xdr:rowOff>
    </xdr:from>
    <xdr:to>
      <xdr:col>3</xdr:col>
      <xdr:colOff>417513</xdr:colOff>
      <xdr:row>12</xdr:row>
      <xdr:rowOff>831850</xdr:rowOff>
    </xdr:to>
    <xdr:cxnSp macro="">
      <xdr:nvCxnSpPr>
        <xdr:cNvPr id="5" name="Прямая со стрелкой 4"/>
        <xdr:cNvCxnSpPr/>
      </xdr:nvCxnSpPr>
      <xdr:spPr>
        <a:xfrm flipV="1">
          <a:off x="2865438" y="7204075"/>
          <a:ext cx="228600" cy="24765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190500</xdr:colOff>
      <xdr:row>17</xdr:row>
      <xdr:rowOff>323850</xdr:rowOff>
    </xdr:from>
    <xdr:to>
      <xdr:col>3</xdr:col>
      <xdr:colOff>419100</xdr:colOff>
      <xdr:row>17</xdr:row>
      <xdr:rowOff>571500</xdr:rowOff>
    </xdr:to>
    <xdr:cxnSp macro="">
      <xdr:nvCxnSpPr>
        <xdr:cNvPr id="6" name="Прямая со стрелкой 5"/>
        <xdr:cNvCxnSpPr/>
      </xdr:nvCxnSpPr>
      <xdr:spPr>
        <a:xfrm flipV="1">
          <a:off x="2867025" y="12125325"/>
          <a:ext cx="228600" cy="24765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236537</xdr:colOff>
      <xdr:row>22</xdr:row>
      <xdr:rowOff>371475</xdr:rowOff>
    </xdr:from>
    <xdr:to>
      <xdr:col>3</xdr:col>
      <xdr:colOff>465137</xdr:colOff>
      <xdr:row>22</xdr:row>
      <xdr:rowOff>476250</xdr:rowOff>
    </xdr:to>
    <xdr:cxnSp macro="">
      <xdr:nvCxnSpPr>
        <xdr:cNvPr id="7" name="Прямая со стрелкой 6"/>
        <xdr:cNvCxnSpPr/>
      </xdr:nvCxnSpPr>
      <xdr:spPr>
        <a:xfrm flipV="1">
          <a:off x="2913062" y="17325975"/>
          <a:ext cx="228600" cy="10477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209550</xdr:colOff>
      <xdr:row>24</xdr:row>
      <xdr:rowOff>219075</xdr:rowOff>
    </xdr:from>
    <xdr:to>
      <xdr:col>3</xdr:col>
      <xdr:colOff>457200</xdr:colOff>
      <xdr:row>24</xdr:row>
      <xdr:rowOff>400050</xdr:rowOff>
    </xdr:to>
    <xdr:cxnSp macro="">
      <xdr:nvCxnSpPr>
        <xdr:cNvPr id="8" name="Прямая со стрелкой 7"/>
        <xdr:cNvCxnSpPr/>
      </xdr:nvCxnSpPr>
      <xdr:spPr>
        <a:xfrm flipV="1">
          <a:off x="2886075" y="18497550"/>
          <a:ext cx="247650" cy="18097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179916</xdr:colOff>
      <xdr:row>15</xdr:row>
      <xdr:rowOff>465667</xdr:rowOff>
    </xdr:from>
    <xdr:to>
      <xdr:col>3</xdr:col>
      <xdr:colOff>433917</xdr:colOff>
      <xdr:row>15</xdr:row>
      <xdr:rowOff>690034</xdr:rowOff>
    </xdr:to>
    <xdr:cxnSp macro="">
      <xdr:nvCxnSpPr>
        <xdr:cNvPr id="9" name="Прямая со стрелкой 8"/>
        <xdr:cNvCxnSpPr/>
      </xdr:nvCxnSpPr>
      <xdr:spPr>
        <a:xfrm flipV="1">
          <a:off x="2856441" y="10924117"/>
          <a:ext cx="254001" cy="22436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236537</xdr:colOff>
      <xdr:row>23</xdr:row>
      <xdr:rowOff>371475</xdr:rowOff>
    </xdr:from>
    <xdr:to>
      <xdr:col>3</xdr:col>
      <xdr:colOff>465137</xdr:colOff>
      <xdr:row>23</xdr:row>
      <xdr:rowOff>476250</xdr:rowOff>
    </xdr:to>
    <xdr:cxnSp macro="">
      <xdr:nvCxnSpPr>
        <xdr:cNvPr id="10" name="Прямая со стрелкой 9"/>
        <xdr:cNvCxnSpPr/>
      </xdr:nvCxnSpPr>
      <xdr:spPr>
        <a:xfrm flipV="1">
          <a:off x="2913062" y="18078450"/>
          <a:ext cx="228600" cy="10477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232834</xdr:colOff>
      <xdr:row>19</xdr:row>
      <xdr:rowOff>433916</xdr:rowOff>
    </xdr:from>
    <xdr:to>
      <xdr:col>3</xdr:col>
      <xdr:colOff>461434</xdr:colOff>
      <xdr:row>19</xdr:row>
      <xdr:rowOff>681566</xdr:rowOff>
    </xdr:to>
    <xdr:cxnSp macro="">
      <xdr:nvCxnSpPr>
        <xdr:cNvPr id="11" name="Прямая со стрелкой 10"/>
        <xdr:cNvCxnSpPr/>
      </xdr:nvCxnSpPr>
      <xdr:spPr>
        <a:xfrm flipV="1">
          <a:off x="2909359" y="15216716"/>
          <a:ext cx="228600" cy="24765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190500</xdr:colOff>
      <xdr:row>20</xdr:row>
      <xdr:rowOff>328083</xdr:rowOff>
    </xdr:from>
    <xdr:to>
      <xdr:col>3</xdr:col>
      <xdr:colOff>419100</xdr:colOff>
      <xdr:row>20</xdr:row>
      <xdr:rowOff>575733</xdr:rowOff>
    </xdr:to>
    <xdr:cxnSp macro="">
      <xdr:nvCxnSpPr>
        <xdr:cNvPr id="12" name="Прямая со стрелкой 11"/>
        <xdr:cNvCxnSpPr/>
      </xdr:nvCxnSpPr>
      <xdr:spPr>
        <a:xfrm flipV="1">
          <a:off x="2867025" y="16101483"/>
          <a:ext cx="228600" cy="24765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188912</xdr:colOff>
      <xdr:row>10</xdr:row>
      <xdr:rowOff>568325</xdr:rowOff>
    </xdr:from>
    <xdr:to>
      <xdr:col>3</xdr:col>
      <xdr:colOff>417512</xdr:colOff>
      <xdr:row>10</xdr:row>
      <xdr:rowOff>815975</xdr:rowOff>
    </xdr:to>
    <xdr:cxnSp macro="">
      <xdr:nvCxnSpPr>
        <xdr:cNvPr id="13" name="Прямая со стрелкой 12"/>
        <xdr:cNvCxnSpPr/>
      </xdr:nvCxnSpPr>
      <xdr:spPr>
        <a:xfrm flipV="1">
          <a:off x="2865437" y="4445000"/>
          <a:ext cx="228600" cy="24765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188913</xdr:colOff>
      <xdr:row>13</xdr:row>
      <xdr:rowOff>584200</xdr:rowOff>
    </xdr:from>
    <xdr:to>
      <xdr:col>3</xdr:col>
      <xdr:colOff>417513</xdr:colOff>
      <xdr:row>13</xdr:row>
      <xdr:rowOff>831850</xdr:rowOff>
    </xdr:to>
    <xdr:cxnSp macro="">
      <xdr:nvCxnSpPr>
        <xdr:cNvPr id="14" name="Прямая со стрелкой 13"/>
        <xdr:cNvCxnSpPr/>
      </xdr:nvCxnSpPr>
      <xdr:spPr>
        <a:xfrm flipV="1">
          <a:off x="2865438" y="8680450"/>
          <a:ext cx="228600" cy="24765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179916</xdr:colOff>
      <xdr:row>14</xdr:row>
      <xdr:rowOff>465667</xdr:rowOff>
    </xdr:from>
    <xdr:to>
      <xdr:col>3</xdr:col>
      <xdr:colOff>433917</xdr:colOff>
      <xdr:row>14</xdr:row>
      <xdr:rowOff>690034</xdr:rowOff>
    </xdr:to>
    <xdr:cxnSp macro="">
      <xdr:nvCxnSpPr>
        <xdr:cNvPr id="15" name="Прямая со стрелкой 14"/>
        <xdr:cNvCxnSpPr/>
      </xdr:nvCxnSpPr>
      <xdr:spPr>
        <a:xfrm flipV="1">
          <a:off x="2856441" y="9447742"/>
          <a:ext cx="254001" cy="22436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prozherina\Desktop\&#1056;&#1077;&#1075;&#1080;&#1085;&#1072;%20&#1089;&#1087;&#1086;&#1088;&#1090;&#1082;&#1086;&#1084;&#1080;&#1090;&#1077;&#1090;\&#1092;&#1080;&#1085;&#1072;&#1085;&#1089;&#1086;&#1074;&#1099;&#1077;%20&#1086;&#1090;&#1095;&#1077;&#1090;&#1099;%20&#1087;&#1086;%20&#1075;&#1086;&#1089;&#1087;&#1088;&#1086;&#1075;&#1088;&#1072;&#1084;&#1084;&#1072;&#1084;\2020\&#1075;&#1086;&#1089;&#1087;&#1088;&#1086;&#1075;&#1088;&#1072;&#1084;&#1084;&#1072;%20&#1080;&#1102;&#1085;&#1100;\&#1055;&#1083;&#1072;&#1085;%20&#1056;&#1077;&#1072;&#1083;&#1080;&#1079;&#1072;&#1094;&#1080;&#1080;%20&#1043;&#1055;%202019-202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misuk\AppData\Local\Microsoft\Windows\INetCache\Content.Outlook\BGR15LD3\&#1048;&#1058;&#1054;&#1043;_&#1074;%20&#1088;&#1072;&#1073;&#1086;&#1090;&#1077;_12.08.2024.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emenovaes\AppData\Local\Microsoft\Windows\Temporary%20Internet%20Files\Content.Outlook\UM0GR49T\&#1052;&#1048;&#1053;&#1057;&#1058;&#1056;&#1054;&#1049;\&#1042;&#1045;&#1056;&#1057;&#1048;&#1071;_1_&#1075;&#1086;&#1076;.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semenovaes\AppData\Local\Microsoft\Windows\Temporary%20Internet%20Files\Content.Outlook\UM0GR49T\31.12.2024.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semenovaes\AppData\Local\Microsoft\Windows\Temporary%20Internet%20Files\Content.Outlook\UM0GR49T\&#1043;&#1055;%20&#1060;&#1080;&#1079;&#1080;&#1095;&#1077;&#1089;&#1082;&#1072;&#1103;%20&#1082;&#1091;&#1083;&#1100;&#1090;&#1091;&#1088;&#1072;%20(2).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shevtsova\Downloads\_&#1055;&#1083;&#1072;&#1085;%20&#1088;&#1077;&#1072;&#1083;&#1080;&#1079;&#1072;&#1094;&#1080;&#1080;%20&#1043;&#1055;%20&#1060;&#1080;&#1079;.%20&#1082;&#1091;&#1083;&#1100;&#1090;&#1091;&#1088;&#1072;%20&#1080;%20&#1089;&#1087;&#1086;&#1088;&#1090;.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Users\motsnaya\Downloads\&#1055;&#1083;&#1072;&#1085;%20&#1088;&#1077;&#1072;&#1083;&#1080;&#1079;&#1072;&#1094;&#1080;&#1080;%20&#1043;&#1055;_794_.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Users\semenovaes\AppData\Local\Microsoft\Windows\Temporary%20Internet%20Files\Content.Outlook\UM0GR49T\&#1042;%20&#1052;&#1048;&#1053;&#1057;&#1058;&#1056;&#1054;&#1049;\&#1054;&#1058;&#1042;&#1045;&#1058;\&#1050;&#1086;&#1087;&#1080;&#1103;%20&#1074;%20&#1088;&#1072;&#1073;&#1086;&#1090;&#1077;%206.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Users\semenovaes\AppData\Local\Microsoft\Windows\Temporary%20Internet%20Files\Content.Outlook\UM0GR49T\&#1052;&#1048;&#1053;&#1057;&#1058;&#1056;&#1054;&#1049;\&#1074;%20&#1088;&#1072;&#1073;&#1086;&#1090;&#1077;_&#1087;&#1086;%20&#1079;&#1072;&#1084;&#1077;&#1095;&#1072;&#1085;&#1080;&#1103;&#1084;%20&#1052;&#1069;&#1056;%20&#1074;%20&#1095;&#1072;&#1089;&#1090;&#1080;%20&#1052;&#1048;&#1053;&#1057;&#1058;&#1056;&#1054;&#1071;%20&#1052;&#105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лан"/>
      <sheetName val="16-18"/>
      <sheetName val="5. Фин уч"/>
      <sheetName val="c учетом УС"/>
      <sheetName val="8 План16-19 (2)"/>
      <sheetName val=" 3.ОМ 16-19"/>
      <sheetName val="Изменения 2017 Минфин"/>
      <sheetName val="8 План18-20-1"/>
      <sheetName val="8 План18-20-2"/>
      <sheetName val="10в Справка ОКС 18.03.19"/>
      <sheetName val="8 План16-20"/>
      <sheetName val="Пр ГП 19-20"/>
      <sheetName val="8 План19-21-1"/>
      <sheetName val="8 План18-20-5"/>
      <sheetName val="10в Справка ОКС"/>
      <sheetName val="Сводная"/>
      <sheetName val="9. План 21-25"/>
      <sheetName val="10в. Спр ОКС"/>
      <sheetName val="10а. Спр пок "/>
      <sheetName val="4. ОКС 16-19-3"/>
      <sheetName val="Пр8 16-19 (2)"/>
      <sheetName val="для счета"/>
      <sheetName val="Пр10б. Справка"/>
      <sheetName val="Пр 10в ОКС"/>
      <sheetName val="8 План16-19"/>
      <sheetName val="3. ОМ"/>
      <sheetName val="Исп.бюдж.01.01.2019"/>
      <sheetName val="Пр ГП 19-20 (2)"/>
      <sheetName val="Пр ГП 19-20 (3)"/>
      <sheetName val="Пр 11а."/>
      <sheetName val="Спорт ОКС"/>
      <sheetName val="Минфин"/>
      <sheetName val="Муниципальные"/>
      <sheetName val="Областные"/>
      <sheetName val="Исп.бюдж 01.07.19"/>
      <sheetName val="11д. Оц эф"/>
      <sheetName val="11г"/>
      <sheetName val="4. ОКС"/>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row r="5">
          <cell r="K5" t="str">
            <v>Министерство спорта и молодежной политики МО, Министерство строительства МО</v>
          </cell>
        </row>
        <row r="11">
          <cell r="K11" t="str">
            <v>Министерство строительства МО</v>
          </cell>
        </row>
        <row r="41">
          <cell r="J41" t="str">
            <v xml:space="preserve">Обучение плаванию ежегодно не менее 500 человек </v>
          </cell>
        </row>
        <row r="167">
          <cell r="K167" t="str">
            <v>Министерство строительства МО, администрации муниципальных образований</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2А"/>
      <sheetName val="12Б_2024_6 мес (2)"/>
      <sheetName val="12Б_2024_6 мес (3)"/>
      <sheetName val="334-ПП"/>
      <sheetName val="Документ"/>
      <sheetName val="НП"/>
      <sheetName val="2024"/>
    </sheetNames>
    <sheetDataSet>
      <sheetData sheetId="0"/>
      <sheetData sheetId="1"/>
      <sheetData sheetId="2"/>
      <sheetData sheetId="3">
        <row r="30">
          <cell r="F30">
            <v>450694.09357999999</v>
          </cell>
          <cell r="H30">
            <v>45246.962800000001</v>
          </cell>
        </row>
        <row r="879">
          <cell r="F879">
            <v>58731.353999999999</v>
          </cell>
          <cell r="H879">
            <v>593.24599999999998</v>
          </cell>
        </row>
        <row r="886">
          <cell r="F886">
            <v>20820.099999999999</v>
          </cell>
          <cell r="H886">
            <v>210.3</v>
          </cell>
        </row>
        <row r="900">
          <cell r="F900">
            <v>4312.5</v>
          </cell>
        </row>
        <row r="921">
          <cell r="F921">
            <v>203535.6</v>
          </cell>
          <cell r="H921">
            <v>10712.4</v>
          </cell>
        </row>
        <row r="942">
          <cell r="F942">
            <v>56948.595869999997</v>
          </cell>
        </row>
      </sheetData>
      <sheetData sheetId="4">
        <row r="22">
          <cell r="R22">
            <v>10990</v>
          </cell>
        </row>
        <row r="36">
          <cell r="R36">
            <v>21000</v>
          </cell>
        </row>
      </sheetData>
      <sheetData sheetId="5">
        <row r="54">
          <cell r="R54">
            <v>2215.4</v>
          </cell>
        </row>
        <row r="55">
          <cell r="R55">
            <v>5115</v>
          </cell>
        </row>
      </sheetData>
      <sheetData sheetId="6">
        <row r="22">
          <cell r="H22">
            <v>2274.0250000000001</v>
          </cell>
        </row>
        <row r="97">
          <cell r="H97">
            <v>1124.568</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2А"/>
      <sheetName val="12Б_2024_6 мес (2)"/>
      <sheetName val="912-ПП"/>
      <sheetName val="12А_2024"/>
      <sheetName val="334-ПП"/>
      <sheetName val="12Б_2024"/>
    </sheetNames>
    <sheetDataSet>
      <sheetData sheetId="0"/>
      <sheetData sheetId="1"/>
      <sheetData sheetId="2">
        <row r="72">
          <cell r="F72">
            <v>82011.627000000008</v>
          </cell>
        </row>
        <row r="86">
          <cell r="E86">
            <v>55000</v>
          </cell>
        </row>
        <row r="93">
          <cell r="F93">
            <v>2274.0250000000001</v>
          </cell>
        </row>
        <row r="100">
          <cell r="F100">
            <v>160494.09357999999</v>
          </cell>
        </row>
        <row r="107">
          <cell r="F107">
            <v>20000</v>
          </cell>
        </row>
        <row r="127">
          <cell r="F127">
            <v>21000</v>
          </cell>
        </row>
        <row r="148">
          <cell r="F148">
            <v>9000</v>
          </cell>
          <cell r="H148">
            <v>1638.5408</v>
          </cell>
        </row>
        <row r="155">
          <cell r="F155">
            <v>120000</v>
          </cell>
          <cell r="H155">
            <v>43608.421999999999</v>
          </cell>
        </row>
        <row r="162">
          <cell r="F162">
            <v>10990</v>
          </cell>
        </row>
        <row r="190">
          <cell r="F190">
            <v>7999.1719999999996</v>
          </cell>
        </row>
        <row r="197">
          <cell r="F197">
            <v>8000</v>
          </cell>
        </row>
        <row r="225">
          <cell r="F225">
            <v>2106.6577000000002</v>
          </cell>
        </row>
        <row r="232">
          <cell r="F232">
            <v>73599.972000000009</v>
          </cell>
        </row>
        <row r="239">
          <cell r="F239">
            <v>44.82</v>
          </cell>
        </row>
        <row r="246">
          <cell r="F246">
            <v>1148547.0990199998</v>
          </cell>
        </row>
        <row r="253">
          <cell r="F253">
            <v>5704.7280000000001</v>
          </cell>
        </row>
        <row r="274">
          <cell r="F274">
            <v>118.58799999999999</v>
          </cell>
        </row>
        <row r="295">
          <cell r="F295">
            <v>7144.6274999999996</v>
          </cell>
        </row>
        <row r="323">
          <cell r="F323">
            <v>35831</v>
          </cell>
        </row>
        <row r="365">
          <cell r="F365">
            <v>795.71800000000007</v>
          </cell>
        </row>
        <row r="372">
          <cell r="F372">
            <v>80000</v>
          </cell>
        </row>
        <row r="386">
          <cell r="F386">
            <v>6400</v>
          </cell>
          <cell r="H386">
            <v>4266.6666699999996</v>
          </cell>
        </row>
        <row r="393">
          <cell r="F393">
            <v>41400</v>
          </cell>
          <cell r="H393">
            <v>16589.52333</v>
          </cell>
        </row>
        <row r="406">
          <cell r="F406">
            <v>291.59756999999996</v>
          </cell>
          <cell r="G406">
            <v>4568.3586400000004</v>
          </cell>
        </row>
        <row r="412">
          <cell r="F412">
            <v>1427.2492999999999</v>
          </cell>
          <cell r="G412">
            <v>3494.3</v>
          </cell>
        </row>
        <row r="601">
          <cell r="F601">
            <v>6000</v>
          </cell>
        </row>
        <row r="608">
          <cell r="F608">
            <v>4801.7</v>
          </cell>
        </row>
        <row r="713">
          <cell r="F713">
            <v>1124.569</v>
          </cell>
        </row>
        <row r="853">
          <cell r="F853">
            <v>29440.567459999998</v>
          </cell>
          <cell r="G853">
            <v>70190</v>
          </cell>
        </row>
        <row r="867">
          <cell r="F867">
            <v>265813.04846999998</v>
          </cell>
          <cell r="G867">
            <v>370108.6</v>
          </cell>
        </row>
        <row r="874">
          <cell r="F874">
            <v>92170</v>
          </cell>
        </row>
        <row r="881">
          <cell r="F881">
            <v>75364.2</v>
          </cell>
          <cell r="G881">
            <v>184512.3</v>
          </cell>
        </row>
      </sheetData>
      <sheetData sheetId="3"/>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Документ"/>
      <sheetName val="НП"/>
    </sheetNames>
    <sheetDataSet>
      <sheetData sheetId="0">
        <row r="25">
          <cell r="P25">
            <v>29200000</v>
          </cell>
        </row>
      </sheetData>
      <sheetData sheetId="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действующая редакция"/>
      <sheetName val="новая редакция"/>
      <sheetName val="План 21-25"/>
      <sheetName val="Перечень ОКС"/>
      <sheetName val="Роспись Минстрой"/>
      <sheetName val="План реализации _ 10"/>
      <sheetName val="План реализации _ 11"/>
      <sheetName val="Пр10б. Справка 11"/>
      <sheetName val="Справка 6б"/>
      <sheetName val="План реализации 13"/>
      <sheetName val="План реализации 14"/>
      <sheetName val="Справка 11 в"/>
      <sheetName val="Лист1"/>
      <sheetName val="10а. Спр пок  "/>
      <sheetName val="План 21-25_9"/>
      <sheetName val="ГП РФ"/>
      <sheetName val="Пр 11в ОКС"/>
      <sheetName val="План 21-25_8 (2)"/>
      <sheetName val="НОВЫЙ_МИНСТРОЙ"/>
      <sheetName val="962-ПП"/>
      <sheetName val="Пр 11в ОКС (2)"/>
      <sheetName val="6_ОМ_01_2024"/>
      <sheetName val="5092197"/>
      <sheetName val="СТАРЫЙ"/>
      <sheetName val="80-ПП"/>
      <sheetName val="213-ПП"/>
      <sheetName val="334-ПП"/>
      <sheetName val="6.ОМ"/>
      <sheetName val="Справка_Минэнерго"/>
      <sheetName val="ОМ_минэнерго"/>
      <sheetName val="План_минэн."/>
      <sheetName val="План_нов_ред.минэн."/>
      <sheetName val="СТАРЫЙ_июнь"/>
      <sheetName val="5578229-ВР"/>
      <sheetName val="вр-5566727"/>
      <sheetName val="Пр 11б. Справка"/>
      <sheetName val="6_ОМ_01_2024 (2)"/>
      <sheetName val="5650739"/>
      <sheetName val="11в измен. в 787-ПП"/>
      <sheetName val="ГП 0 паспорт"/>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516">
          <cell r="F516">
            <v>0</v>
          </cell>
          <cell r="G516">
            <v>0</v>
          </cell>
          <cell r="H516">
            <v>0</v>
          </cell>
          <cell r="I516">
            <v>0</v>
          </cell>
        </row>
        <row r="517">
          <cell r="F517">
            <v>0</v>
          </cell>
          <cell r="G517">
            <v>0</v>
          </cell>
          <cell r="H517">
            <v>0</v>
          </cell>
          <cell r="I517">
            <v>0</v>
          </cell>
        </row>
        <row r="518">
          <cell r="F518">
            <v>0</v>
          </cell>
          <cell r="G518">
            <v>0</v>
          </cell>
          <cell r="H518">
            <v>0</v>
          </cell>
          <cell r="I518">
            <v>0</v>
          </cell>
        </row>
        <row r="519">
          <cell r="G519">
            <v>0</v>
          </cell>
          <cell r="H519">
            <v>0</v>
          </cell>
          <cell r="I519">
            <v>0</v>
          </cell>
        </row>
        <row r="520">
          <cell r="F520">
            <v>0</v>
          </cell>
          <cell r="G520">
            <v>0</v>
          </cell>
          <cell r="H520">
            <v>0</v>
          </cell>
          <cell r="I520">
            <v>0</v>
          </cell>
        </row>
        <row r="529">
          <cell r="G529">
            <v>0</v>
          </cell>
          <cell r="I529">
            <v>0</v>
          </cell>
        </row>
        <row r="530">
          <cell r="G530">
            <v>0</v>
          </cell>
          <cell r="I530">
            <v>0</v>
          </cell>
        </row>
        <row r="531">
          <cell r="G531">
            <v>0</v>
          </cell>
          <cell r="H531">
            <v>0</v>
          </cell>
          <cell r="I531">
            <v>0</v>
          </cell>
        </row>
        <row r="533">
          <cell r="F533">
            <v>0</v>
          </cell>
          <cell r="G533">
            <v>0</v>
          </cell>
          <cell r="H533">
            <v>0</v>
          </cell>
          <cell r="I533">
            <v>0</v>
          </cell>
        </row>
        <row r="791">
          <cell r="E791">
            <v>138499.6</v>
          </cell>
          <cell r="F791">
            <v>137107.46900000001</v>
          </cell>
          <cell r="G791">
            <v>0</v>
          </cell>
          <cell r="H791">
            <v>1392.1310000000001</v>
          </cell>
          <cell r="I791">
            <v>0</v>
          </cell>
        </row>
        <row r="792">
          <cell r="E792">
            <v>0</v>
          </cell>
          <cell r="F792">
            <v>0</v>
          </cell>
          <cell r="G792">
            <v>0</v>
          </cell>
          <cell r="H792">
            <v>0</v>
          </cell>
          <cell r="I792">
            <v>0</v>
          </cell>
        </row>
        <row r="793">
          <cell r="E793">
            <v>0</v>
          </cell>
          <cell r="F793">
            <v>0</v>
          </cell>
          <cell r="G793">
            <v>0</v>
          </cell>
          <cell r="H793">
            <v>0</v>
          </cell>
          <cell r="I793">
            <v>0</v>
          </cell>
        </row>
        <row r="794">
          <cell r="E794">
            <v>20666.5</v>
          </cell>
          <cell r="F794">
            <v>20452.7</v>
          </cell>
          <cell r="G794">
            <v>0</v>
          </cell>
          <cell r="H794">
            <v>213.8</v>
          </cell>
          <cell r="I794">
            <v>0</v>
          </cell>
        </row>
        <row r="795">
          <cell r="E795">
            <v>59324.6</v>
          </cell>
          <cell r="F795">
            <v>58731.353999999999</v>
          </cell>
          <cell r="G795">
            <v>0</v>
          </cell>
          <cell r="H795">
            <v>593.24599999999998</v>
          </cell>
          <cell r="I795">
            <v>0</v>
          </cell>
        </row>
        <row r="796">
          <cell r="E796">
            <v>58508.5</v>
          </cell>
          <cell r="F796">
            <v>57923.415000000001</v>
          </cell>
          <cell r="G796">
            <v>0</v>
          </cell>
          <cell r="H796">
            <v>585.08500000000004</v>
          </cell>
          <cell r="I796">
            <v>0</v>
          </cell>
        </row>
      </sheetData>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лан 21-25"/>
      <sheetName val="Роспись Минстрой"/>
      <sheetName val="План реализации _ 10"/>
      <sheetName val="План реализации _ 11"/>
      <sheetName val="Пр10б. Справка 11"/>
      <sheetName val="4.ОКС_2"/>
      <sheetName val="Справка 6б"/>
      <sheetName val="План реализации 13"/>
      <sheetName val="План реализации 14"/>
      <sheetName val="Справка 11 в"/>
      <sheetName val="Лист1"/>
      <sheetName val="10а. Спр пок  "/>
      <sheetName val="План 21-25_9"/>
      <sheetName val="ГП РФ"/>
      <sheetName val="Пр 10в ОКС"/>
      <sheetName val="План 21-25_8 (2)"/>
      <sheetName val="НОВЫЙ_МИНСТРОЙ"/>
      <sheetName val="962-ПП"/>
      <sheetName val="6_ОМ_01_2024"/>
      <sheetName val="5092197"/>
      <sheetName val="СТАРЫЙ"/>
      <sheetName val="80-ПП"/>
      <sheetName val="Пр 11б. Справка"/>
      <sheetName val="ред. 213-ПП"/>
      <sheetName val="Новая редакция"/>
      <sheetName val="6б"/>
      <sheetName val="6.ОМ"/>
      <sheetName val="Справка_Минэнерго"/>
      <sheetName val="ОМ_минэнерго"/>
      <sheetName val="План_минэн."/>
      <sheetName val="План_нов_ред.минэн."/>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ow r="531">
          <cell r="G531">
            <v>0</v>
          </cell>
        </row>
      </sheetData>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лан 21-25"/>
      <sheetName val="Роспись Минстрой"/>
      <sheetName val="План реализации _ 10"/>
      <sheetName val="План реализации _ 11"/>
      <sheetName val="Пр10б. Справка 11"/>
      <sheetName val="4.ОКС_2"/>
      <sheetName val="Справка 6б"/>
      <sheetName val="План реализации 13"/>
      <sheetName val="План реализации 14"/>
      <sheetName val="Справка 11 в"/>
      <sheetName val="Лист1"/>
      <sheetName val="10а. Спр пок  "/>
      <sheetName val="План 21-25_9"/>
      <sheetName val="ГП РФ"/>
      <sheetName val="Пр 10в ОКС"/>
      <sheetName val="План 21-25_8 (2)"/>
      <sheetName val="НОВЫЙ_МИНСТРОЙ"/>
      <sheetName val="962-ПП"/>
      <sheetName val="6_ОМ_01_2024"/>
      <sheetName val="5092197"/>
      <sheetName val="СТАРЫЙ"/>
      <sheetName val="80-ПП"/>
      <sheetName val="Пр 11б. Справка"/>
      <sheetName val="213-ПП"/>
      <sheetName val="НОВЫЙ"/>
      <sheetName val="6.ОМ"/>
      <sheetName val="Справка_Минэнерго"/>
      <sheetName val="ОМ_минэнерго"/>
      <sheetName val="План_минэн."/>
      <sheetName val="План_нов_ред.минэн."/>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ow r="515">
          <cell r="E515">
            <v>17927</v>
          </cell>
          <cell r="F515">
            <v>17927</v>
          </cell>
          <cell r="G515">
            <v>0</v>
          </cell>
          <cell r="H515">
            <v>0</v>
          </cell>
          <cell r="I515">
            <v>0</v>
          </cell>
        </row>
        <row r="516">
          <cell r="E516">
            <v>0</v>
          </cell>
          <cell r="F516">
            <v>0</v>
          </cell>
          <cell r="G516">
            <v>0</v>
          </cell>
          <cell r="H516">
            <v>0</v>
          </cell>
          <cell r="I516">
            <v>0</v>
          </cell>
        </row>
        <row r="517">
          <cell r="E517">
            <v>0</v>
          </cell>
          <cell r="F517">
            <v>0</v>
          </cell>
          <cell r="G517">
            <v>0</v>
          </cell>
          <cell r="H517">
            <v>0</v>
          </cell>
          <cell r="I517">
            <v>0</v>
          </cell>
        </row>
        <row r="518">
          <cell r="E518">
            <v>0</v>
          </cell>
          <cell r="F518">
            <v>0</v>
          </cell>
          <cell r="G518">
            <v>0</v>
          </cell>
          <cell r="H518">
            <v>0</v>
          </cell>
          <cell r="I518">
            <v>0</v>
          </cell>
        </row>
        <row r="519">
          <cell r="E519">
            <v>17927</v>
          </cell>
          <cell r="F519">
            <v>17927</v>
          </cell>
          <cell r="G519">
            <v>0</v>
          </cell>
          <cell r="H519">
            <v>0</v>
          </cell>
          <cell r="I519">
            <v>0</v>
          </cell>
        </row>
        <row r="520">
          <cell r="E520">
            <v>0</v>
          </cell>
          <cell r="F520">
            <v>0</v>
          </cell>
          <cell r="G520">
            <v>0</v>
          </cell>
          <cell r="H520">
            <v>0</v>
          </cell>
          <cell r="I520">
            <v>0</v>
          </cell>
        </row>
        <row r="521">
          <cell r="E521">
            <v>36376.927109999997</v>
          </cell>
          <cell r="F521">
            <v>36376.927109999997</v>
          </cell>
          <cell r="G521">
            <v>0</v>
          </cell>
          <cell r="H521">
            <v>0</v>
          </cell>
          <cell r="I521">
            <v>0</v>
          </cell>
        </row>
        <row r="522">
          <cell r="E522">
            <v>0</v>
          </cell>
          <cell r="F522">
            <v>0</v>
          </cell>
          <cell r="G522">
            <v>0</v>
          </cell>
          <cell r="H522">
            <v>0</v>
          </cell>
          <cell r="I522">
            <v>0</v>
          </cell>
        </row>
        <row r="523">
          <cell r="E523">
            <v>0</v>
          </cell>
          <cell r="F523">
            <v>0</v>
          </cell>
          <cell r="G523">
            <v>0</v>
          </cell>
          <cell r="H523">
            <v>0</v>
          </cell>
          <cell r="I523">
            <v>0</v>
          </cell>
        </row>
        <row r="524">
          <cell r="E524">
            <v>0</v>
          </cell>
          <cell r="F524">
            <v>0</v>
          </cell>
          <cell r="G524">
            <v>0</v>
          </cell>
          <cell r="H524">
            <v>0</v>
          </cell>
          <cell r="I524">
            <v>0</v>
          </cell>
        </row>
        <row r="525">
          <cell r="E525">
            <v>36376.927109999997</v>
          </cell>
          <cell r="F525">
            <v>36376.927109999997</v>
          </cell>
          <cell r="G525">
            <v>0</v>
          </cell>
          <cell r="H525">
            <v>0</v>
          </cell>
          <cell r="I525">
            <v>0</v>
          </cell>
        </row>
        <row r="526">
          <cell r="E526">
            <v>0</v>
          </cell>
          <cell r="F526">
            <v>0</v>
          </cell>
          <cell r="G526">
            <v>0</v>
          </cell>
          <cell r="H526">
            <v>0</v>
          </cell>
          <cell r="I526">
            <v>0</v>
          </cell>
        </row>
        <row r="761">
          <cell r="H761">
            <v>0</v>
          </cell>
          <cell r="I761">
            <v>0</v>
          </cell>
        </row>
        <row r="762">
          <cell r="E762">
            <v>0</v>
          </cell>
          <cell r="F762">
            <v>0</v>
          </cell>
          <cell r="G762">
            <v>0</v>
          </cell>
          <cell r="H762">
            <v>0</v>
          </cell>
          <cell r="I762">
            <v>0</v>
          </cell>
        </row>
        <row r="763">
          <cell r="E763">
            <v>0</v>
          </cell>
          <cell r="F763">
            <v>0</v>
          </cell>
          <cell r="G763">
            <v>0</v>
          </cell>
          <cell r="H763">
            <v>0</v>
          </cell>
          <cell r="I763">
            <v>0</v>
          </cell>
        </row>
        <row r="764">
          <cell r="H764">
            <v>0</v>
          </cell>
          <cell r="I764">
            <v>0</v>
          </cell>
        </row>
        <row r="765">
          <cell r="G765">
            <v>370108.6</v>
          </cell>
          <cell r="H765">
            <v>0</v>
          </cell>
          <cell r="I765">
            <v>0</v>
          </cell>
        </row>
        <row r="766">
          <cell r="E766">
            <v>482170</v>
          </cell>
          <cell r="G766">
            <v>0</v>
          </cell>
          <cell r="H766">
            <v>0</v>
          </cell>
          <cell r="I766">
            <v>0</v>
          </cell>
        </row>
        <row r="767">
          <cell r="G767">
            <v>550585.23</v>
          </cell>
          <cell r="H767">
            <v>0</v>
          </cell>
          <cell r="I767">
            <v>0</v>
          </cell>
        </row>
        <row r="768">
          <cell r="E768">
            <v>0</v>
          </cell>
          <cell r="F768">
            <v>0</v>
          </cell>
          <cell r="G768">
            <v>0</v>
          </cell>
          <cell r="H768">
            <v>0</v>
          </cell>
          <cell r="I768">
            <v>0</v>
          </cell>
        </row>
        <row r="769">
          <cell r="E769">
            <v>0</v>
          </cell>
          <cell r="F769">
            <v>0</v>
          </cell>
          <cell r="G769">
            <v>0</v>
          </cell>
          <cell r="H769">
            <v>0</v>
          </cell>
          <cell r="I769">
            <v>0</v>
          </cell>
        </row>
        <row r="770">
          <cell r="F770">
            <v>84525.085309999995</v>
          </cell>
          <cell r="G770">
            <v>180476.63</v>
          </cell>
          <cell r="H770">
            <v>0</v>
          </cell>
          <cell r="I770">
            <v>0</v>
          </cell>
        </row>
        <row r="771">
          <cell r="E771">
            <v>619014.97325000004</v>
          </cell>
          <cell r="F771">
            <v>248906.37325</v>
          </cell>
          <cell r="G771">
            <v>370108.6</v>
          </cell>
          <cell r="H771">
            <v>0</v>
          </cell>
          <cell r="I771">
            <v>0</v>
          </cell>
        </row>
        <row r="772">
          <cell r="E772">
            <v>0</v>
          </cell>
          <cell r="F772">
            <v>0</v>
          </cell>
          <cell r="G772">
            <v>0</v>
          </cell>
          <cell r="H772">
            <v>0</v>
          </cell>
          <cell r="I772">
            <v>0</v>
          </cell>
        </row>
        <row r="773">
          <cell r="E773">
            <v>249780</v>
          </cell>
          <cell r="F773">
            <v>184340</v>
          </cell>
          <cell r="G773">
            <v>65440</v>
          </cell>
          <cell r="H773">
            <v>0</v>
          </cell>
          <cell r="I773">
            <v>0</v>
          </cell>
        </row>
        <row r="774">
          <cell r="E774">
            <v>0</v>
          </cell>
          <cell r="F774">
            <v>0</v>
          </cell>
          <cell r="G774">
            <v>0</v>
          </cell>
          <cell r="H774">
            <v>0</v>
          </cell>
          <cell r="I774">
            <v>0</v>
          </cell>
        </row>
        <row r="775">
          <cell r="E775">
            <v>0</v>
          </cell>
          <cell r="F775">
            <v>0</v>
          </cell>
          <cell r="G775">
            <v>0</v>
          </cell>
          <cell r="H775">
            <v>0</v>
          </cell>
          <cell r="I775">
            <v>0</v>
          </cell>
        </row>
        <row r="776">
          <cell r="E776">
            <v>65440</v>
          </cell>
          <cell r="F776">
            <v>0</v>
          </cell>
          <cell r="G776">
            <v>65440</v>
          </cell>
          <cell r="H776">
            <v>0</v>
          </cell>
          <cell r="I776">
            <v>0</v>
          </cell>
        </row>
        <row r="777">
          <cell r="E777">
            <v>92170</v>
          </cell>
          <cell r="F777">
            <v>92170</v>
          </cell>
          <cell r="G777">
            <v>0</v>
          </cell>
          <cell r="H777">
            <v>0</v>
          </cell>
          <cell r="I777">
            <v>0</v>
          </cell>
        </row>
        <row r="778">
          <cell r="E778">
            <v>92170</v>
          </cell>
          <cell r="F778">
            <v>92170</v>
          </cell>
          <cell r="G778">
            <v>0</v>
          </cell>
          <cell r="H778">
            <v>0</v>
          </cell>
          <cell r="I778">
            <v>0</v>
          </cell>
        </row>
        <row r="779">
          <cell r="E779">
            <v>831403.11</v>
          </cell>
          <cell r="F779">
            <v>780000</v>
          </cell>
          <cell r="G779">
            <v>51403.11</v>
          </cell>
          <cell r="H779">
            <v>0</v>
          </cell>
          <cell r="I779">
            <v>0</v>
          </cell>
        </row>
        <row r="780">
          <cell r="E780">
            <v>0</v>
          </cell>
          <cell r="F780">
            <v>0</v>
          </cell>
          <cell r="G780">
            <v>0</v>
          </cell>
          <cell r="H780">
            <v>0</v>
          </cell>
          <cell r="I780">
            <v>0</v>
          </cell>
        </row>
        <row r="781">
          <cell r="E781">
            <v>0</v>
          </cell>
          <cell r="F781">
            <v>0</v>
          </cell>
          <cell r="G781">
            <v>0</v>
          </cell>
          <cell r="H781">
            <v>0</v>
          </cell>
          <cell r="I781">
            <v>0</v>
          </cell>
        </row>
        <row r="782">
          <cell r="E782">
            <v>51403.11</v>
          </cell>
          <cell r="F782">
            <v>0</v>
          </cell>
          <cell r="G782">
            <v>51403.11</v>
          </cell>
          <cell r="H782">
            <v>0</v>
          </cell>
          <cell r="I782">
            <v>0</v>
          </cell>
        </row>
        <row r="783">
          <cell r="E783">
            <v>390000</v>
          </cell>
          <cell r="F783">
            <v>390000</v>
          </cell>
          <cell r="G783">
            <v>0</v>
          </cell>
          <cell r="H783">
            <v>0</v>
          </cell>
          <cell r="I783">
            <v>0</v>
          </cell>
        </row>
        <row r="784">
          <cell r="E784">
            <v>390000</v>
          </cell>
          <cell r="F784">
            <v>390000</v>
          </cell>
          <cell r="G784">
            <v>0</v>
          </cell>
          <cell r="H784">
            <v>0</v>
          </cell>
          <cell r="I784">
            <v>0</v>
          </cell>
        </row>
        <row r="791">
          <cell r="E791">
            <v>138499.6</v>
          </cell>
          <cell r="F791">
            <v>137107.46900000001</v>
          </cell>
          <cell r="G791">
            <v>0</v>
          </cell>
          <cell r="H791">
            <v>1392.1310000000001</v>
          </cell>
          <cell r="I791">
            <v>0</v>
          </cell>
        </row>
        <row r="792">
          <cell r="E792">
            <v>0</v>
          </cell>
          <cell r="F792">
            <v>0</v>
          </cell>
          <cell r="G792">
            <v>0</v>
          </cell>
          <cell r="H792">
            <v>0</v>
          </cell>
          <cell r="I792">
            <v>0</v>
          </cell>
        </row>
        <row r="793">
          <cell r="E793">
            <v>0</v>
          </cell>
          <cell r="F793">
            <v>0</v>
          </cell>
          <cell r="G793">
            <v>0</v>
          </cell>
          <cell r="H793">
            <v>0</v>
          </cell>
          <cell r="I793">
            <v>0</v>
          </cell>
        </row>
        <row r="794">
          <cell r="E794">
            <v>20666.5</v>
          </cell>
          <cell r="F794">
            <v>20452.7</v>
          </cell>
          <cell r="G794">
            <v>0</v>
          </cell>
          <cell r="H794">
            <v>213.8</v>
          </cell>
          <cell r="I794">
            <v>0</v>
          </cell>
        </row>
        <row r="795">
          <cell r="E795">
            <v>59324.6</v>
          </cell>
          <cell r="F795">
            <v>58731.353999999999</v>
          </cell>
          <cell r="G795">
            <v>0</v>
          </cell>
          <cell r="H795">
            <v>593.24599999999998</v>
          </cell>
          <cell r="I795">
            <v>0</v>
          </cell>
        </row>
        <row r="796">
          <cell r="E796">
            <v>58508.5</v>
          </cell>
          <cell r="F796">
            <v>57923.415000000001</v>
          </cell>
          <cell r="G796">
            <v>0</v>
          </cell>
          <cell r="H796">
            <v>585.08500000000004</v>
          </cell>
          <cell r="I796">
            <v>0</v>
          </cell>
        </row>
      </sheetData>
      <sheetData sheetId="17" refreshError="1"/>
      <sheetData sheetId="18" refreshError="1"/>
      <sheetData sheetId="19" refreshError="1"/>
      <sheetData sheetId="20" refreshError="1"/>
      <sheetData sheetId="21" refreshError="1"/>
      <sheetData sheetId="22" refreshError="1"/>
      <sheetData sheetId="23" refreshError="1"/>
      <sheetData sheetId="24"/>
      <sheetData sheetId="25" refreshError="1"/>
      <sheetData sheetId="26" refreshError="1"/>
      <sheetData sheetId="27" refreshError="1"/>
      <sheetData sheetId="28" refreshError="1"/>
      <sheetData sheetId="29"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2А"/>
      <sheetName val="12Б_2024_6 мес (2)"/>
      <sheetName val="334-ПП"/>
      <sheetName val="Документ"/>
      <sheetName val="НП"/>
      <sheetName val="2024"/>
    </sheetNames>
    <sheetDataSet>
      <sheetData sheetId="0" refreshError="1">
        <row r="231">
          <cell r="F231">
            <v>92170</v>
          </cell>
        </row>
        <row r="246">
          <cell r="D246">
            <v>58731.353999999999</v>
          </cell>
          <cell r="E246">
            <v>58731.353999999999</v>
          </cell>
          <cell r="F246">
            <v>58731.353999999999</v>
          </cell>
        </row>
        <row r="251">
          <cell r="D251">
            <v>20820.099999999999</v>
          </cell>
          <cell r="E251">
            <v>20820.096000000001</v>
          </cell>
          <cell r="F251">
            <v>20820.096000000001</v>
          </cell>
        </row>
        <row r="253">
          <cell r="D253">
            <v>210.3</v>
          </cell>
          <cell r="E253">
            <v>210.309</v>
          </cell>
        </row>
      </sheetData>
      <sheetData sheetId="1" refreshError="1"/>
      <sheetData sheetId="2" refreshError="1"/>
      <sheetData sheetId="3" refreshError="1"/>
      <sheetData sheetId="4" refreshError="1"/>
      <sheetData sheetId="5"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2А"/>
      <sheetName val="12Б_2024_6 мес (2)"/>
      <sheetName val="МИНСТРОЙ"/>
      <sheetName val="Документ"/>
      <sheetName val="2024"/>
      <sheetName val="912-ПП"/>
      <sheetName val="12А_2024"/>
      <sheetName val="334-ПП"/>
      <sheetName val="12Б_2024"/>
      <sheetName val="12В"/>
      <sheetName val="12Г"/>
      <sheetName val="12Д"/>
    </sheetNames>
    <sheetDataSet>
      <sheetData sheetId="0"/>
      <sheetData sheetId="1"/>
      <sheetData sheetId="2">
        <row r="192">
          <cell r="E192">
            <v>3020.4</v>
          </cell>
          <cell r="F192">
            <v>3020.4</v>
          </cell>
        </row>
        <row r="194">
          <cell r="E194">
            <v>158.96842000000001</v>
          </cell>
        </row>
        <row r="237">
          <cell r="E237">
            <v>250507.07834000001</v>
          </cell>
          <cell r="F237">
            <v>93473.105070000005</v>
          </cell>
        </row>
        <row r="238">
          <cell r="E238">
            <v>370108.6</v>
          </cell>
          <cell r="F238">
            <v>228847.82321999999</v>
          </cell>
        </row>
        <row r="239">
          <cell r="E239">
            <v>0</v>
          </cell>
          <cell r="F239">
            <v>0</v>
          </cell>
        </row>
        <row r="240">
          <cell r="E240">
            <v>0</v>
          </cell>
          <cell r="F240">
            <v>0</v>
          </cell>
        </row>
        <row r="247">
          <cell r="E247">
            <v>75364.2</v>
          </cell>
          <cell r="F247">
            <v>75364.2</v>
          </cell>
        </row>
        <row r="248">
          <cell r="E248">
            <v>184512.3</v>
          </cell>
          <cell r="F248">
            <v>184512.3</v>
          </cell>
        </row>
        <row r="249">
          <cell r="E249">
            <v>0</v>
          </cell>
          <cell r="F249">
            <v>0</v>
          </cell>
        </row>
        <row r="250">
          <cell r="E250">
            <v>0</v>
          </cell>
          <cell r="F250">
            <v>0</v>
          </cell>
        </row>
        <row r="277">
          <cell r="E277">
            <v>203535.6</v>
          </cell>
          <cell r="F277">
            <v>117002.59418</v>
          </cell>
        </row>
        <row r="278">
          <cell r="E278">
            <v>0</v>
          </cell>
          <cell r="F278">
            <v>0</v>
          </cell>
        </row>
        <row r="279">
          <cell r="E279">
            <v>10712.5</v>
          </cell>
          <cell r="F279">
            <v>23094.359789999999</v>
          </cell>
        </row>
        <row r="280">
          <cell r="E280">
            <v>0</v>
          </cell>
          <cell r="F280">
            <v>0</v>
          </cell>
        </row>
      </sheetData>
      <sheetData sheetId="3">
        <row r="134">
          <cell r="R134">
            <v>6246.6470600000002</v>
          </cell>
        </row>
        <row r="135">
          <cell r="R135">
            <v>6122.4911400000001</v>
          </cell>
        </row>
        <row r="170">
          <cell r="R170">
            <v>41400</v>
          </cell>
        </row>
        <row r="172">
          <cell r="R172">
            <v>6400</v>
          </cell>
        </row>
      </sheetData>
      <sheetData sheetId="4">
        <row r="22">
          <cell r="H22">
            <v>82011.626999999993</v>
          </cell>
        </row>
        <row r="23">
          <cell r="H23">
            <v>55000</v>
          </cell>
        </row>
        <row r="25">
          <cell r="I25">
            <v>159314.783</v>
          </cell>
        </row>
        <row r="26">
          <cell r="H26">
            <v>20000</v>
          </cell>
        </row>
        <row r="29">
          <cell r="H29">
            <v>9000</v>
          </cell>
          <cell r="I29">
            <v>1638.54</v>
          </cell>
        </row>
        <row r="35">
          <cell r="H35">
            <v>111489.356</v>
          </cell>
        </row>
        <row r="50">
          <cell r="H50">
            <v>7999.1711999999998</v>
          </cell>
        </row>
        <row r="51">
          <cell r="H51">
            <v>8000</v>
          </cell>
        </row>
        <row r="54">
          <cell r="H54">
            <v>1495.905</v>
          </cell>
        </row>
        <row r="56">
          <cell r="G56">
            <v>73600</v>
          </cell>
        </row>
        <row r="57">
          <cell r="H57">
            <v>32.389000000000003</v>
          </cell>
        </row>
        <row r="69">
          <cell r="H69">
            <v>1148547.0989999999</v>
          </cell>
        </row>
        <row r="71">
          <cell r="H71">
            <v>35830.991009999998</v>
          </cell>
        </row>
        <row r="81">
          <cell r="H81">
            <v>118.58896</v>
          </cell>
        </row>
        <row r="84">
          <cell r="H84">
            <v>80000</v>
          </cell>
        </row>
        <row r="85">
          <cell r="H85">
            <v>557.97199999999998</v>
          </cell>
        </row>
        <row r="86">
          <cell r="H86">
            <v>6797.4828799999996</v>
          </cell>
        </row>
        <row r="104">
          <cell r="H104">
            <v>4568.3586400000004</v>
          </cell>
        </row>
        <row r="105">
          <cell r="H105">
            <v>291.59735999999998</v>
          </cell>
        </row>
        <row r="107">
          <cell r="H107">
            <v>3494.3</v>
          </cell>
        </row>
        <row r="108">
          <cell r="H108">
            <v>1427.2492999999999</v>
          </cell>
        </row>
        <row r="110">
          <cell r="H110">
            <v>6000</v>
          </cell>
        </row>
        <row r="112">
          <cell r="H112">
            <v>4801.7297799999997</v>
          </cell>
        </row>
        <row r="114">
          <cell r="H114">
            <v>4312.5</v>
          </cell>
        </row>
        <row r="116">
          <cell r="H116">
            <v>70190</v>
          </cell>
        </row>
        <row r="117">
          <cell r="H117">
            <v>28669.154930000001</v>
          </cell>
        </row>
        <row r="118">
          <cell r="H118">
            <v>55579.932139999997</v>
          </cell>
        </row>
      </sheetData>
      <sheetData sheetId="5">
        <row r="72">
          <cell r="F72">
            <v>82011.627000000008</v>
          </cell>
        </row>
        <row r="86">
          <cell r="E86">
            <v>55000</v>
          </cell>
        </row>
        <row r="93">
          <cell r="F93">
            <v>2274.0250000000001</v>
          </cell>
        </row>
        <row r="100">
          <cell r="F100">
            <v>160494.09357999999</v>
          </cell>
        </row>
        <row r="107">
          <cell r="F107">
            <v>20000</v>
          </cell>
        </row>
        <row r="127">
          <cell r="F127">
            <v>21000</v>
          </cell>
        </row>
        <row r="148">
          <cell r="F148">
            <v>9000</v>
          </cell>
          <cell r="H148">
            <v>1638.5408</v>
          </cell>
        </row>
        <row r="155">
          <cell r="F155">
            <v>120000</v>
          </cell>
          <cell r="H155">
            <v>43608.421999999999</v>
          </cell>
        </row>
        <row r="162">
          <cell r="F162">
            <v>10990</v>
          </cell>
        </row>
        <row r="190">
          <cell r="F190">
            <v>7999.1719999999996</v>
          </cell>
        </row>
        <row r="197">
          <cell r="F197">
            <v>8000</v>
          </cell>
        </row>
        <row r="225">
          <cell r="F225">
            <v>2106.6577000000002</v>
          </cell>
        </row>
        <row r="232">
          <cell r="F232">
            <v>73599.972000000009</v>
          </cell>
        </row>
        <row r="239">
          <cell r="F239">
            <v>44.82</v>
          </cell>
        </row>
        <row r="246">
          <cell r="F246">
            <v>1148547.0990199998</v>
          </cell>
        </row>
        <row r="274">
          <cell r="F274">
            <v>118.58799999999999</v>
          </cell>
        </row>
        <row r="295">
          <cell r="F295">
            <v>7144.6274999999996</v>
          </cell>
        </row>
        <row r="323">
          <cell r="F323">
            <v>35831</v>
          </cell>
        </row>
        <row r="365">
          <cell r="F365">
            <v>795.71800000000007</v>
          </cell>
        </row>
        <row r="372">
          <cell r="F372">
            <v>80000</v>
          </cell>
        </row>
        <row r="386">
          <cell r="F386">
            <v>6400</v>
          </cell>
          <cell r="H386">
            <v>4266.6666699999996</v>
          </cell>
        </row>
        <row r="393">
          <cell r="F393">
            <v>41400</v>
          </cell>
          <cell r="H393">
            <v>16589.52333</v>
          </cell>
        </row>
        <row r="406">
          <cell r="F406">
            <v>291.59756999999996</v>
          </cell>
          <cell r="G406">
            <v>4568.3586400000004</v>
          </cell>
        </row>
        <row r="412">
          <cell r="F412">
            <v>1427.2492999999999</v>
          </cell>
          <cell r="G412">
            <v>3494.3</v>
          </cell>
        </row>
        <row r="580">
          <cell r="F580">
            <v>3020.4</v>
          </cell>
          <cell r="H580">
            <v>158.96842105263158</v>
          </cell>
          <cell r="I580">
            <v>11000</v>
          </cell>
        </row>
        <row r="601">
          <cell r="F601">
            <v>6000</v>
          </cell>
        </row>
        <row r="608">
          <cell r="F608">
            <v>4801.7</v>
          </cell>
        </row>
        <row r="713">
          <cell r="F713">
            <v>1124.569</v>
          </cell>
        </row>
        <row r="839">
          <cell r="G839">
            <v>0</v>
          </cell>
          <cell r="H839">
            <v>0</v>
          </cell>
          <cell r="I839">
            <v>0</v>
          </cell>
        </row>
        <row r="853">
          <cell r="F853">
            <v>29440.567459999998</v>
          </cell>
          <cell r="G853">
            <v>70190</v>
          </cell>
        </row>
        <row r="867">
          <cell r="F867">
            <v>265813.04846999998</v>
          </cell>
          <cell r="G867">
            <v>370108.6</v>
          </cell>
        </row>
        <row r="874">
          <cell r="F874">
            <v>92170</v>
          </cell>
        </row>
        <row r="881">
          <cell r="F881">
            <v>75364.2</v>
          </cell>
          <cell r="G881">
            <v>184512.3</v>
          </cell>
        </row>
      </sheetData>
      <sheetData sheetId="6"/>
      <sheetData sheetId="7"/>
      <sheetData sheetId="8"/>
      <sheetData sheetId="9"/>
      <sheetData sheetId="10"/>
      <sheetData sheetId="1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outlinePr summaryBelow="0"/>
    <pageSetUpPr fitToPage="1"/>
  </sheetPr>
  <dimension ref="A1:M1616"/>
  <sheetViews>
    <sheetView zoomScale="72" zoomScaleNormal="72" zoomScaleSheetLayoutView="85" workbookViewId="0">
      <pane xSplit="2" ySplit="4" topLeftCell="C5" activePane="bottomRight" state="frozen"/>
      <selection pane="topRight" activeCell="C1" sqref="C1"/>
      <selection pane="bottomLeft" activeCell="A4" sqref="A4"/>
      <selection pane="bottomRight" activeCell="E95" sqref="E95"/>
    </sheetView>
  </sheetViews>
  <sheetFormatPr defaultColWidth="9.140625" defaultRowHeight="15.75"/>
  <cols>
    <col min="1" max="1" width="11.85546875" style="1" customWidth="1"/>
    <col min="2" max="2" width="67.5703125" style="8" customWidth="1"/>
    <col min="3" max="3" width="7.85546875" style="5" customWidth="1"/>
    <col min="4" max="4" width="14.28515625" style="13" customWidth="1"/>
    <col min="5" max="5" width="14.42578125" style="24" customWidth="1"/>
    <col min="6" max="6" width="14.42578125" style="9" customWidth="1"/>
    <col min="7" max="7" width="12.85546875" style="5" customWidth="1"/>
    <col min="8" max="8" width="54.140625" style="16" customWidth="1"/>
    <col min="9" max="9" width="84.85546875" style="69" customWidth="1"/>
    <col min="10" max="10" width="23.140625" style="70" customWidth="1"/>
    <col min="11" max="11" width="42.28515625" style="71" customWidth="1"/>
    <col min="12" max="12" width="40" style="71" customWidth="1"/>
    <col min="13" max="13" width="9.140625" style="5"/>
    <col min="14" max="16384" width="9.140625" style="2"/>
  </cols>
  <sheetData>
    <row r="1" spans="1:13">
      <c r="D1" s="73"/>
      <c r="E1" s="74"/>
    </row>
    <row r="2" spans="1:13" ht="15">
      <c r="A2" s="795" t="s">
        <v>597</v>
      </c>
      <c r="B2" s="795"/>
      <c r="C2" s="795"/>
      <c r="D2" s="795"/>
      <c r="E2" s="795"/>
      <c r="F2" s="795"/>
      <c r="G2" s="795"/>
      <c r="H2" s="795"/>
      <c r="I2" s="795"/>
      <c r="J2" s="795"/>
      <c r="K2" s="795"/>
      <c r="L2" s="795"/>
      <c r="M2" s="795"/>
    </row>
    <row r="3" spans="1:13" ht="27.75" customHeight="1">
      <c r="A3" s="710" t="s">
        <v>0</v>
      </c>
      <c r="B3" s="816" t="s">
        <v>24</v>
      </c>
      <c r="C3" s="818" t="s">
        <v>1</v>
      </c>
      <c r="D3" s="818"/>
      <c r="E3" s="818"/>
      <c r="F3" s="818"/>
      <c r="G3" s="818"/>
      <c r="H3" s="819" t="s">
        <v>25</v>
      </c>
      <c r="I3" s="820"/>
      <c r="J3" s="821"/>
      <c r="K3" s="709" t="s">
        <v>2</v>
      </c>
      <c r="L3" s="814" t="s">
        <v>223</v>
      </c>
      <c r="M3" s="811" t="s">
        <v>32</v>
      </c>
    </row>
    <row r="4" spans="1:13" ht="31.5">
      <c r="A4" s="711"/>
      <c r="B4" s="817"/>
      <c r="C4" s="6" t="s">
        <v>26</v>
      </c>
      <c r="D4" s="7" t="s">
        <v>27</v>
      </c>
      <c r="E4" s="7" t="s">
        <v>33</v>
      </c>
      <c r="F4" s="11" t="s">
        <v>28</v>
      </c>
      <c r="G4" s="4" t="s">
        <v>34</v>
      </c>
      <c r="H4" s="15" t="s">
        <v>29</v>
      </c>
      <c r="I4" s="17" t="s">
        <v>30</v>
      </c>
      <c r="J4" s="17" t="s">
        <v>31</v>
      </c>
      <c r="K4" s="674"/>
      <c r="L4" s="815"/>
      <c r="M4" s="812"/>
    </row>
    <row r="5" spans="1:13">
      <c r="A5" s="805"/>
      <c r="B5" s="808" t="s">
        <v>228</v>
      </c>
      <c r="C5" s="75" t="s">
        <v>3</v>
      </c>
      <c r="D5" s="28">
        <f>SUM(D6:D9)</f>
        <v>3598261.0766699994</v>
      </c>
      <c r="E5" s="28" t="e">
        <f>SUM(E6:E9)</f>
        <v>#REF!</v>
      </c>
      <c r="F5" s="28" t="e">
        <f>SUM(F6:F9)</f>
        <v>#REF!</v>
      </c>
      <c r="G5" s="76">
        <f t="shared" ref="G5:G9" si="0">IFERROR(F5/D5,0)</f>
        <v>0</v>
      </c>
      <c r="H5" s="775"/>
      <c r="I5" s="91" t="s">
        <v>45</v>
      </c>
      <c r="J5" s="92">
        <f>SUM(J10,J15)</f>
        <v>37</v>
      </c>
      <c r="K5" s="802" t="s">
        <v>104</v>
      </c>
      <c r="L5" s="804"/>
      <c r="M5" s="705">
        <v>823</v>
      </c>
    </row>
    <row r="6" spans="1:13">
      <c r="A6" s="806"/>
      <c r="B6" s="809"/>
      <c r="C6" s="75" t="s">
        <v>4</v>
      </c>
      <c r="D6" s="28">
        <f t="shared" ref="D6:E8" si="1">SUM(D21,D91,D176,D271)</f>
        <v>3064383.5778699997</v>
      </c>
      <c r="E6" s="28" t="e">
        <f>SUM(E21,E91,E176,E271)</f>
        <v>#REF!</v>
      </c>
      <c r="F6" s="28" t="e">
        <f>E6</f>
        <v>#REF!</v>
      </c>
      <c r="G6" s="76">
        <f t="shared" si="0"/>
        <v>0</v>
      </c>
      <c r="H6" s="776"/>
      <c r="I6" s="91" t="s">
        <v>46</v>
      </c>
      <c r="J6" s="92">
        <f>SUM(J11,J16)</f>
        <v>6</v>
      </c>
      <c r="K6" s="803"/>
      <c r="L6" s="804"/>
      <c r="M6" s="706"/>
    </row>
    <row r="7" spans="1:13">
      <c r="A7" s="806"/>
      <c r="B7" s="809"/>
      <c r="C7" s="75" t="s">
        <v>5</v>
      </c>
      <c r="D7" s="28">
        <f t="shared" si="1"/>
        <v>456258.39999999997</v>
      </c>
      <c r="E7" s="28" t="e">
        <f>SUM(E22,E92,E177,E272)</f>
        <v>#REF!</v>
      </c>
      <c r="F7" s="28" t="e">
        <f>E7</f>
        <v>#REF!</v>
      </c>
      <c r="G7" s="76">
        <f t="shared" si="0"/>
        <v>0</v>
      </c>
      <c r="H7" s="776"/>
      <c r="I7" s="91" t="s">
        <v>47</v>
      </c>
      <c r="J7" s="92">
        <f t="shared" ref="J7:J8" si="2">SUM(J12,J17)</f>
        <v>17</v>
      </c>
      <c r="K7" s="803"/>
      <c r="L7" s="804"/>
      <c r="M7" s="706"/>
    </row>
    <row r="8" spans="1:13">
      <c r="A8" s="806"/>
      <c r="B8" s="809"/>
      <c r="C8" s="75" t="s">
        <v>6</v>
      </c>
      <c r="D8" s="26">
        <f t="shared" si="1"/>
        <v>77619.098799999992</v>
      </c>
      <c r="E8" s="26">
        <f t="shared" si="1"/>
        <v>38292.710140000003</v>
      </c>
      <c r="F8" s="26">
        <f>E8</f>
        <v>38292.710140000003</v>
      </c>
      <c r="G8" s="76">
        <f t="shared" si="0"/>
        <v>0.4933413390777478</v>
      </c>
      <c r="H8" s="776"/>
      <c r="I8" s="91" t="s">
        <v>48</v>
      </c>
      <c r="J8" s="92">
        <f t="shared" si="2"/>
        <v>14</v>
      </c>
      <c r="K8" s="803"/>
      <c r="L8" s="804"/>
      <c r="M8" s="706"/>
    </row>
    <row r="9" spans="1:13">
      <c r="A9" s="807"/>
      <c r="B9" s="810"/>
      <c r="C9" s="75" t="s">
        <v>7</v>
      </c>
      <c r="D9" s="26">
        <f>SUM(D24,D94,D179,D274)</f>
        <v>0</v>
      </c>
      <c r="E9" s="26">
        <v>0</v>
      </c>
      <c r="F9" s="26">
        <v>0</v>
      </c>
      <c r="G9" s="76">
        <f t="shared" si="0"/>
        <v>0</v>
      </c>
      <c r="H9" s="777"/>
      <c r="I9" s="91" t="s">
        <v>49</v>
      </c>
      <c r="J9" s="94">
        <f>(J6+0.5*J7)/J5</f>
        <v>0.39189189189189189</v>
      </c>
      <c r="K9" s="813"/>
      <c r="L9" s="804"/>
      <c r="M9" s="707"/>
    </row>
    <row r="10" spans="1:13">
      <c r="A10" s="805"/>
      <c r="B10" s="808" t="s">
        <v>63</v>
      </c>
      <c r="C10" s="75" t="s">
        <v>3</v>
      </c>
      <c r="D10" s="25">
        <f>SUM(D11:D14)</f>
        <v>2388485.8806299991</v>
      </c>
      <c r="E10" s="89" t="e">
        <f>SUM(E11:E14)</f>
        <v>#REF!</v>
      </c>
      <c r="F10" s="89" t="e">
        <f>SUM(F11:F14)</f>
        <v>#REF!</v>
      </c>
      <c r="G10" s="76">
        <f t="shared" ref="G10:G11" si="3">IFERROR(F10/D10,0)</f>
        <v>0</v>
      </c>
      <c r="H10" s="775"/>
      <c r="I10" s="91" t="s">
        <v>45</v>
      </c>
      <c r="J10" s="95">
        <f>SUM(J11:J13)</f>
        <v>29</v>
      </c>
      <c r="K10" s="802" t="s">
        <v>89</v>
      </c>
      <c r="L10" s="804"/>
      <c r="M10" s="705">
        <v>823</v>
      </c>
    </row>
    <row r="11" spans="1:13">
      <c r="A11" s="806"/>
      <c r="B11" s="809"/>
      <c r="C11" s="75" t="s">
        <v>4</v>
      </c>
      <c r="D11" s="26">
        <f t="shared" ref="D11:E13" si="4">SUM(D21,D91,D201,D206,D236,D261,D271)</f>
        <v>2314232.9278299995</v>
      </c>
      <c r="E11" s="28" t="e">
        <f t="shared" si="4"/>
        <v>#REF!</v>
      </c>
      <c r="F11" s="28" t="e">
        <f>E11</f>
        <v>#REF!</v>
      </c>
      <c r="G11" s="76">
        <f t="shared" si="3"/>
        <v>0</v>
      </c>
      <c r="H11" s="776"/>
      <c r="I11" s="91" t="s">
        <v>46</v>
      </c>
      <c r="J11" s="95">
        <v>3</v>
      </c>
      <c r="K11" s="803"/>
      <c r="L11" s="804"/>
      <c r="M11" s="706"/>
    </row>
    <row r="12" spans="1:13">
      <c r="A12" s="806"/>
      <c r="B12" s="809"/>
      <c r="C12" s="75" t="s">
        <v>5</v>
      </c>
      <c r="D12" s="26">
        <f t="shared" si="4"/>
        <v>8149.8</v>
      </c>
      <c r="E12" s="28" t="e">
        <f t="shared" si="4"/>
        <v>#REF!</v>
      </c>
      <c r="F12" s="28" t="e">
        <f>E12</f>
        <v>#REF!</v>
      </c>
      <c r="G12" s="76">
        <f>IFERROR(F12/D12,0)</f>
        <v>0</v>
      </c>
      <c r="H12" s="776"/>
      <c r="I12" s="91" t="s">
        <v>47</v>
      </c>
      <c r="J12" s="95">
        <f>COUNTIFS($M$20:$M$284,823,$J$20:$J$284,"Частично")</f>
        <v>16</v>
      </c>
      <c r="K12" s="803"/>
      <c r="L12" s="804"/>
      <c r="M12" s="706"/>
    </row>
    <row r="13" spans="1:13">
      <c r="A13" s="806"/>
      <c r="B13" s="809"/>
      <c r="C13" s="75" t="s">
        <v>6</v>
      </c>
      <c r="D13" s="26">
        <f t="shared" si="4"/>
        <v>66103.152799999996</v>
      </c>
      <c r="E13" s="28">
        <f t="shared" si="4"/>
        <v>0</v>
      </c>
      <c r="F13" s="28">
        <f>E13</f>
        <v>0</v>
      </c>
      <c r="G13" s="76">
        <f t="shared" ref="G13:G76" si="5">IFERROR(F13/D13,0)</f>
        <v>0</v>
      </c>
      <c r="H13" s="776"/>
      <c r="I13" s="91" t="s">
        <v>48</v>
      </c>
      <c r="J13" s="95">
        <f>COUNTIFS($M$20:$M$284,823,$J$20:$J$284,"Нет")</f>
        <v>10</v>
      </c>
      <c r="K13" s="803"/>
      <c r="L13" s="804"/>
      <c r="M13" s="706"/>
    </row>
    <row r="14" spans="1:13">
      <c r="A14" s="807"/>
      <c r="B14" s="810"/>
      <c r="C14" s="75" t="s">
        <v>7</v>
      </c>
      <c r="D14" s="26">
        <v>0</v>
      </c>
      <c r="E14" s="28">
        <v>0</v>
      </c>
      <c r="F14" s="28">
        <v>0</v>
      </c>
      <c r="G14" s="76">
        <f t="shared" si="5"/>
        <v>0</v>
      </c>
      <c r="H14" s="777"/>
      <c r="I14" s="91" t="s">
        <v>49</v>
      </c>
      <c r="J14" s="93">
        <f>(J11+0.5*J12)/J10</f>
        <v>0.37931034482758619</v>
      </c>
      <c r="K14" s="803"/>
      <c r="L14" s="804"/>
      <c r="M14" s="707"/>
    </row>
    <row r="15" spans="1:13">
      <c r="A15" s="796"/>
      <c r="B15" s="799" t="s">
        <v>57</v>
      </c>
      <c r="C15" s="83" t="s">
        <v>3</v>
      </c>
      <c r="D15" s="89">
        <f>SUM(D16:D19)</f>
        <v>961565.14847000001</v>
      </c>
      <c r="E15" s="89">
        <f>SUM(E16:E19)</f>
        <v>414989.99319000001</v>
      </c>
      <c r="F15" s="89">
        <f>SUM(F16:F19)</f>
        <v>414989.99319000001</v>
      </c>
      <c r="G15" s="90">
        <f t="shared" si="5"/>
        <v>0.43157761473605166</v>
      </c>
      <c r="H15" s="775"/>
      <c r="I15" s="91" t="s">
        <v>45</v>
      </c>
      <c r="J15" s="92">
        <f>SUM(J16:J18)</f>
        <v>8</v>
      </c>
      <c r="K15" s="802" t="str">
        <f>'[1]Пр ГП 19-20'!$K$11</f>
        <v>Министерство строительства МО</v>
      </c>
      <c r="L15" s="804"/>
      <c r="M15" s="705">
        <v>823</v>
      </c>
    </row>
    <row r="16" spans="1:13">
      <c r="A16" s="797"/>
      <c r="B16" s="800"/>
      <c r="C16" s="83" t="s">
        <v>4</v>
      </c>
      <c r="D16" s="27">
        <f t="shared" ref="D16:E18" si="6">SUM(D226,D231,D266)</f>
        <v>580744.14847000001</v>
      </c>
      <c r="E16" s="27">
        <f t="shared" si="6"/>
        <v>309656.28305000003</v>
      </c>
      <c r="F16" s="27">
        <f>E16</f>
        <v>309656.28305000003</v>
      </c>
      <c r="G16" s="90">
        <f t="shared" si="5"/>
        <v>0.53320603206387052</v>
      </c>
      <c r="H16" s="776"/>
      <c r="I16" s="91" t="s">
        <v>46</v>
      </c>
      <c r="J16" s="92">
        <f>COUNTIFS($M$20:$M$284,807,$J$20:$J$284,"Да")</f>
        <v>3</v>
      </c>
      <c r="K16" s="803"/>
      <c r="L16" s="804"/>
      <c r="M16" s="706"/>
    </row>
    <row r="17" spans="1:13">
      <c r="A17" s="797"/>
      <c r="B17" s="800"/>
      <c r="C17" s="83" t="s">
        <v>5</v>
      </c>
      <c r="D17" s="27">
        <f t="shared" si="6"/>
        <v>370108.6</v>
      </c>
      <c r="E17" s="27">
        <f t="shared" si="6"/>
        <v>67844.5</v>
      </c>
      <c r="F17" s="27">
        <f>E17</f>
        <v>67844.5</v>
      </c>
      <c r="G17" s="90">
        <f t="shared" si="5"/>
        <v>0.18330970963657695</v>
      </c>
      <c r="H17" s="776"/>
      <c r="I17" s="91" t="s">
        <v>47</v>
      </c>
      <c r="J17" s="92">
        <f>COUNTIFS($M$20:$M$284,807,$J$20:$J$284,"Частично")</f>
        <v>1</v>
      </c>
      <c r="K17" s="803"/>
      <c r="L17" s="804"/>
      <c r="M17" s="706"/>
    </row>
    <row r="18" spans="1:13">
      <c r="A18" s="797"/>
      <c r="B18" s="800"/>
      <c r="C18" s="83" t="s">
        <v>6</v>
      </c>
      <c r="D18" s="27">
        <f t="shared" si="6"/>
        <v>10712.4</v>
      </c>
      <c r="E18" s="27">
        <f t="shared" si="6"/>
        <v>37489.210140000003</v>
      </c>
      <c r="F18" s="27">
        <f>E18</f>
        <v>37489.210140000003</v>
      </c>
      <c r="G18" s="90">
        <f t="shared" si="5"/>
        <v>3.4996088775624514</v>
      </c>
      <c r="H18" s="776"/>
      <c r="I18" s="91" t="s">
        <v>48</v>
      </c>
      <c r="J18" s="92">
        <f>COUNTIFS($M$20:$M$284,807,$J$20:$J$284,"Нет")</f>
        <v>4</v>
      </c>
      <c r="K18" s="803"/>
      <c r="L18" s="804"/>
      <c r="M18" s="706"/>
    </row>
    <row r="19" spans="1:13">
      <c r="A19" s="798"/>
      <c r="B19" s="801"/>
      <c r="C19" s="83" t="s">
        <v>7</v>
      </c>
      <c r="D19" s="27">
        <v>0</v>
      </c>
      <c r="E19" s="27">
        <v>0</v>
      </c>
      <c r="F19" s="27">
        <f>E19</f>
        <v>0</v>
      </c>
      <c r="G19" s="90">
        <f t="shared" si="5"/>
        <v>0</v>
      </c>
      <c r="H19" s="777"/>
      <c r="I19" s="91" t="s">
        <v>49</v>
      </c>
      <c r="J19" s="93">
        <f>(J16+0.5*J17)/J15</f>
        <v>0.4375</v>
      </c>
      <c r="K19" s="803"/>
      <c r="L19" s="804"/>
      <c r="M19" s="707"/>
    </row>
    <row r="20" spans="1:13">
      <c r="A20" s="828" t="s">
        <v>8</v>
      </c>
      <c r="B20" s="831" t="s">
        <v>110</v>
      </c>
      <c r="C20" s="42" t="s">
        <v>3</v>
      </c>
      <c r="D20" s="43">
        <f>SUM(D21:D24)</f>
        <v>495941.05637999997</v>
      </c>
      <c r="E20" s="43" t="e">
        <f>SUM(E21:E24)</f>
        <v>#REF!</v>
      </c>
      <c r="F20" s="43" t="e">
        <f>SUM(F21:F24)</f>
        <v>#REF!</v>
      </c>
      <c r="G20" s="63">
        <f t="shared" si="5"/>
        <v>0</v>
      </c>
      <c r="H20" s="826"/>
      <c r="I20" s="65" t="s">
        <v>45</v>
      </c>
      <c r="J20" s="66">
        <f>SUM(J25,J75)</f>
        <v>11</v>
      </c>
      <c r="K20" s="824" t="s">
        <v>128</v>
      </c>
      <c r="L20" s="824"/>
      <c r="M20" s="822">
        <v>823</v>
      </c>
    </row>
    <row r="21" spans="1:13">
      <c r="A21" s="829"/>
      <c r="B21" s="832"/>
      <c r="C21" s="42" t="s">
        <v>4</v>
      </c>
      <c r="D21" s="64">
        <f>'334-ПП'!F30</f>
        <v>450694.09357999999</v>
      </c>
      <c r="E21" s="64" t="e">
        <f>SUM(E26,E76)</f>
        <v>#REF!</v>
      </c>
      <c r="F21" s="64" t="e">
        <f>E21</f>
        <v>#REF!</v>
      </c>
      <c r="G21" s="63">
        <f t="shared" si="5"/>
        <v>0</v>
      </c>
      <c r="H21" s="827"/>
      <c r="I21" s="65" t="s">
        <v>46</v>
      </c>
      <c r="J21" s="66">
        <f>SUM(J26,J76)</f>
        <v>0</v>
      </c>
      <c r="K21" s="825"/>
      <c r="L21" s="825"/>
      <c r="M21" s="823"/>
    </row>
    <row r="22" spans="1:13">
      <c r="A22" s="829"/>
      <c r="B22" s="832"/>
      <c r="C22" s="42" t="s">
        <v>5</v>
      </c>
      <c r="D22" s="64">
        <v>0</v>
      </c>
      <c r="E22" s="64">
        <f t="shared" ref="E22:E23" si="7">SUM(E27,E77)</f>
        <v>0</v>
      </c>
      <c r="F22" s="64">
        <f>E22</f>
        <v>0</v>
      </c>
      <c r="G22" s="63">
        <f t="shared" si="5"/>
        <v>0</v>
      </c>
      <c r="H22" s="827"/>
      <c r="I22" s="65" t="s">
        <v>47</v>
      </c>
      <c r="J22" s="66">
        <f>SUM(J27,J77)</f>
        <v>9</v>
      </c>
      <c r="K22" s="825"/>
      <c r="L22" s="825"/>
      <c r="M22" s="823"/>
    </row>
    <row r="23" spans="1:13">
      <c r="A23" s="829"/>
      <c r="B23" s="832"/>
      <c r="C23" s="42" t="s">
        <v>6</v>
      </c>
      <c r="D23" s="64">
        <f>'334-ПП'!H30</f>
        <v>45246.962800000001</v>
      </c>
      <c r="E23" s="64">
        <f t="shared" si="7"/>
        <v>0</v>
      </c>
      <c r="F23" s="64">
        <v>0</v>
      </c>
      <c r="G23" s="63">
        <f t="shared" si="5"/>
        <v>0</v>
      </c>
      <c r="H23" s="827"/>
      <c r="I23" s="65" t="s">
        <v>48</v>
      </c>
      <c r="J23" s="66">
        <f>SUM(J28,J78)</f>
        <v>2</v>
      </c>
      <c r="K23" s="825"/>
      <c r="L23" s="825"/>
      <c r="M23" s="823"/>
    </row>
    <row r="24" spans="1:13">
      <c r="A24" s="830"/>
      <c r="B24" s="833"/>
      <c r="C24" s="42" t="s">
        <v>7</v>
      </c>
      <c r="D24" s="64">
        <v>0</v>
      </c>
      <c r="E24" s="64">
        <v>0</v>
      </c>
      <c r="F24" s="64">
        <v>0</v>
      </c>
      <c r="G24" s="63">
        <f t="shared" si="5"/>
        <v>0</v>
      </c>
      <c r="H24" s="827"/>
      <c r="I24" s="67" t="s">
        <v>49</v>
      </c>
      <c r="J24" s="68">
        <f>(J21+0.5*J22)/J20</f>
        <v>0.40909090909090912</v>
      </c>
      <c r="K24" s="825"/>
      <c r="L24" s="825"/>
      <c r="M24" s="823"/>
    </row>
    <row r="25" spans="1:13" s="10" customFormat="1" ht="15.75" customHeight="1">
      <c r="A25" s="841" t="s">
        <v>170</v>
      </c>
      <c r="B25" s="844" t="s">
        <v>210</v>
      </c>
      <c r="C25" s="84" t="s">
        <v>3</v>
      </c>
      <c r="D25" s="36">
        <f>SUM(D26:D29)</f>
        <v>479941.05637999997</v>
      </c>
      <c r="E25" s="36" t="e">
        <f>SUM(E26:E29)</f>
        <v>#REF!</v>
      </c>
      <c r="F25" s="36" t="e">
        <f>E25</f>
        <v>#REF!</v>
      </c>
      <c r="G25" s="37">
        <f t="shared" si="5"/>
        <v>0</v>
      </c>
      <c r="H25" s="835" t="s">
        <v>259</v>
      </c>
      <c r="I25" s="18" t="s">
        <v>45</v>
      </c>
      <c r="J25" s="32">
        <f>SUM(J26:J28)</f>
        <v>9</v>
      </c>
      <c r="K25" s="761" t="s">
        <v>64</v>
      </c>
      <c r="L25" s="761"/>
      <c r="M25" s="763">
        <v>823</v>
      </c>
    </row>
    <row r="26" spans="1:13" s="10" customFormat="1">
      <c r="A26" s="842"/>
      <c r="B26" s="845"/>
      <c r="C26" s="84" t="s">
        <v>4</v>
      </c>
      <c r="D26" s="38">
        <f>SUM(D31,D36,D41,D46,D51,D56,D61,D66,D71)</f>
        <v>434694.09357999999</v>
      </c>
      <c r="E26" s="38" t="e">
        <f>SUM(E31,E36,E41,E46,E51,E56,E61,E66,E71)</f>
        <v>#REF!</v>
      </c>
      <c r="F26" s="38" t="e">
        <f>E26</f>
        <v>#REF!</v>
      </c>
      <c r="G26" s="37">
        <f t="shared" si="5"/>
        <v>0</v>
      </c>
      <c r="H26" s="836"/>
      <c r="I26" s="18" t="s">
        <v>46</v>
      </c>
      <c r="J26" s="19">
        <f>COUNTIF($J$30:$J$74,"Да")</f>
        <v>0</v>
      </c>
      <c r="K26" s="762"/>
      <c r="L26" s="762"/>
      <c r="M26" s="764"/>
    </row>
    <row r="27" spans="1:13" s="10" customFormat="1">
      <c r="A27" s="842"/>
      <c r="B27" s="845"/>
      <c r="C27" s="84" t="s">
        <v>5</v>
      </c>
      <c r="D27" s="38">
        <f>SUM(D32,D37,D42,D47,D52,D57,D62,D67,D72)</f>
        <v>0</v>
      </c>
      <c r="E27" s="36">
        <f>SUM(E32,E37,E42,E47,E52,E57,E62,E67,E72)</f>
        <v>0</v>
      </c>
      <c r="F27" s="36">
        <f>E27</f>
        <v>0</v>
      </c>
      <c r="G27" s="37">
        <f t="shared" si="5"/>
        <v>0</v>
      </c>
      <c r="H27" s="836"/>
      <c r="I27" s="18" t="s">
        <v>47</v>
      </c>
      <c r="J27" s="19">
        <f>COUNTIF($J$30:$J$74,"Частично")</f>
        <v>7</v>
      </c>
      <c r="K27" s="762"/>
      <c r="L27" s="762"/>
      <c r="M27" s="764"/>
    </row>
    <row r="28" spans="1:13" s="10" customFormat="1">
      <c r="A28" s="842"/>
      <c r="B28" s="845"/>
      <c r="C28" s="84" t="s">
        <v>6</v>
      </c>
      <c r="D28" s="38">
        <f>SUM(D33,D38,D43,D48,D53,D63,D68,D73)</f>
        <v>45246.962800000001</v>
      </c>
      <c r="E28" s="36">
        <f>SUM(E33,E38,E43,E48,E53,E58,E63,E68,E73)</f>
        <v>0</v>
      </c>
      <c r="F28" s="36">
        <f>E28</f>
        <v>0</v>
      </c>
      <c r="G28" s="37">
        <f t="shared" si="5"/>
        <v>0</v>
      </c>
      <c r="H28" s="836"/>
      <c r="I28" s="18" t="s">
        <v>48</v>
      </c>
      <c r="J28" s="19">
        <f>COUNTIF($J$30:$J$74,"Нет")</f>
        <v>2</v>
      </c>
      <c r="K28" s="762"/>
      <c r="L28" s="762"/>
      <c r="M28" s="764"/>
    </row>
    <row r="29" spans="1:13" s="10" customFormat="1">
      <c r="A29" s="843"/>
      <c r="B29" s="846"/>
      <c r="C29" s="84" t="s">
        <v>7</v>
      </c>
      <c r="D29" s="38">
        <v>0</v>
      </c>
      <c r="E29" s="36">
        <f>SUM(E34,E39,E44,E49,E54,E59,E64,E69,E74)</f>
        <v>0</v>
      </c>
      <c r="F29" s="36">
        <f>E29</f>
        <v>0</v>
      </c>
      <c r="G29" s="37">
        <f t="shared" si="5"/>
        <v>0</v>
      </c>
      <c r="H29" s="837"/>
      <c r="I29" s="21" t="s">
        <v>49</v>
      </c>
      <c r="J29" s="22">
        <f>(J26+0.5*J27)/J25</f>
        <v>0.3888888888888889</v>
      </c>
      <c r="K29" s="762"/>
      <c r="L29" s="762"/>
      <c r="M29" s="764"/>
    </row>
    <row r="30" spans="1:13" s="10" customFormat="1" ht="15" customHeight="1">
      <c r="A30" s="710" t="s">
        <v>11</v>
      </c>
      <c r="B30" s="840" t="s">
        <v>218</v>
      </c>
      <c r="C30" s="172" t="s">
        <v>3</v>
      </c>
      <c r="D30" s="173">
        <f>SUM(D31:D34)</f>
        <v>65000</v>
      </c>
      <c r="E30" s="173" t="e">
        <f>SUM(E31:E34)</f>
        <v>#REF!</v>
      </c>
      <c r="F30" s="173" t="e">
        <f>SUM(F31:F34)</f>
        <v>#REF!</v>
      </c>
      <c r="G30" s="174">
        <f t="shared" si="5"/>
        <v>0</v>
      </c>
      <c r="H30" s="772" t="s">
        <v>106</v>
      </c>
      <c r="I30" s="767" t="s">
        <v>658</v>
      </c>
      <c r="J30" s="727" t="s">
        <v>178</v>
      </c>
      <c r="K30" s="709" t="s">
        <v>87</v>
      </c>
      <c r="L30" s="701" t="s">
        <v>632</v>
      </c>
      <c r="M30" s="705">
        <v>823</v>
      </c>
    </row>
    <row r="31" spans="1:13" s="10" customFormat="1" ht="22.5" customHeight="1">
      <c r="A31" s="838"/>
      <c r="B31" s="793"/>
      <c r="C31" s="175" t="s">
        <v>4</v>
      </c>
      <c r="D31" s="176">
        <f>'334-ПП'!F72</f>
        <v>65000</v>
      </c>
      <c r="E31" s="176" t="e">
        <f>#REF!</f>
        <v>#REF!</v>
      </c>
      <c r="F31" s="176" t="e">
        <f>E31</f>
        <v>#REF!</v>
      </c>
      <c r="G31" s="174">
        <f t="shared" si="5"/>
        <v>0</v>
      </c>
      <c r="H31" s="790"/>
      <c r="I31" s="768"/>
      <c r="J31" s="667"/>
      <c r="K31" s="667"/>
      <c r="L31" s="702"/>
      <c r="M31" s="765"/>
    </row>
    <row r="32" spans="1:13" s="10" customFormat="1" ht="21" customHeight="1">
      <c r="A32" s="838"/>
      <c r="B32" s="793"/>
      <c r="C32" s="175" t="s">
        <v>5</v>
      </c>
      <c r="D32" s="176">
        <v>0</v>
      </c>
      <c r="E32" s="176">
        <v>0</v>
      </c>
      <c r="F32" s="176">
        <v>0</v>
      </c>
      <c r="G32" s="174">
        <f t="shared" si="5"/>
        <v>0</v>
      </c>
      <c r="H32" s="790"/>
      <c r="I32" s="768"/>
      <c r="J32" s="667"/>
      <c r="K32" s="667"/>
      <c r="L32" s="702"/>
      <c r="M32" s="765"/>
    </row>
    <row r="33" spans="1:13" s="10" customFormat="1" ht="18.75" customHeight="1">
      <c r="A33" s="838"/>
      <c r="B33" s="793"/>
      <c r="C33" s="175" t="s">
        <v>6</v>
      </c>
      <c r="D33" s="176">
        <v>0</v>
      </c>
      <c r="E33" s="176">
        <v>0</v>
      </c>
      <c r="F33" s="176">
        <v>0</v>
      </c>
      <c r="G33" s="174">
        <f t="shared" si="5"/>
        <v>0</v>
      </c>
      <c r="H33" s="790"/>
      <c r="I33" s="768"/>
      <c r="J33" s="667"/>
      <c r="K33" s="667"/>
      <c r="L33" s="702"/>
      <c r="M33" s="765"/>
    </row>
    <row r="34" spans="1:13" s="10" customFormat="1" ht="20.25" customHeight="1">
      <c r="A34" s="839"/>
      <c r="B34" s="794"/>
      <c r="C34" s="15" t="s">
        <v>7</v>
      </c>
      <c r="D34" s="177">
        <v>0</v>
      </c>
      <c r="E34" s="177">
        <v>0</v>
      </c>
      <c r="F34" s="177">
        <v>0</v>
      </c>
      <c r="G34" s="174">
        <f t="shared" si="5"/>
        <v>0</v>
      </c>
      <c r="H34" s="791"/>
      <c r="I34" s="769"/>
      <c r="J34" s="668"/>
      <c r="K34" s="668"/>
      <c r="L34" s="703"/>
      <c r="M34" s="766"/>
    </row>
    <row r="35" spans="1:13" s="10" customFormat="1" ht="23.25" customHeight="1">
      <c r="A35" s="710" t="s">
        <v>39</v>
      </c>
      <c r="B35" s="840" t="s">
        <v>174</v>
      </c>
      <c r="C35" s="175" t="s">
        <v>3</v>
      </c>
      <c r="D35" s="178">
        <f>SUM(D36:D39)</f>
        <v>55000</v>
      </c>
      <c r="E35" s="178" t="e">
        <f>SUM(E36:E39)</f>
        <v>#REF!</v>
      </c>
      <c r="F35" s="178" t="e">
        <f>SUM(F36:F39)</f>
        <v>#REF!</v>
      </c>
      <c r="G35" s="174">
        <f t="shared" si="5"/>
        <v>0</v>
      </c>
      <c r="H35" s="847" t="s">
        <v>169</v>
      </c>
      <c r="I35" s="767" t="s">
        <v>658</v>
      </c>
      <c r="J35" s="727" t="s">
        <v>178</v>
      </c>
      <c r="K35" s="709" t="s">
        <v>87</v>
      </c>
      <c r="L35" s="701" t="s">
        <v>632</v>
      </c>
      <c r="M35" s="705">
        <v>823</v>
      </c>
    </row>
    <row r="36" spans="1:13" s="10" customFormat="1" ht="22.5" customHeight="1">
      <c r="A36" s="711"/>
      <c r="B36" s="852"/>
      <c r="C36" s="175" t="s">
        <v>4</v>
      </c>
      <c r="D36" s="177">
        <f>'334-ПП'!E86</f>
        <v>55000</v>
      </c>
      <c r="E36" s="177" t="e">
        <f>#REF!</f>
        <v>#REF!</v>
      </c>
      <c r="F36" s="177" t="e">
        <f>E36</f>
        <v>#REF!</v>
      </c>
      <c r="G36" s="174">
        <f t="shared" si="5"/>
        <v>0</v>
      </c>
      <c r="H36" s="848"/>
      <c r="I36" s="768"/>
      <c r="J36" s="667"/>
      <c r="K36" s="667"/>
      <c r="L36" s="702"/>
      <c r="M36" s="706"/>
    </row>
    <row r="37" spans="1:13" s="10" customFormat="1" ht="22.5" customHeight="1">
      <c r="A37" s="711"/>
      <c r="B37" s="852"/>
      <c r="C37" s="175" t="s">
        <v>5</v>
      </c>
      <c r="D37" s="177">
        <v>0</v>
      </c>
      <c r="E37" s="177">
        <v>0</v>
      </c>
      <c r="F37" s="177">
        <v>0</v>
      </c>
      <c r="G37" s="174">
        <f t="shared" si="5"/>
        <v>0</v>
      </c>
      <c r="H37" s="848"/>
      <c r="I37" s="768"/>
      <c r="J37" s="667"/>
      <c r="K37" s="667"/>
      <c r="L37" s="702"/>
      <c r="M37" s="706"/>
    </row>
    <row r="38" spans="1:13" s="10" customFormat="1" ht="25.5" customHeight="1">
      <c r="A38" s="711"/>
      <c r="B38" s="852"/>
      <c r="C38" s="175" t="s">
        <v>6</v>
      </c>
      <c r="D38" s="177">
        <v>0</v>
      </c>
      <c r="E38" s="177">
        <v>0</v>
      </c>
      <c r="F38" s="177">
        <v>0</v>
      </c>
      <c r="G38" s="174">
        <f t="shared" si="5"/>
        <v>0</v>
      </c>
      <c r="H38" s="848"/>
      <c r="I38" s="768"/>
      <c r="J38" s="667"/>
      <c r="K38" s="667"/>
      <c r="L38" s="702"/>
      <c r="M38" s="706"/>
    </row>
    <row r="39" spans="1:13" s="10" customFormat="1" ht="21.75" customHeight="1">
      <c r="A39" s="712"/>
      <c r="B39" s="853"/>
      <c r="C39" s="175" t="s">
        <v>7</v>
      </c>
      <c r="D39" s="177">
        <v>0</v>
      </c>
      <c r="E39" s="177">
        <v>0</v>
      </c>
      <c r="F39" s="177">
        <v>0</v>
      </c>
      <c r="G39" s="174">
        <f t="shared" si="5"/>
        <v>0</v>
      </c>
      <c r="H39" s="849"/>
      <c r="I39" s="769"/>
      <c r="J39" s="668"/>
      <c r="K39" s="668"/>
      <c r="L39" s="703"/>
      <c r="M39" s="707"/>
    </row>
    <row r="40" spans="1:13" s="14" customFormat="1" ht="21.75" customHeight="1">
      <c r="A40" s="719" t="s">
        <v>71</v>
      </c>
      <c r="B40" s="792" t="s">
        <v>211</v>
      </c>
      <c r="C40" s="179" t="s">
        <v>3</v>
      </c>
      <c r="D40" s="180">
        <f>SUM(D41:D44)</f>
        <v>5600</v>
      </c>
      <c r="E40" s="180" t="e">
        <f>SUM(E41:E44)</f>
        <v>#REF!</v>
      </c>
      <c r="F40" s="180" t="e">
        <f>SUM(F41:F44)</f>
        <v>#REF!</v>
      </c>
      <c r="G40" s="174">
        <f t="shared" si="5"/>
        <v>0</v>
      </c>
      <c r="H40" s="779" t="s">
        <v>73</v>
      </c>
      <c r="I40" s="701" t="s">
        <v>652</v>
      </c>
      <c r="J40" s="727" t="s">
        <v>178</v>
      </c>
      <c r="K40" s="737" t="s">
        <v>87</v>
      </c>
      <c r="L40" s="701" t="s">
        <v>653</v>
      </c>
      <c r="M40" s="705">
        <v>823</v>
      </c>
    </row>
    <row r="41" spans="1:13" s="14" customFormat="1" ht="21.75" customHeight="1">
      <c r="A41" s="720"/>
      <c r="B41" s="850"/>
      <c r="C41" s="181" t="s">
        <v>4</v>
      </c>
      <c r="D41" s="182">
        <f>'334-ПП'!F93</f>
        <v>5600</v>
      </c>
      <c r="E41" s="182" t="e">
        <f>#REF!</f>
        <v>#REF!</v>
      </c>
      <c r="F41" s="182" t="e">
        <f>E41</f>
        <v>#REF!</v>
      </c>
      <c r="G41" s="174">
        <f t="shared" si="5"/>
        <v>0</v>
      </c>
      <c r="H41" s="780"/>
      <c r="I41" s="702"/>
      <c r="J41" s="667"/>
      <c r="K41" s="738"/>
      <c r="L41" s="702"/>
      <c r="M41" s="706"/>
    </row>
    <row r="42" spans="1:13" s="14" customFormat="1" ht="23.25" customHeight="1">
      <c r="A42" s="720"/>
      <c r="B42" s="850"/>
      <c r="C42" s="181" t="s">
        <v>5</v>
      </c>
      <c r="D42" s="183">
        <v>0</v>
      </c>
      <c r="E42" s="182">
        <v>0</v>
      </c>
      <c r="F42" s="182">
        <v>0</v>
      </c>
      <c r="G42" s="174">
        <f t="shared" si="5"/>
        <v>0</v>
      </c>
      <c r="H42" s="780"/>
      <c r="I42" s="702"/>
      <c r="J42" s="667"/>
      <c r="K42" s="738"/>
      <c r="L42" s="702"/>
      <c r="M42" s="706"/>
    </row>
    <row r="43" spans="1:13" s="14" customFormat="1" ht="22.5" customHeight="1">
      <c r="A43" s="720"/>
      <c r="B43" s="850"/>
      <c r="C43" s="181" t="s">
        <v>6</v>
      </c>
      <c r="D43" s="183">
        <v>0</v>
      </c>
      <c r="E43" s="182">
        <v>0</v>
      </c>
      <c r="F43" s="182">
        <v>0</v>
      </c>
      <c r="G43" s="174">
        <f t="shared" si="5"/>
        <v>0</v>
      </c>
      <c r="H43" s="780"/>
      <c r="I43" s="702"/>
      <c r="J43" s="667"/>
      <c r="K43" s="738"/>
      <c r="L43" s="702"/>
      <c r="M43" s="706"/>
    </row>
    <row r="44" spans="1:13" s="14" customFormat="1" ht="15" customHeight="1">
      <c r="A44" s="721"/>
      <c r="B44" s="851"/>
      <c r="C44" s="181" t="s">
        <v>7</v>
      </c>
      <c r="D44" s="183">
        <v>0</v>
      </c>
      <c r="E44" s="182">
        <v>0</v>
      </c>
      <c r="F44" s="182">
        <v>0</v>
      </c>
      <c r="G44" s="174">
        <f t="shared" si="5"/>
        <v>0</v>
      </c>
      <c r="H44" s="781"/>
      <c r="I44" s="703"/>
      <c r="J44" s="668"/>
      <c r="K44" s="738"/>
      <c r="L44" s="703"/>
      <c r="M44" s="707"/>
    </row>
    <row r="45" spans="1:13" s="14" customFormat="1" ht="15" customHeight="1">
      <c r="A45" s="719" t="s">
        <v>72</v>
      </c>
      <c r="B45" s="792" t="s">
        <v>168</v>
      </c>
      <c r="C45" s="179" t="s">
        <v>3</v>
      </c>
      <c r="D45" s="184">
        <f>SUM(D46:D49)</f>
        <v>120094.09358</v>
      </c>
      <c r="E45" s="184" t="e">
        <f>SUM(E46:E49)</f>
        <v>#REF!</v>
      </c>
      <c r="F45" s="184" t="e">
        <f>SUM(F46:F49)</f>
        <v>#REF!</v>
      </c>
      <c r="G45" s="174">
        <f t="shared" si="5"/>
        <v>0</v>
      </c>
      <c r="H45" s="779" t="s">
        <v>74</v>
      </c>
      <c r="I45" s="701" t="s">
        <v>220</v>
      </c>
      <c r="J45" s="727" t="s">
        <v>178</v>
      </c>
      <c r="K45" s="737" t="s">
        <v>65</v>
      </c>
      <c r="L45" s="709"/>
      <c r="M45" s="705">
        <v>823</v>
      </c>
    </row>
    <row r="46" spans="1:13" s="14" customFormat="1" ht="15" customHeight="1">
      <c r="A46" s="720"/>
      <c r="B46" s="793"/>
      <c r="C46" s="181" t="s">
        <v>4</v>
      </c>
      <c r="D46" s="182">
        <f>'334-ПП'!F100</f>
        <v>120094.09358</v>
      </c>
      <c r="E46" s="182" t="e">
        <f>#REF!</f>
        <v>#REF!</v>
      </c>
      <c r="F46" s="182" t="e">
        <f>E46</f>
        <v>#REF!</v>
      </c>
      <c r="G46" s="174">
        <f t="shared" si="5"/>
        <v>0</v>
      </c>
      <c r="H46" s="790"/>
      <c r="I46" s="759"/>
      <c r="J46" s="667"/>
      <c r="K46" s="738"/>
      <c r="L46" s="673"/>
      <c r="M46" s="706"/>
    </row>
    <row r="47" spans="1:13" s="14" customFormat="1" ht="15" customHeight="1">
      <c r="A47" s="720"/>
      <c r="B47" s="793"/>
      <c r="C47" s="181" t="s">
        <v>5</v>
      </c>
      <c r="D47" s="183">
        <v>0</v>
      </c>
      <c r="E47" s="182">
        <v>0</v>
      </c>
      <c r="F47" s="182">
        <v>0</v>
      </c>
      <c r="G47" s="174">
        <f t="shared" si="5"/>
        <v>0</v>
      </c>
      <c r="H47" s="790"/>
      <c r="I47" s="759"/>
      <c r="J47" s="667"/>
      <c r="K47" s="738"/>
      <c r="L47" s="673"/>
      <c r="M47" s="706"/>
    </row>
    <row r="48" spans="1:13" s="14" customFormat="1" ht="15" customHeight="1">
      <c r="A48" s="720"/>
      <c r="B48" s="793"/>
      <c r="C48" s="181" t="s">
        <v>6</v>
      </c>
      <c r="D48" s="183">
        <v>0</v>
      </c>
      <c r="E48" s="182">
        <v>0</v>
      </c>
      <c r="F48" s="182">
        <v>0</v>
      </c>
      <c r="G48" s="174">
        <f t="shared" si="5"/>
        <v>0</v>
      </c>
      <c r="H48" s="790"/>
      <c r="I48" s="759"/>
      <c r="J48" s="667"/>
      <c r="K48" s="738"/>
      <c r="L48" s="673"/>
      <c r="M48" s="706"/>
    </row>
    <row r="49" spans="1:13" s="14" customFormat="1" ht="42" customHeight="1">
      <c r="A49" s="721"/>
      <c r="B49" s="794"/>
      <c r="C49" s="181" t="s">
        <v>7</v>
      </c>
      <c r="D49" s="183">
        <v>0</v>
      </c>
      <c r="E49" s="182">
        <v>0</v>
      </c>
      <c r="F49" s="182">
        <v>0</v>
      </c>
      <c r="G49" s="174">
        <f t="shared" si="5"/>
        <v>0</v>
      </c>
      <c r="H49" s="791"/>
      <c r="I49" s="760"/>
      <c r="J49" s="668"/>
      <c r="K49" s="739"/>
      <c r="L49" s="674"/>
      <c r="M49" s="706"/>
    </row>
    <row r="50" spans="1:13" s="14" customFormat="1" ht="15" customHeight="1">
      <c r="A50" s="696" t="s">
        <v>109</v>
      </c>
      <c r="B50" s="722" t="s">
        <v>107</v>
      </c>
      <c r="C50" s="179" t="s">
        <v>3</v>
      </c>
      <c r="D50" s="185">
        <f>SUM(D51:D54)</f>
        <v>20000</v>
      </c>
      <c r="E50" s="186" t="e">
        <f>SUM(E51:E54)</f>
        <v>#REF!</v>
      </c>
      <c r="F50" s="186" t="e">
        <f>SUM(F51:F54)</f>
        <v>#REF!</v>
      </c>
      <c r="G50" s="174">
        <f t="shared" si="5"/>
        <v>0</v>
      </c>
      <c r="H50" s="784" t="s">
        <v>106</v>
      </c>
      <c r="I50" s="701" t="s">
        <v>219</v>
      </c>
      <c r="J50" s="727" t="s">
        <v>178</v>
      </c>
      <c r="K50" s="737" t="s">
        <v>65</v>
      </c>
      <c r="L50" s="709"/>
      <c r="M50" s="705">
        <v>823</v>
      </c>
    </row>
    <row r="51" spans="1:13" s="14" customFormat="1" ht="15" customHeight="1">
      <c r="A51" s="661"/>
      <c r="B51" s="723"/>
      <c r="C51" s="181" t="s">
        <v>4</v>
      </c>
      <c r="D51" s="187">
        <f>'334-ПП'!F107</f>
        <v>20000</v>
      </c>
      <c r="E51" s="188" t="e">
        <f>#REF!</f>
        <v>#REF!</v>
      </c>
      <c r="F51" s="188" t="e">
        <f>E51</f>
        <v>#REF!</v>
      </c>
      <c r="G51" s="174">
        <f t="shared" si="5"/>
        <v>0</v>
      </c>
      <c r="H51" s="785"/>
      <c r="I51" s="759"/>
      <c r="J51" s="667"/>
      <c r="K51" s="738"/>
      <c r="L51" s="673"/>
      <c r="M51" s="706"/>
    </row>
    <row r="52" spans="1:13" s="14" customFormat="1" ht="15" customHeight="1">
      <c r="A52" s="661"/>
      <c r="B52" s="723"/>
      <c r="C52" s="181" t="s">
        <v>5</v>
      </c>
      <c r="D52" s="187">
        <v>0</v>
      </c>
      <c r="E52" s="188">
        <v>0</v>
      </c>
      <c r="F52" s="188">
        <v>0</v>
      </c>
      <c r="G52" s="174">
        <f t="shared" si="5"/>
        <v>0</v>
      </c>
      <c r="H52" s="785"/>
      <c r="I52" s="759"/>
      <c r="J52" s="667"/>
      <c r="K52" s="738"/>
      <c r="L52" s="673"/>
      <c r="M52" s="706"/>
    </row>
    <row r="53" spans="1:13" s="14" customFormat="1" ht="15" customHeight="1">
      <c r="A53" s="661"/>
      <c r="B53" s="723"/>
      <c r="C53" s="181" t="s">
        <v>6</v>
      </c>
      <c r="D53" s="187">
        <v>0</v>
      </c>
      <c r="E53" s="188">
        <v>0</v>
      </c>
      <c r="F53" s="188">
        <v>0</v>
      </c>
      <c r="G53" s="174">
        <f t="shared" si="5"/>
        <v>0</v>
      </c>
      <c r="H53" s="785"/>
      <c r="I53" s="759"/>
      <c r="J53" s="667"/>
      <c r="K53" s="738"/>
      <c r="L53" s="673"/>
      <c r="M53" s="706"/>
    </row>
    <row r="54" spans="1:13" s="14" customFormat="1" ht="45.75" customHeight="1">
      <c r="A54" s="662"/>
      <c r="B54" s="724"/>
      <c r="C54" s="181" t="s">
        <v>7</v>
      </c>
      <c r="D54" s="187">
        <v>0</v>
      </c>
      <c r="E54" s="188">
        <v>0</v>
      </c>
      <c r="F54" s="188">
        <v>0</v>
      </c>
      <c r="G54" s="174">
        <f t="shared" si="5"/>
        <v>0</v>
      </c>
      <c r="H54" s="785"/>
      <c r="I54" s="760"/>
      <c r="J54" s="668"/>
      <c r="K54" s="739"/>
      <c r="L54" s="674"/>
      <c r="M54" s="706"/>
    </row>
    <row r="55" spans="1:13" s="14" customFormat="1" ht="32.25" customHeight="1">
      <c r="A55" s="696" t="s">
        <v>111</v>
      </c>
      <c r="B55" s="722" t="s">
        <v>108</v>
      </c>
      <c r="C55" s="179" t="s">
        <v>3</v>
      </c>
      <c r="D55" s="183">
        <f>SUM(D56:D59)</f>
        <v>26000</v>
      </c>
      <c r="E55" s="182" t="e">
        <f>SUM(E56:E59)</f>
        <v>#REF!</v>
      </c>
      <c r="F55" s="182" t="e">
        <f>SUM(F56:F59)</f>
        <v>#REF!</v>
      </c>
      <c r="G55" s="174">
        <f t="shared" si="5"/>
        <v>0</v>
      </c>
      <c r="H55" s="786" t="s">
        <v>167</v>
      </c>
      <c r="I55" s="704" t="s">
        <v>663</v>
      </c>
      <c r="J55" s="727" t="s">
        <v>178</v>
      </c>
      <c r="K55" s="737" t="s">
        <v>65</v>
      </c>
      <c r="L55" s="700"/>
      <c r="M55" s="691">
        <v>823</v>
      </c>
    </row>
    <row r="56" spans="1:13" s="14" customFormat="1" ht="25.5" customHeight="1">
      <c r="A56" s="661"/>
      <c r="B56" s="723"/>
      <c r="C56" s="181" t="s">
        <v>4</v>
      </c>
      <c r="D56" s="183">
        <f>'334-ПП'!F127</f>
        <v>26000</v>
      </c>
      <c r="E56" s="182" t="e">
        <f>#REF!</f>
        <v>#REF!</v>
      </c>
      <c r="F56" s="182" t="e">
        <f>E56</f>
        <v>#REF!</v>
      </c>
      <c r="G56" s="174">
        <f t="shared" si="5"/>
        <v>0</v>
      </c>
      <c r="H56" s="787"/>
      <c r="I56" s="667"/>
      <c r="J56" s="667"/>
      <c r="K56" s="738"/>
      <c r="L56" s="700"/>
      <c r="M56" s="691"/>
    </row>
    <row r="57" spans="1:13" s="14" customFormat="1" ht="15" customHeight="1">
      <c r="A57" s="661"/>
      <c r="B57" s="723"/>
      <c r="C57" s="181" t="s">
        <v>5</v>
      </c>
      <c r="D57" s="183">
        <v>0</v>
      </c>
      <c r="E57" s="182">
        <v>0</v>
      </c>
      <c r="F57" s="182">
        <v>0</v>
      </c>
      <c r="G57" s="174">
        <f t="shared" si="5"/>
        <v>0</v>
      </c>
      <c r="H57" s="787"/>
      <c r="I57" s="667"/>
      <c r="J57" s="667"/>
      <c r="K57" s="738"/>
      <c r="L57" s="700"/>
      <c r="M57" s="691"/>
    </row>
    <row r="58" spans="1:13" s="14" customFormat="1" ht="21" customHeight="1">
      <c r="A58" s="661"/>
      <c r="B58" s="723"/>
      <c r="C58" s="181" t="s">
        <v>6</v>
      </c>
      <c r="D58" s="183">
        <v>0</v>
      </c>
      <c r="E58" s="182">
        <v>0</v>
      </c>
      <c r="F58" s="182">
        <v>0</v>
      </c>
      <c r="G58" s="174">
        <f t="shared" si="5"/>
        <v>0</v>
      </c>
      <c r="H58" s="787"/>
      <c r="I58" s="667"/>
      <c r="J58" s="667"/>
      <c r="K58" s="738"/>
      <c r="L58" s="700"/>
      <c r="M58" s="691"/>
    </row>
    <row r="59" spans="1:13" s="14" customFormat="1" ht="15" customHeight="1">
      <c r="A59" s="662"/>
      <c r="B59" s="724"/>
      <c r="C59" s="181" t="s">
        <v>7</v>
      </c>
      <c r="D59" s="183">
        <v>0</v>
      </c>
      <c r="E59" s="182">
        <v>0</v>
      </c>
      <c r="F59" s="182">
        <v>0</v>
      </c>
      <c r="G59" s="174">
        <f t="shared" si="5"/>
        <v>0</v>
      </c>
      <c r="H59" s="788"/>
      <c r="I59" s="668"/>
      <c r="J59" s="668"/>
      <c r="K59" s="739"/>
      <c r="L59" s="700"/>
      <c r="M59" s="691"/>
    </row>
    <row r="60" spans="1:13" s="14" customFormat="1" ht="24.75" customHeight="1">
      <c r="A60" s="696" t="s">
        <v>166</v>
      </c>
      <c r="B60" s="722" t="s">
        <v>165</v>
      </c>
      <c r="C60" s="179" t="s">
        <v>3</v>
      </c>
      <c r="D60" s="183">
        <f>SUM(D61:D64)</f>
        <v>10638.540800000001</v>
      </c>
      <c r="E60" s="182" t="e">
        <f>SUM(E61:E64)</f>
        <v>#REF!</v>
      </c>
      <c r="F60" s="182" t="e">
        <f>SUM(F61:F64)</f>
        <v>#REF!</v>
      </c>
      <c r="G60" s="174">
        <f t="shared" si="5"/>
        <v>0</v>
      </c>
      <c r="H60" s="786" t="s">
        <v>635</v>
      </c>
      <c r="I60" s="704" t="s">
        <v>654</v>
      </c>
      <c r="J60" s="753" t="s">
        <v>664</v>
      </c>
      <c r="K60" s="737" t="s">
        <v>92</v>
      </c>
      <c r="L60" s="701" t="s">
        <v>632</v>
      </c>
      <c r="M60" s="691">
        <v>823</v>
      </c>
    </row>
    <row r="61" spans="1:13" s="14" customFormat="1" ht="15" customHeight="1">
      <c r="A61" s="661"/>
      <c r="B61" s="723"/>
      <c r="C61" s="181" t="s">
        <v>4</v>
      </c>
      <c r="D61" s="183">
        <f>'334-ПП'!F148</f>
        <v>9000</v>
      </c>
      <c r="E61" s="182" t="e">
        <f>#REF!</f>
        <v>#REF!</v>
      </c>
      <c r="F61" s="182" t="e">
        <f>E61</f>
        <v>#REF!</v>
      </c>
      <c r="G61" s="174">
        <f t="shared" si="5"/>
        <v>0</v>
      </c>
      <c r="H61" s="787"/>
      <c r="I61" s="667"/>
      <c r="J61" s="754"/>
      <c r="K61" s="738"/>
      <c r="L61" s="702"/>
      <c r="M61" s="691"/>
    </row>
    <row r="62" spans="1:13" s="14" customFormat="1" ht="15" customHeight="1">
      <c r="A62" s="661"/>
      <c r="B62" s="723"/>
      <c r="C62" s="181" t="s">
        <v>5</v>
      </c>
      <c r="D62" s="183">
        <v>0</v>
      </c>
      <c r="E62" s="182">
        <v>0</v>
      </c>
      <c r="F62" s="182">
        <v>0</v>
      </c>
      <c r="G62" s="174">
        <f t="shared" si="5"/>
        <v>0</v>
      </c>
      <c r="H62" s="787"/>
      <c r="I62" s="667"/>
      <c r="J62" s="754"/>
      <c r="K62" s="738"/>
      <c r="L62" s="702"/>
      <c r="M62" s="691"/>
    </row>
    <row r="63" spans="1:13" s="14" customFormat="1" ht="15" customHeight="1">
      <c r="A63" s="661"/>
      <c r="B63" s="723"/>
      <c r="C63" s="181" t="s">
        <v>6</v>
      </c>
      <c r="D63" s="183">
        <f>'334-ПП'!H148</f>
        <v>1638.5408</v>
      </c>
      <c r="E63" s="182">
        <v>0</v>
      </c>
      <c r="F63" s="182">
        <v>0</v>
      </c>
      <c r="G63" s="174">
        <f t="shared" si="5"/>
        <v>0</v>
      </c>
      <c r="H63" s="787"/>
      <c r="I63" s="667"/>
      <c r="J63" s="754"/>
      <c r="K63" s="738"/>
      <c r="L63" s="702"/>
      <c r="M63" s="691"/>
    </row>
    <row r="64" spans="1:13" s="14" customFormat="1" ht="15" customHeight="1">
      <c r="A64" s="662"/>
      <c r="B64" s="724"/>
      <c r="C64" s="181" t="s">
        <v>7</v>
      </c>
      <c r="D64" s="183">
        <v>0</v>
      </c>
      <c r="E64" s="182">
        <v>0</v>
      </c>
      <c r="F64" s="182">
        <v>0</v>
      </c>
      <c r="G64" s="174">
        <f t="shared" si="5"/>
        <v>0</v>
      </c>
      <c r="H64" s="788"/>
      <c r="I64" s="668"/>
      <c r="J64" s="755"/>
      <c r="K64" s="739"/>
      <c r="L64" s="703"/>
      <c r="M64" s="691"/>
    </row>
    <row r="65" spans="1:13" s="14" customFormat="1" ht="15" customHeight="1">
      <c r="A65" s="696" t="s">
        <v>164</v>
      </c>
      <c r="B65" s="722" t="s">
        <v>163</v>
      </c>
      <c r="C65" s="179" t="s">
        <v>3</v>
      </c>
      <c r="D65" s="183">
        <f>SUM(D66:D69)</f>
        <v>163608.42199999999</v>
      </c>
      <c r="E65" s="182" t="e">
        <f>SUM(E66:E69)</f>
        <v>#REF!</v>
      </c>
      <c r="F65" s="182" t="e">
        <f>SUM(F66:F69)</f>
        <v>#REF!</v>
      </c>
      <c r="G65" s="174">
        <f t="shared" si="5"/>
        <v>0</v>
      </c>
      <c r="H65" s="786" t="s">
        <v>636</v>
      </c>
      <c r="I65" s="704" t="s">
        <v>655</v>
      </c>
      <c r="J65" s="753" t="s">
        <v>664</v>
      </c>
      <c r="K65" s="737" t="s">
        <v>92</v>
      </c>
      <c r="L65" s="701" t="s">
        <v>632</v>
      </c>
      <c r="M65" s="705">
        <v>823</v>
      </c>
    </row>
    <row r="66" spans="1:13" s="14" customFormat="1" ht="15" customHeight="1">
      <c r="A66" s="661"/>
      <c r="B66" s="723"/>
      <c r="C66" s="181" t="s">
        <v>4</v>
      </c>
      <c r="D66" s="183">
        <f>'334-ПП'!F155</f>
        <v>120000</v>
      </c>
      <c r="E66" s="182" t="e">
        <f>#REF!</f>
        <v>#REF!</v>
      </c>
      <c r="F66" s="182" t="e">
        <f>E66</f>
        <v>#REF!</v>
      </c>
      <c r="G66" s="174">
        <f t="shared" si="5"/>
        <v>0</v>
      </c>
      <c r="H66" s="787"/>
      <c r="I66" s="667"/>
      <c r="J66" s="754"/>
      <c r="K66" s="738"/>
      <c r="L66" s="702"/>
      <c r="M66" s="706"/>
    </row>
    <row r="67" spans="1:13" s="14" customFormat="1" ht="33" customHeight="1">
      <c r="A67" s="661"/>
      <c r="B67" s="723"/>
      <c r="C67" s="181" t="s">
        <v>5</v>
      </c>
      <c r="D67" s="183">
        <v>0</v>
      </c>
      <c r="E67" s="182">
        <v>0</v>
      </c>
      <c r="F67" s="182">
        <v>0</v>
      </c>
      <c r="G67" s="174">
        <f t="shared" si="5"/>
        <v>0</v>
      </c>
      <c r="H67" s="787"/>
      <c r="I67" s="667"/>
      <c r="J67" s="754"/>
      <c r="K67" s="738"/>
      <c r="L67" s="702"/>
      <c r="M67" s="706"/>
    </row>
    <row r="68" spans="1:13" s="14" customFormat="1" ht="51.75" customHeight="1">
      <c r="A68" s="661"/>
      <c r="B68" s="723"/>
      <c r="C68" s="181" t="s">
        <v>6</v>
      </c>
      <c r="D68" s="183">
        <f>'334-ПП'!H155</f>
        <v>43608.421999999999</v>
      </c>
      <c r="E68" s="182">
        <v>0</v>
      </c>
      <c r="F68" s="182">
        <v>0</v>
      </c>
      <c r="G68" s="174">
        <f t="shared" si="5"/>
        <v>0</v>
      </c>
      <c r="H68" s="787"/>
      <c r="I68" s="667"/>
      <c r="J68" s="754"/>
      <c r="K68" s="738"/>
      <c r="L68" s="702"/>
      <c r="M68" s="706"/>
    </row>
    <row r="69" spans="1:13" s="14" customFormat="1" ht="55.5" customHeight="1">
      <c r="A69" s="662"/>
      <c r="B69" s="724"/>
      <c r="C69" s="181" t="s">
        <v>7</v>
      </c>
      <c r="D69" s="183">
        <v>0</v>
      </c>
      <c r="E69" s="182">
        <v>0</v>
      </c>
      <c r="F69" s="182">
        <v>0</v>
      </c>
      <c r="G69" s="174">
        <f t="shared" si="5"/>
        <v>0</v>
      </c>
      <c r="H69" s="788"/>
      <c r="I69" s="668"/>
      <c r="J69" s="755"/>
      <c r="K69" s="739"/>
      <c r="L69" s="703"/>
      <c r="M69" s="706"/>
    </row>
    <row r="70" spans="1:13" s="14" customFormat="1" ht="66.75" customHeight="1">
      <c r="A70" s="696" t="s">
        <v>162</v>
      </c>
      <c r="B70" s="722" t="s">
        <v>161</v>
      </c>
      <c r="C70" s="179" t="s">
        <v>3</v>
      </c>
      <c r="D70" s="183">
        <f>SUM(D71:D74)</f>
        <v>14000</v>
      </c>
      <c r="E70" s="182" t="e">
        <f>SUM(E71:E74)</f>
        <v>#REF!</v>
      </c>
      <c r="F70" s="182" t="e">
        <f>SUM(F71:F74)</f>
        <v>#REF!</v>
      </c>
      <c r="G70" s="174">
        <f t="shared" si="5"/>
        <v>0</v>
      </c>
      <c r="H70" s="786" t="s">
        <v>160</v>
      </c>
      <c r="I70" s="756" t="s">
        <v>662</v>
      </c>
      <c r="J70" s="727" t="s">
        <v>178</v>
      </c>
      <c r="K70" s="737" t="s">
        <v>65</v>
      </c>
      <c r="L70" s="701" t="s">
        <v>632</v>
      </c>
      <c r="M70" s="705">
        <v>823</v>
      </c>
    </row>
    <row r="71" spans="1:13" s="14" customFormat="1" ht="45.75" customHeight="1">
      <c r="A71" s="661"/>
      <c r="B71" s="723"/>
      <c r="C71" s="181" t="s">
        <v>4</v>
      </c>
      <c r="D71" s="183">
        <f>'334-ПП'!F162</f>
        <v>14000</v>
      </c>
      <c r="E71" s="182" t="e">
        <f>#REF!</f>
        <v>#REF!</v>
      </c>
      <c r="F71" s="182" t="e">
        <f>E71</f>
        <v>#REF!</v>
      </c>
      <c r="G71" s="174">
        <f t="shared" si="5"/>
        <v>0</v>
      </c>
      <c r="H71" s="787"/>
      <c r="I71" s="757"/>
      <c r="J71" s="667"/>
      <c r="K71" s="738"/>
      <c r="L71" s="702"/>
      <c r="M71" s="706"/>
    </row>
    <row r="72" spans="1:13" s="14" customFormat="1" ht="50.25" customHeight="1">
      <c r="A72" s="661"/>
      <c r="B72" s="723"/>
      <c r="C72" s="181" t="s">
        <v>5</v>
      </c>
      <c r="D72" s="183">
        <v>0</v>
      </c>
      <c r="E72" s="182">
        <v>0</v>
      </c>
      <c r="F72" s="182">
        <v>0</v>
      </c>
      <c r="G72" s="174">
        <f t="shared" si="5"/>
        <v>0</v>
      </c>
      <c r="H72" s="787"/>
      <c r="I72" s="757"/>
      <c r="J72" s="667"/>
      <c r="K72" s="738"/>
      <c r="L72" s="702"/>
      <c r="M72" s="706"/>
    </row>
    <row r="73" spans="1:13" s="14" customFormat="1" ht="47.25" customHeight="1">
      <c r="A73" s="661"/>
      <c r="B73" s="723"/>
      <c r="C73" s="181" t="s">
        <v>6</v>
      </c>
      <c r="D73" s="183">
        <v>0</v>
      </c>
      <c r="E73" s="182">
        <v>0</v>
      </c>
      <c r="F73" s="182">
        <v>0</v>
      </c>
      <c r="G73" s="174">
        <f t="shared" si="5"/>
        <v>0</v>
      </c>
      <c r="H73" s="787"/>
      <c r="I73" s="757"/>
      <c r="J73" s="667"/>
      <c r="K73" s="738"/>
      <c r="L73" s="702"/>
      <c r="M73" s="706"/>
    </row>
    <row r="74" spans="1:13" s="14" customFormat="1" ht="45.75" customHeight="1">
      <c r="A74" s="662"/>
      <c r="B74" s="724"/>
      <c r="C74" s="181" t="s">
        <v>7</v>
      </c>
      <c r="D74" s="183">
        <v>0</v>
      </c>
      <c r="E74" s="182">
        <v>0</v>
      </c>
      <c r="F74" s="182">
        <v>0</v>
      </c>
      <c r="G74" s="174">
        <f t="shared" si="5"/>
        <v>0</v>
      </c>
      <c r="H74" s="788"/>
      <c r="I74" s="758"/>
      <c r="J74" s="668"/>
      <c r="K74" s="739"/>
      <c r="L74" s="703"/>
      <c r="M74" s="706"/>
    </row>
    <row r="75" spans="1:13" s="10" customFormat="1">
      <c r="A75" s="728" t="s">
        <v>171</v>
      </c>
      <c r="B75" s="731" t="s">
        <v>94</v>
      </c>
      <c r="C75" s="39" t="s">
        <v>3</v>
      </c>
      <c r="D75" s="40">
        <f>SUM(D76:D79)</f>
        <v>16000</v>
      </c>
      <c r="E75" s="40" t="e">
        <f>SUM(E76:E79)</f>
        <v>#REF!</v>
      </c>
      <c r="F75" s="40" t="e">
        <f>SUM(F76:F79)</f>
        <v>#REF!</v>
      </c>
      <c r="G75" s="37">
        <f t="shared" si="5"/>
        <v>0</v>
      </c>
      <c r="H75" s="734" t="s">
        <v>159</v>
      </c>
      <c r="I75" s="18" t="s">
        <v>45</v>
      </c>
      <c r="J75" s="19">
        <f>SUM(J76:J78)</f>
        <v>2</v>
      </c>
      <c r="K75" s="761" t="s">
        <v>64</v>
      </c>
      <c r="L75" s="761"/>
      <c r="M75" s="763">
        <v>823</v>
      </c>
    </row>
    <row r="76" spans="1:13" s="10" customFormat="1">
      <c r="A76" s="729"/>
      <c r="B76" s="732"/>
      <c r="C76" s="39" t="s">
        <v>4</v>
      </c>
      <c r="D76" s="41">
        <f>'334-ПП'!F176</f>
        <v>16000</v>
      </c>
      <c r="E76" s="41" t="e">
        <f>SUM(,E81,E86)</f>
        <v>#REF!</v>
      </c>
      <c r="F76" s="41" t="e">
        <f>E76</f>
        <v>#REF!</v>
      </c>
      <c r="G76" s="37">
        <f t="shared" si="5"/>
        <v>0</v>
      </c>
      <c r="H76" s="735"/>
      <c r="I76" s="18" t="s">
        <v>46</v>
      </c>
      <c r="J76" s="19">
        <f>COUNTIF($J$80:$J$89,"Да")</f>
        <v>0</v>
      </c>
      <c r="K76" s="762"/>
      <c r="L76" s="762"/>
      <c r="M76" s="764"/>
    </row>
    <row r="77" spans="1:13" s="10" customFormat="1">
      <c r="A77" s="729"/>
      <c r="B77" s="732"/>
      <c r="C77" s="39" t="s">
        <v>5</v>
      </c>
      <c r="D77" s="41">
        <v>0</v>
      </c>
      <c r="E77" s="41">
        <f t="shared" ref="E77:E79" si="8">SUM(,E82,E87)</f>
        <v>0</v>
      </c>
      <c r="F77" s="41">
        <f>E77</f>
        <v>0</v>
      </c>
      <c r="G77" s="37">
        <f t="shared" ref="G77:G135" si="9">IFERROR(F77/D77,0)</f>
        <v>0</v>
      </c>
      <c r="H77" s="735"/>
      <c r="I77" s="18" t="s">
        <v>47</v>
      </c>
      <c r="J77" s="19">
        <f>COUNTIF($J$80:$J$89,"Частично")</f>
        <v>2</v>
      </c>
      <c r="K77" s="762"/>
      <c r="L77" s="762"/>
      <c r="M77" s="764"/>
    </row>
    <row r="78" spans="1:13" s="10" customFormat="1">
      <c r="A78" s="729"/>
      <c r="B78" s="732"/>
      <c r="C78" s="39" t="s">
        <v>6</v>
      </c>
      <c r="D78" s="41">
        <v>0</v>
      </c>
      <c r="E78" s="41">
        <f t="shared" si="8"/>
        <v>0</v>
      </c>
      <c r="F78" s="41">
        <f>E78</f>
        <v>0</v>
      </c>
      <c r="G78" s="37">
        <f t="shared" si="9"/>
        <v>0</v>
      </c>
      <c r="H78" s="735"/>
      <c r="I78" s="18" t="s">
        <v>48</v>
      </c>
      <c r="J78" s="19">
        <f>COUNTIF($J$80:$J$89,"Нет")</f>
        <v>0</v>
      </c>
      <c r="K78" s="762"/>
      <c r="L78" s="762"/>
      <c r="M78" s="764"/>
    </row>
    <row r="79" spans="1:13" s="10" customFormat="1">
      <c r="A79" s="730"/>
      <c r="B79" s="733"/>
      <c r="C79" s="39" t="s">
        <v>7</v>
      </c>
      <c r="D79" s="41">
        <v>0</v>
      </c>
      <c r="E79" s="41">
        <f t="shared" si="8"/>
        <v>0</v>
      </c>
      <c r="F79" s="41">
        <f>E79</f>
        <v>0</v>
      </c>
      <c r="G79" s="37">
        <f t="shared" si="9"/>
        <v>0</v>
      </c>
      <c r="H79" s="736"/>
      <c r="I79" s="18" t="s">
        <v>49</v>
      </c>
      <c r="J79" s="20">
        <f>(J76+0.5*J77)/J75</f>
        <v>0.5</v>
      </c>
      <c r="K79" s="762"/>
      <c r="L79" s="762"/>
      <c r="M79" s="834"/>
    </row>
    <row r="80" spans="1:13" s="14" customFormat="1" ht="15" customHeight="1">
      <c r="A80" s="719" t="s">
        <v>172</v>
      </c>
      <c r="B80" s="789" t="s">
        <v>175</v>
      </c>
      <c r="C80" s="181" t="s">
        <v>3</v>
      </c>
      <c r="D80" s="183">
        <f>SUM(D81:D84)</f>
        <v>8000</v>
      </c>
      <c r="E80" s="182" t="e">
        <f>SUM(E81:E84)</f>
        <v>#REF!</v>
      </c>
      <c r="F80" s="182" t="e">
        <f>SUM(F81:F84)</f>
        <v>#REF!</v>
      </c>
      <c r="G80" s="174">
        <f t="shared" si="9"/>
        <v>0</v>
      </c>
      <c r="H80" s="784" t="str">
        <f>'[1]Пр ГП 19-20'!$J$41</f>
        <v xml:space="preserve">Обучение плаванию ежегодно не менее 500 человек </v>
      </c>
      <c r="I80" s="737" t="s">
        <v>656</v>
      </c>
      <c r="J80" s="727" t="s">
        <v>178</v>
      </c>
      <c r="K80" s="726" t="s">
        <v>65</v>
      </c>
      <c r="L80" s="701" t="s">
        <v>637</v>
      </c>
      <c r="M80" s="675">
        <v>823</v>
      </c>
    </row>
    <row r="81" spans="1:13" s="14" customFormat="1" ht="15" customHeight="1">
      <c r="A81" s="720"/>
      <c r="B81" s="789"/>
      <c r="C81" s="181" t="s">
        <v>4</v>
      </c>
      <c r="D81" s="183">
        <f>'334-ПП'!F190</f>
        <v>8000</v>
      </c>
      <c r="E81" s="182" t="e">
        <f>#REF!</f>
        <v>#REF!</v>
      </c>
      <c r="F81" s="182" t="e">
        <f>E81</f>
        <v>#REF!</v>
      </c>
      <c r="G81" s="174">
        <f t="shared" si="9"/>
        <v>0</v>
      </c>
      <c r="H81" s="784"/>
      <c r="I81" s="738"/>
      <c r="J81" s="667"/>
      <c r="K81" s="726"/>
      <c r="L81" s="702"/>
      <c r="M81" s="676"/>
    </row>
    <row r="82" spans="1:13" s="14" customFormat="1" ht="15" customHeight="1">
      <c r="A82" s="720"/>
      <c r="B82" s="789"/>
      <c r="C82" s="181" t="s">
        <v>5</v>
      </c>
      <c r="D82" s="183">
        <v>0</v>
      </c>
      <c r="E82" s="182">
        <v>0</v>
      </c>
      <c r="F82" s="182">
        <v>0</v>
      </c>
      <c r="G82" s="174">
        <f t="shared" si="9"/>
        <v>0</v>
      </c>
      <c r="H82" s="784"/>
      <c r="I82" s="738"/>
      <c r="J82" s="667"/>
      <c r="K82" s="726"/>
      <c r="L82" s="702"/>
      <c r="M82" s="676"/>
    </row>
    <row r="83" spans="1:13" s="14" customFormat="1" ht="15" customHeight="1">
      <c r="A83" s="720"/>
      <c r="B83" s="789"/>
      <c r="C83" s="181" t="s">
        <v>6</v>
      </c>
      <c r="D83" s="183">
        <v>0</v>
      </c>
      <c r="E83" s="182">
        <v>0</v>
      </c>
      <c r="F83" s="182">
        <v>0</v>
      </c>
      <c r="G83" s="174">
        <f t="shared" si="9"/>
        <v>0</v>
      </c>
      <c r="H83" s="784"/>
      <c r="I83" s="738"/>
      <c r="J83" s="667"/>
      <c r="K83" s="726"/>
      <c r="L83" s="702"/>
      <c r="M83" s="676"/>
    </row>
    <row r="84" spans="1:13" s="14" customFormat="1" ht="15" customHeight="1">
      <c r="A84" s="721"/>
      <c r="B84" s="789"/>
      <c r="C84" s="181" t="s">
        <v>7</v>
      </c>
      <c r="D84" s="183">
        <v>0</v>
      </c>
      <c r="E84" s="182">
        <v>0</v>
      </c>
      <c r="F84" s="182">
        <v>0</v>
      </c>
      <c r="G84" s="174">
        <f t="shared" si="9"/>
        <v>0</v>
      </c>
      <c r="H84" s="784"/>
      <c r="I84" s="739"/>
      <c r="J84" s="668"/>
      <c r="K84" s="726"/>
      <c r="L84" s="703"/>
      <c r="M84" s="677"/>
    </row>
    <row r="85" spans="1:13" s="14" customFormat="1" ht="28.5" customHeight="1">
      <c r="A85" s="719" t="s">
        <v>173</v>
      </c>
      <c r="B85" s="695" t="s">
        <v>158</v>
      </c>
      <c r="C85" s="181" t="s">
        <v>3</v>
      </c>
      <c r="D85" s="183">
        <f>SUM(D86:D89)</f>
        <v>8000</v>
      </c>
      <c r="E85" s="182" t="e">
        <f>SUM(E86:E89)</f>
        <v>#REF!</v>
      </c>
      <c r="F85" s="182" t="e">
        <f>SUM(F86:F89)</f>
        <v>#REF!</v>
      </c>
      <c r="G85" s="174">
        <f t="shared" si="9"/>
        <v>0</v>
      </c>
      <c r="H85" s="722" t="s">
        <v>91</v>
      </c>
      <c r="I85" s="709" t="s">
        <v>657</v>
      </c>
      <c r="J85" s="727" t="s">
        <v>178</v>
      </c>
      <c r="K85" s="737" t="s">
        <v>65</v>
      </c>
      <c r="L85" s="701" t="s">
        <v>637</v>
      </c>
      <c r="M85" s="675">
        <v>823</v>
      </c>
    </row>
    <row r="86" spans="1:13" s="14" customFormat="1" ht="23.25" customHeight="1">
      <c r="A86" s="720"/>
      <c r="B86" s="683"/>
      <c r="C86" s="181" t="s">
        <v>4</v>
      </c>
      <c r="D86" s="183">
        <f>'334-ПП'!F197</f>
        <v>8000</v>
      </c>
      <c r="E86" s="182" t="e">
        <f>#REF!</f>
        <v>#REF!</v>
      </c>
      <c r="F86" s="182" t="e">
        <f>E86</f>
        <v>#REF!</v>
      </c>
      <c r="G86" s="174">
        <f t="shared" si="9"/>
        <v>0</v>
      </c>
      <c r="H86" s="723"/>
      <c r="I86" s="673"/>
      <c r="J86" s="667"/>
      <c r="K86" s="738"/>
      <c r="L86" s="702"/>
      <c r="M86" s="676"/>
    </row>
    <row r="87" spans="1:13" s="14" customFormat="1" ht="24.75" customHeight="1">
      <c r="A87" s="720"/>
      <c r="B87" s="683"/>
      <c r="C87" s="181" t="s">
        <v>5</v>
      </c>
      <c r="D87" s="183">
        <v>0</v>
      </c>
      <c r="E87" s="182">
        <v>0</v>
      </c>
      <c r="F87" s="182">
        <v>0</v>
      </c>
      <c r="G87" s="174">
        <f t="shared" si="9"/>
        <v>0</v>
      </c>
      <c r="H87" s="723"/>
      <c r="I87" s="673"/>
      <c r="J87" s="667"/>
      <c r="K87" s="738"/>
      <c r="L87" s="702"/>
      <c r="M87" s="676"/>
    </row>
    <row r="88" spans="1:13" s="14" customFormat="1" ht="25.5" customHeight="1">
      <c r="A88" s="720"/>
      <c r="B88" s="683"/>
      <c r="C88" s="181" t="s">
        <v>6</v>
      </c>
      <c r="D88" s="183">
        <v>0</v>
      </c>
      <c r="E88" s="182">
        <v>0</v>
      </c>
      <c r="F88" s="182">
        <v>0</v>
      </c>
      <c r="G88" s="174">
        <f t="shared" si="9"/>
        <v>0</v>
      </c>
      <c r="H88" s="723"/>
      <c r="I88" s="673"/>
      <c r="J88" s="667"/>
      <c r="K88" s="738"/>
      <c r="L88" s="702"/>
      <c r="M88" s="676"/>
    </row>
    <row r="89" spans="1:13" s="14" customFormat="1" ht="24" customHeight="1">
      <c r="A89" s="721"/>
      <c r="B89" s="684"/>
      <c r="C89" s="181" t="s">
        <v>7</v>
      </c>
      <c r="D89" s="183">
        <v>0</v>
      </c>
      <c r="E89" s="182">
        <v>0</v>
      </c>
      <c r="F89" s="182">
        <v>0</v>
      </c>
      <c r="G89" s="174">
        <f t="shared" si="9"/>
        <v>0</v>
      </c>
      <c r="H89" s="724"/>
      <c r="I89" s="674"/>
      <c r="J89" s="668"/>
      <c r="K89" s="739"/>
      <c r="L89" s="703"/>
      <c r="M89" s="677"/>
    </row>
    <row r="90" spans="1:13" s="10" customFormat="1">
      <c r="A90" s="713" t="s">
        <v>12</v>
      </c>
      <c r="B90" s="716" t="s">
        <v>112</v>
      </c>
      <c r="C90" s="44" t="s">
        <v>3</v>
      </c>
      <c r="D90" s="45">
        <f>SUM(D91:D94)</f>
        <v>1430883.7283799998</v>
      </c>
      <c r="E90" s="45" t="e">
        <f>SUM(E91:E94)</f>
        <v>#REF!</v>
      </c>
      <c r="F90" s="45" t="e">
        <f>SUM(F91:F94)</f>
        <v>#REF!</v>
      </c>
      <c r="G90" s="46">
        <f t="shared" si="9"/>
        <v>0</v>
      </c>
      <c r="H90" s="716"/>
      <c r="I90" s="18" t="s">
        <v>45</v>
      </c>
      <c r="J90" s="32">
        <f>SUM(J95,J145,J160)</f>
        <v>13</v>
      </c>
      <c r="K90" s="751" t="s">
        <v>66</v>
      </c>
      <c r="L90" s="751"/>
      <c r="M90" s="822">
        <v>823</v>
      </c>
    </row>
    <row r="91" spans="1:13" s="10" customFormat="1">
      <c r="A91" s="714"/>
      <c r="B91" s="717"/>
      <c r="C91" s="44" t="s">
        <v>4</v>
      </c>
      <c r="D91" s="45">
        <f>SUM(D96,D146,D161)</f>
        <v>1401877.7383799998</v>
      </c>
      <c r="E91" s="45" t="e">
        <f>SUM(E96,E146,E161)</f>
        <v>#REF!</v>
      </c>
      <c r="F91" s="45" t="e">
        <f>SUM(F96,F146,F161)</f>
        <v>#REF!</v>
      </c>
      <c r="G91" s="46">
        <f t="shared" si="9"/>
        <v>0</v>
      </c>
      <c r="H91" s="717"/>
      <c r="I91" s="18" t="s">
        <v>46</v>
      </c>
      <c r="J91" s="19">
        <f>SUM(J96,J146,J161)</f>
        <v>2</v>
      </c>
      <c r="K91" s="752"/>
      <c r="L91" s="752"/>
      <c r="M91" s="823"/>
    </row>
    <row r="92" spans="1:13" s="10" customFormat="1">
      <c r="A92" s="714"/>
      <c r="B92" s="717"/>
      <c r="C92" s="44" t="s">
        <v>5</v>
      </c>
      <c r="D92" s="45">
        <f>SUM(D97,D147,D162)</f>
        <v>8149.8</v>
      </c>
      <c r="E92" s="45" t="e">
        <f t="shared" ref="E92:F94" si="10">SUM(E97,E147,E162)</f>
        <v>#REF!</v>
      </c>
      <c r="F92" s="45" t="e">
        <f t="shared" si="10"/>
        <v>#REF!</v>
      </c>
      <c r="G92" s="46">
        <f t="shared" si="9"/>
        <v>0</v>
      </c>
      <c r="H92" s="717"/>
      <c r="I92" s="18" t="s">
        <v>47</v>
      </c>
      <c r="J92" s="19">
        <f>SUM(J97,J147,J162)</f>
        <v>6</v>
      </c>
      <c r="K92" s="752"/>
      <c r="L92" s="752"/>
      <c r="M92" s="823"/>
    </row>
    <row r="93" spans="1:13" s="10" customFormat="1">
      <c r="A93" s="714"/>
      <c r="B93" s="717"/>
      <c r="C93" s="44" t="s">
        <v>6</v>
      </c>
      <c r="D93" s="45">
        <f>SUM(D98,D148,D163)</f>
        <v>20856.189999999999</v>
      </c>
      <c r="E93" s="45">
        <f t="shared" si="10"/>
        <v>0</v>
      </c>
      <c r="F93" s="45">
        <f t="shared" si="10"/>
        <v>0</v>
      </c>
      <c r="G93" s="46">
        <f t="shared" si="9"/>
        <v>0</v>
      </c>
      <c r="H93" s="717"/>
      <c r="I93" s="18" t="s">
        <v>48</v>
      </c>
      <c r="J93" s="19">
        <f>SUM(J98,J148,J163)</f>
        <v>5</v>
      </c>
      <c r="K93" s="752"/>
      <c r="L93" s="752"/>
      <c r="M93" s="823"/>
    </row>
    <row r="94" spans="1:13" s="10" customFormat="1">
      <c r="A94" s="715"/>
      <c r="B94" s="718"/>
      <c r="C94" s="44" t="s">
        <v>7</v>
      </c>
      <c r="D94" s="45">
        <v>0</v>
      </c>
      <c r="E94" s="45">
        <f t="shared" si="10"/>
        <v>0</v>
      </c>
      <c r="F94" s="45">
        <f t="shared" si="10"/>
        <v>0</v>
      </c>
      <c r="G94" s="46">
        <f t="shared" si="9"/>
        <v>0</v>
      </c>
      <c r="H94" s="718"/>
      <c r="I94" s="18" t="s">
        <v>49</v>
      </c>
      <c r="J94" s="20">
        <f>(J91+0.5*J92)/J90</f>
        <v>0.38461538461538464</v>
      </c>
      <c r="K94" s="752"/>
      <c r="L94" s="752"/>
      <c r="M94" s="892"/>
    </row>
    <row r="95" spans="1:13" s="10" customFormat="1">
      <c r="A95" s="692" t="s">
        <v>88</v>
      </c>
      <c r="B95" s="731" t="s">
        <v>113</v>
      </c>
      <c r="C95" s="39" t="s">
        <v>3</v>
      </c>
      <c r="D95" s="40">
        <f>SUM(D96:D99)</f>
        <v>1352353.3295099998</v>
      </c>
      <c r="E95" s="40" t="e">
        <f>SUM(E96:E99)</f>
        <v>#REF!</v>
      </c>
      <c r="F95" s="40" t="e">
        <f>SUM(F96:F99)</f>
        <v>#REF!</v>
      </c>
      <c r="G95" s="37">
        <f t="shared" si="9"/>
        <v>0</v>
      </c>
      <c r="H95" s="778" t="s">
        <v>157</v>
      </c>
      <c r="I95" s="18" t="s">
        <v>45</v>
      </c>
      <c r="J95" s="19">
        <f>SUM(J96:J98)</f>
        <v>9</v>
      </c>
      <c r="K95" s="725" t="s">
        <v>103</v>
      </c>
      <c r="L95" s="761"/>
      <c r="M95" s="763">
        <v>823</v>
      </c>
    </row>
    <row r="96" spans="1:13" s="10" customFormat="1">
      <c r="A96" s="693"/>
      <c r="B96" s="749"/>
      <c r="C96" s="39" t="s">
        <v>4</v>
      </c>
      <c r="D96" s="40">
        <f>SUM(D101,D106,D111,D116,D121,D126,D131,D136,D141)</f>
        <v>1352353.3295099998</v>
      </c>
      <c r="E96" s="40" t="e">
        <f>SUM(E101,E106,E111,E116,E121,E126,E131,E136,E141)</f>
        <v>#REF!</v>
      </c>
      <c r="F96" s="40" t="e">
        <f>SUM(F101,F106,F111,F116,F121,F126,F131,F136,F141)</f>
        <v>#REF!</v>
      </c>
      <c r="G96" s="37">
        <f t="shared" si="9"/>
        <v>0</v>
      </c>
      <c r="H96" s="749"/>
      <c r="I96" s="18" t="s">
        <v>46</v>
      </c>
      <c r="J96" s="19">
        <f>COUNTIF($J$100:$J$144,"Да")</f>
        <v>2</v>
      </c>
      <c r="K96" s="725"/>
      <c r="L96" s="762"/>
      <c r="M96" s="764"/>
    </row>
    <row r="97" spans="1:13" s="10" customFormat="1">
      <c r="A97" s="693"/>
      <c r="B97" s="749"/>
      <c r="C97" s="39" t="s">
        <v>5</v>
      </c>
      <c r="D97" s="40">
        <v>0</v>
      </c>
      <c r="E97" s="40">
        <v>0</v>
      </c>
      <c r="F97" s="40">
        <v>0</v>
      </c>
      <c r="G97" s="37">
        <f t="shared" si="9"/>
        <v>0</v>
      </c>
      <c r="H97" s="749"/>
      <c r="I97" s="18" t="s">
        <v>47</v>
      </c>
      <c r="J97" s="19">
        <f>COUNTIF($J$100:$J$144,"Частично")</f>
        <v>3</v>
      </c>
      <c r="K97" s="725"/>
      <c r="L97" s="762"/>
      <c r="M97" s="764"/>
    </row>
    <row r="98" spans="1:13" s="10" customFormat="1">
      <c r="A98" s="693"/>
      <c r="B98" s="749"/>
      <c r="C98" s="39" t="s">
        <v>6</v>
      </c>
      <c r="D98" s="40">
        <v>0</v>
      </c>
      <c r="E98" s="40">
        <v>0</v>
      </c>
      <c r="F98" s="40">
        <v>0</v>
      </c>
      <c r="G98" s="37">
        <f t="shared" si="9"/>
        <v>0</v>
      </c>
      <c r="H98" s="749"/>
      <c r="I98" s="18" t="s">
        <v>48</v>
      </c>
      <c r="J98" s="19">
        <f>COUNTIF($J$100:$J$144,"Нет")</f>
        <v>4</v>
      </c>
      <c r="K98" s="725"/>
      <c r="L98" s="762"/>
      <c r="M98" s="764"/>
    </row>
    <row r="99" spans="1:13" s="10" customFormat="1">
      <c r="A99" s="694"/>
      <c r="B99" s="750"/>
      <c r="C99" s="39" t="s">
        <v>7</v>
      </c>
      <c r="D99" s="40">
        <v>0</v>
      </c>
      <c r="E99" s="40">
        <v>0</v>
      </c>
      <c r="F99" s="40">
        <v>0</v>
      </c>
      <c r="G99" s="37">
        <f t="shared" si="9"/>
        <v>0</v>
      </c>
      <c r="H99" s="750"/>
      <c r="I99" s="18" t="s">
        <v>49</v>
      </c>
      <c r="J99" s="20">
        <f>(J96+0.5*J97)/J95</f>
        <v>0.3888888888888889</v>
      </c>
      <c r="K99" s="725"/>
      <c r="L99" s="771"/>
      <c r="M99" s="834"/>
    </row>
    <row r="100" spans="1:13" s="10" customFormat="1" ht="15" customHeight="1">
      <c r="A100" s="710" t="s">
        <v>13</v>
      </c>
      <c r="B100" s="740" t="s">
        <v>14</v>
      </c>
      <c r="C100" s="175" t="s">
        <v>3</v>
      </c>
      <c r="D100" s="185">
        <f>SUM(D101:D104)</f>
        <v>2106.6577000000002</v>
      </c>
      <c r="E100" s="180" t="e">
        <f>SUM(E101:E104)</f>
        <v>#REF!</v>
      </c>
      <c r="F100" s="180" t="e">
        <f>SUM(F101:F104)</f>
        <v>#REF!</v>
      </c>
      <c r="G100" s="174">
        <f t="shared" si="9"/>
        <v>0</v>
      </c>
      <c r="H100" s="743" t="s">
        <v>156</v>
      </c>
      <c r="I100" s="746" t="s">
        <v>649</v>
      </c>
      <c r="J100" s="753" t="s">
        <v>664</v>
      </c>
      <c r="K100" s="708" t="s">
        <v>89</v>
      </c>
      <c r="L100" s="701" t="s">
        <v>632</v>
      </c>
      <c r="M100" s="679">
        <v>823</v>
      </c>
    </row>
    <row r="101" spans="1:13" s="10" customFormat="1" ht="15" customHeight="1">
      <c r="A101" s="711"/>
      <c r="B101" s="741"/>
      <c r="C101" s="175" t="s">
        <v>4</v>
      </c>
      <c r="D101" s="189">
        <f>'334-ПП'!F225</f>
        <v>2106.6577000000002</v>
      </c>
      <c r="E101" s="183" t="e">
        <f>#REF!</f>
        <v>#REF!</v>
      </c>
      <c r="F101" s="183" t="e">
        <f>E101</f>
        <v>#REF!</v>
      </c>
      <c r="G101" s="174">
        <f t="shared" si="9"/>
        <v>0</v>
      </c>
      <c r="H101" s="744"/>
      <c r="I101" s="747"/>
      <c r="J101" s="754"/>
      <c r="K101" s="916"/>
      <c r="L101" s="702"/>
      <c r="M101" s="680"/>
    </row>
    <row r="102" spans="1:13" s="10" customFormat="1" ht="15" customHeight="1">
      <c r="A102" s="711"/>
      <c r="B102" s="741"/>
      <c r="C102" s="175" t="s">
        <v>5</v>
      </c>
      <c r="D102" s="183">
        <v>0</v>
      </c>
      <c r="E102" s="183">
        <v>0</v>
      </c>
      <c r="F102" s="183">
        <v>0</v>
      </c>
      <c r="G102" s="174">
        <f t="shared" si="9"/>
        <v>0</v>
      </c>
      <c r="H102" s="744"/>
      <c r="I102" s="747"/>
      <c r="J102" s="754"/>
      <c r="K102" s="916"/>
      <c r="L102" s="702"/>
      <c r="M102" s="680"/>
    </row>
    <row r="103" spans="1:13" s="10" customFormat="1" ht="15" customHeight="1">
      <c r="A103" s="711"/>
      <c r="B103" s="741"/>
      <c r="C103" s="175" t="s">
        <v>6</v>
      </c>
      <c r="D103" s="183">
        <v>0</v>
      </c>
      <c r="E103" s="183">
        <v>0</v>
      </c>
      <c r="F103" s="183">
        <v>0</v>
      </c>
      <c r="G103" s="174">
        <f t="shared" si="9"/>
        <v>0</v>
      </c>
      <c r="H103" s="744"/>
      <c r="I103" s="747"/>
      <c r="J103" s="754"/>
      <c r="K103" s="916"/>
      <c r="L103" s="702"/>
      <c r="M103" s="680"/>
    </row>
    <row r="104" spans="1:13" s="10" customFormat="1" ht="15" customHeight="1">
      <c r="A104" s="712"/>
      <c r="B104" s="742"/>
      <c r="C104" s="175" t="s">
        <v>7</v>
      </c>
      <c r="D104" s="183">
        <v>0</v>
      </c>
      <c r="E104" s="183">
        <v>0</v>
      </c>
      <c r="F104" s="183">
        <v>0</v>
      </c>
      <c r="G104" s="174">
        <f t="shared" si="9"/>
        <v>0</v>
      </c>
      <c r="H104" s="745"/>
      <c r="I104" s="748"/>
      <c r="J104" s="755"/>
      <c r="K104" s="917"/>
      <c r="L104" s="703"/>
      <c r="M104" s="681"/>
    </row>
    <row r="105" spans="1:13" s="10" customFormat="1" ht="22.5" customHeight="1">
      <c r="A105" s="710" t="s">
        <v>40</v>
      </c>
      <c r="B105" s="740" t="s">
        <v>114</v>
      </c>
      <c r="C105" s="175" t="s">
        <v>3</v>
      </c>
      <c r="D105" s="180">
        <f>SUM(D106:D109)</f>
        <v>52004</v>
      </c>
      <c r="E105" s="180" t="e">
        <f>SUM(E106:E109)</f>
        <v>#REF!</v>
      </c>
      <c r="F105" s="180" t="e">
        <f>SUM(F106:F109)</f>
        <v>#REF!</v>
      </c>
      <c r="G105" s="174">
        <f t="shared" si="9"/>
        <v>0</v>
      </c>
      <c r="H105" s="743" t="s">
        <v>90</v>
      </c>
      <c r="I105" s="737" t="s">
        <v>648</v>
      </c>
      <c r="J105" s="727" t="s">
        <v>177</v>
      </c>
      <c r="K105" s="709" t="s">
        <v>65</v>
      </c>
      <c r="L105" s="701"/>
      <c r="M105" s="675">
        <v>823</v>
      </c>
    </row>
    <row r="106" spans="1:13" s="10" customFormat="1" ht="23.25" customHeight="1">
      <c r="A106" s="711"/>
      <c r="B106" s="741"/>
      <c r="C106" s="175" t="s">
        <v>4</v>
      </c>
      <c r="D106" s="189">
        <f>'334-ПП'!F232</f>
        <v>52004</v>
      </c>
      <c r="E106" s="189" t="e">
        <f>#REF!</f>
        <v>#REF!</v>
      </c>
      <c r="F106" s="189" t="e">
        <f>E106</f>
        <v>#REF!</v>
      </c>
      <c r="G106" s="174">
        <f t="shared" si="9"/>
        <v>0</v>
      </c>
      <c r="H106" s="744"/>
      <c r="I106" s="782"/>
      <c r="J106" s="667"/>
      <c r="K106" s="673"/>
      <c r="L106" s="702"/>
      <c r="M106" s="676"/>
    </row>
    <row r="107" spans="1:13" s="10" customFormat="1" ht="24" customHeight="1">
      <c r="A107" s="711"/>
      <c r="B107" s="741"/>
      <c r="C107" s="175" t="s">
        <v>5</v>
      </c>
      <c r="D107" s="183">
        <v>0</v>
      </c>
      <c r="E107" s="183">
        <v>0</v>
      </c>
      <c r="F107" s="183">
        <v>0</v>
      </c>
      <c r="G107" s="174">
        <f t="shared" si="9"/>
        <v>0</v>
      </c>
      <c r="H107" s="744"/>
      <c r="I107" s="782"/>
      <c r="J107" s="667"/>
      <c r="K107" s="673"/>
      <c r="L107" s="702"/>
      <c r="M107" s="676"/>
    </row>
    <row r="108" spans="1:13" s="10" customFormat="1" ht="24" customHeight="1">
      <c r="A108" s="711"/>
      <c r="B108" s="741"/>
      <c r="C108" s="175" t="s">
        <v>6</v>
      </c>
      <c r="D108" s="183">
        <v>0</v>
      </c>
      <c r="E108" s="183">
        <v>0</v>
      </c>
      <c r="F108" s="183">
        <v>0</v>
      </c>
      <c r="G108" s="174">
        <f t="shared" si="9"/>
        <v>0</v>
      </c>
      <c r="H108" s="744"/>
      <c r="I108" s="782"/>
      <c r="J108" s="667"/>
      <c r="K108" s="673"/>
      <c r="L108" s="702"/>
      <c r="M108" s="676"/>
    </row>
    <row r="109" spans="1:13" s="10" customFormat="1" ht="25.5" customHeight="1">
      <c r="A109" s="712"/>
      <c r="B109" s="742"/>
      <c r="C109" s="175" t="s">
        <v>7</v>
      </c>
      <c r="D109" s="183">
        <v>0</v>
      </c>
      <c r="E109" s="183">
        <v>0</v>
      </c>
      <c r="F109" s="183">
        <v>0</v>
      </c>
      <c r="G109" s="174">
        <f t="shared" si="9"/>
        <v>0</v>
      </c>
      <c r="H109" s="745"/>
      <c r="I109" s="783"/>
      <c r="J109" s="668"/>
      <c r="K109" s="673"/>
      <c r="L109" s="703"/>
      <c r="M109" s="677"/>
    </row>
    <row r="110" spans="1:13" s="10" customFormat="1" ht="15" customHeight="1">
      <c r="A110" s="710" t="s">
        <v>41</v>
      </c>
      <c r="B110" s="740" t="s">
        <v>36</v>
      </c>
      <c r="C110" s="175" t="s">
        <v>3</v>
      </c>
      <c r="D110" s="180">
        <f>SUM(D111:D114)</f>
        <v>44.82</v>
      </c>
      <c r="E110" s="180" t="e">
        <f>SUM(E111:E114)</f>
        <v>#REF!</v>
      </c>
      <c r="F110" s="180" t="e">
        <f>SUM(F111:F114)</f>
        <v>#REF!</v>
      </c>
      <c r="G110" s="174">
        <f t="shared" si="9"/>
        <v>0</v>
      </c>
      <c r="H110" s="743" t="s">
        <v>75</v>
      </c>
      <c r="I110" s="709" t="s">
        <v>659</v>
      </c>
      <c r="J110" s="727" t="s">
        <v>178</v>
      </c>
      <c r="K110" s="700" t="s">
        <v>207</v>
      </c>
      <c r="L110" s="701" t="s">
        <v>632</v>
      </c>
      <c r="M110" s="675">
        <v>823</v>
      </c>
    </row>
    <row r="111" spans="1:13" s="10" customFormat="1" ht="15" customHeight="1">
      <c r="A111" s="711"/>
      <c r="B111" s="741"/>
      <c r="C111" s="175" t="s">
        <v>4</v>
      </c>
      <c r="D111" s="189">
        <f>'334-ПП'!F239</f>
        <v>44.82</v>
      </c>
      <c r="E111" s="183" t="e">
        <f>#REF!</f>
        <v>#REF!</v>
      </c>
      <c r="F111" s="183" t="e">
        <f>E111</f>
        <v>#REF!</v>
      </c>
      <c r="G111" s="174">
        <f t="shared" si="9"/>
        <v>0</v>
      </c>
      <c r="H111" s="744"/>
      <c r="I111" s="673"/>
      <c r="J111" s="667"/>
      <c r="K111" s="700"/>
      <c r="L111" s="702"/>
      <c r="M111" s="676"/>
    </row>
    <row r="112" spans="1:13" s="10" customFormat="1" ht="15" customHeight="1">
      <c r="A112" s="711"/>
      <c r="B112" s="741"/>
      <c r="C112" s="175" t="s">
        <v>5</v>
      </c>
      <c r="D112" s="183">
        <v>0</v>
      </c>
      <c r="E112" s="183">
        <v>0</v>
      </c>
      <c r="F112" s="183">
        <v>0</v>
      </c>
      <c r="G112" s="174">
        <f t="shared" si="9"/>
        <v>0</v>
      </c>
      <c r="H112" s="744"/>
      <c r="I112" s="673"/>
      <c r="J112" s="667"/>
      <c r="K112" s="700"/>
      <c r="L112" s="702"/>
      <c r="M112" s="676"/>
    </row>
    <row r="113" spans="1:13" s="10" customFormat="1" ht="15" customHeight="1">
      <c r="A113" s="711"/>
      <c r="B113" s="741"/>
      <c r="C113" s="175" t="s">
        <v>6</v>
      </c>
      <c r="D113" s="183">
        <v>0</v>
      </c>
      <c r="E113" s="183">
        <v>0</v>
      </c>
      <c r="F113" s="183">
        <v>0</v>
      </c>
      <c r="G113" s="174">
        <f t="shared" si="9"/>
        <v>0</v>
      </c>
      <c r="H113" s="744"/>
      <c r="I113" s="673"/>
      <c r="J113" s="667"/>
      <c r="K113" s="700"/>
      <c r="L113" s="702"/>
      <c r="M113" s="676"/>
    </row>
    <row r="114" spans="1:13" s="10" customFormat="1" ht="27.75" customHeight="1">
      <c r="A114" s="712"/>
      <c r="B114" s="742"/>
      <c r="C114" s="175" t="s">
        <v>7</v>
      </c>
      <c r="D114" s="183">
        <v>0</v>
      </c>
      <c r="E114" s="183">
        <v>0</v>
      </c>
      <c r="F114" s="183">
        <v>0</v>
      </c>
      <c r="G114" s="174">
        <f t="shared" si="9"/>
        <v>0</v>
      </c>
      <c r="H114" s="745"/>
      <c r="I114" s="674"/>
      <c r="J114" s="668"/>
      <c r="K114" s="700"/>
      <c r="L114" s="703"/>
      <c r="M114" s="677"/>
    </row>
    <row r="115" spans="1:13" s="10" customFormat="1" ht="15" customHeight="1">
      <c r="A115" s="710" t="s">
        <v>42</v>
      </c>
      <c r="B115" s="740" t="s">
        <v>9</v>
      </c>
      <c r="C115" s="175" t="s">
        <v>3</v>
      </c>
      <c r="D115" s="180">
        <f>SUM(D116:D119)</f>
        <v>1165558.7260199999</v>
      </c>
      <c r="E115" s="183" t="e">
        <f>SUM(E116:E119)</f>
        <v>#REF!</v>
      </c>
      <c r="F115" s="183" t="e">
        <f>SUM(F116:F119)</f>
        <v>#REF!</v>
      </c>
      <c r="G115" s="174">
        <f t="shared" si="9"/>
        <v>0</v>
      </c>
      <c r="H115" s="743" t="s">
        <v>76</v>
      </c>
      <c r="I115" s="701" t="s">
        <v>212</v>
      </c>
      <c r="J115" s="727" t="s">
        <v>178</v>
      </c>
      <c r="K115" s="709" t="s">
        <v>208</v>
      </c>
      <c r="L115" s="701"/>
      <c r="M115" s="705">
        <v>823</v>
      </c>
    </row>
    <row r="116" spans="1:13" s="10" customFormat="1" ht="15" customHeight="1">
      <c r="A116" s="711"/>
      <c r="B116" s="741"/>
      <c r="C116" s="175" t="s">
        <v>4</v>
      </c>
      <c r="D116" s="189">
        <f>'334-ПП'!F246</f>
        <v>1165558.7260199999</v>
      </c>
      <c r="E116" s="183" t="e">
        <f>#REF!</f>
        <v>#REF!</v>
      </c>
      <c r="F116" s="183" t="e">
        <f>E116</f>
        <v>#REF!</v>
      </c>
      <c r="G116" s="174">
        <f t="shared" si="9"/>
        <v>0</v>
      </c>
      <c r="H116" s="744"/>
      <c r="I116" s="702"/>
      <c r="J116" s="667"/>
      <c r="K116" s="673"/>
      <c r="L116" s="702"/>
      <c r="M116" s="706"/>
    </row>
    <row r="117" spans="1:13" s="10" customFormat="1" ht="15" customHeight="1">
      <c r="A117" s="711"/>
      <c r="B117" s="741"/>
      <c r="C117" s="175" t="s">
        <v>5</v>
      </c>
      <c r="D117" s="183">
        <v>0</v>
      </c>
      <c r="E117" s="183">
        <v>0</v>
      </c>
      <c r="F117" s="183">
        <v>0</v>
      </c>
      <c r="G117" s="174">
        <f t="shared" si="9"/>
        <v>0</v>
      </c>
      <c r="H117" s="744"/>
      <c r="I117" s="702"/>
      <c r="J117" s="667"/>
      <c r="K117" s="673"/>
      <c r="L117" s="702"/>
      <c r="M117" s="706"/>
    </row>
    <row r="118" spans="1:13" s="10" customFormat="1" ht="15" customHeight="1">
      <c r="A118" s="711"/>
      <c r="B118" s="741"/>
      <c r="C118" s="175" t="s">
        <v>6</v>
      </c>
      <c r="D118" s="183">
        <v>0</v>
      </c>
      <c r="E118" s="183">
        <v>0</v>
      </c>
      <c r="F118" s="183">
        <v>0</v>
      </c>
      <c r="G118" s="174">
        <f t="shared" si="9"/>
        <v>0</v>
      </c>
      <c r="H118" s="744"/>
      <c r="I118" s="702"/>
      <c r="J118" s="667"/>
      <c r="K118" s="673"/>
      <c r="L118" s="702"/>
      <c r="M118" s="706"/>
    </row>
    <row r="119" spans="1:13" s="10" customFormat="1" ht="25.5" customHeight="1">
      <c r="A119" s="712"/>
      <c r="B119" s="742"/>
      <c r="C119" s="175" t="s">
        <v>7</v>
      </c>
      <c r="D119" s="183">
        <v>0</v>
      </c>
      <c r="E119" s="183">
        <v>0</v>
      </c>
      <c r="F119" s="183">
        <v>0</v>
      </c>
      <c r="G119" s="174">
        <f t="shared" si="9"/>
        <v>0</v>
      </c>
      <c r="H119" s="745"/>
      <c r="I119" s="703"/>
      <c r="J119" s="668"/>
      <c r="K119" s="673"/>
      <c r="L119" s="703"/>
      <c r="M119" s="707"/>
    </row>
    <row r="120" spans="1:13" s="10" customFormat="1" ht="15" customHeight="1">
      <c r="A120" s="710" t="s">
        <v>43</v>
      </c>
      <c r="B120" s="740" t="s">
        <v>213</v>
      </c>
      <c r="C120" s="175" t="s">
        <v>3</v>
      </c>
      <c r="D120" s="180">
        <f>SUM(D121:D124)</f>
        <v>5394</v>
      </c>
      <c r="E120" s="180" t="e">
        <f>SUM(E121:E124)</f>
        <v>#REF!</v>
      </c>
      <c r="F120" s="180" t="e">
        <f>SUM(F121:F124)</f>
        <v>#REF!</v>
      </c>
      <c r="G120" s="174">
        <f t="shared" si="9"/>
        <v>0</v>
      </c>
      <c r="H120" s="772" t="s">
        <v>214</v>
      </c>
      <c r="I120" s="701" t="s">
        <v>215</v>
      </c>
      <c r="J120" s="727" t="s">
        <v>178</v>
      </c>
      <c r="K120" s="709" t="s">
        <v>208</v>
      </c>
      <c r="L120" s="701"/>
      <c r="M120" s="705">
        <v>823</v>
      </c>
    </row>
    <row r="121" spans="1:13" s="10" customFormat="1" ht="15" customHeight="1">
      <c r="A121" s="711"/>
      <c r="B121" s="741"/>
      <c r="C121" s="175" t="s">
        <v>4</v>
      </c>
      <c r="D121" s="189">
        <f>'334-ПП'!F253</f>
        <v>5394</v>
      </c>
      <c r="E121" s="183" t="e">
        <f>#REF!</f>
        <v>#REF!</v>
      </c>
      <c r="F121" s="183" t="e">
        <f>E121</f>
        <v>#REF!</v>
      </c>
      <c r="G121" s="174">
        <f t="shared" si="9"/>
        <v>0</v>
      </c>
      <c r="H121" s="773"/>
      <c r="I121" s="702"/>
      <c r="J121" s="667"/>
      <c r="K121" s="673"/>
      <c r="L121" s="702"/>
      <c r="M121" s="706"/>
    </row>
    <row r="122" spans="1:13" s="10" customFormat="1" ht="15" customHeight="1">
      <c r="A122" s="711"/>
      <c r="B122" s="741"/>
      <c r="C122" s="175" t="s">
        <v>5</v>
      </c>
      <c r="D122" s="183">
        <v>0</v>
      </c>
      <c r="E122" s="183">
        <v>0</v>
      </c>
      <c r="F122" s="183">
        <v>0</v>
      </c>
      <c r="G122" s="174">
        <f t="shared" si="9"/>
        <v>0</v>
      </c>
      <c r="H122" s="773"/>
      <c r="I122" s="702"/>
      <c r="J122" s="667"/>
      <c r="K122" s="673"/>
      <c r="L122" s="702"/>
      <c r="M122" s="706"/>
    </row>
    <row r="123" spans="1:13" s="10" customFormat="1" ht="15" customHeight="1">
      <c r="A123" s="711"/>
      <c r="B123" s="741"/>
      <c r="C123" s="175" t="s">
        <v>6</v>
      </c>
      <c r="D123" s="183">
        <v>0</v>
      </c>
      <c r="E123" s="183">
        <v>0</v>
      </c>
      <c r="F123" s="183">
        <v>0</v>
      </c>
      <c r="G123" s="174">
        <f t="shared" si="9"/>
        <v>0</v>
      </c>
      <c r="H123" s="773"/>
      <c r="I123" s="702"/>
      <c r="J123" s="667"/>
      <c r="K123" s="673"/>
      <c r="L123" s="702"/>
      <c r="M123" s="706"/>
    </row>
    <row r="124" spans="1:13" s="10" customFormat="1" ht="20.25" customHeight="1">
      <c r="A124" s="712"/>
      <c r="B124" s="742"/>
      <c r="C124" s="175" t="s">
        <v>7</v>
      </c>
      <c r="D124" s="183">
        <v>0</v>
      </c>
      <c r="E124" s="183">
        <v>0</v>
      </c>
      <c r="F124" s="183">
        <v>0</v>
      </c>
      <c r="G124" s="174">
        <f t="shared" si="9"/>
        <v>0</v>
      </c>
      <c r="H124" s="774"/>
      <c r="I124" s="703"/>
      <c r="J124" s="668"/>
      <c r="K124" s="673"/>
      <c r="L124" s="703"/>
      <c r="M124" s="707"/>
    </row>
    <row r="125" spans="1:13" ht="15" customHeight="1">
      <c r="A125" s="868" t="s">
        <v>115</v>
      </c>
      <c r="B125" s="857" t="s">
        <v>116</v>
      </c>
      <c r="C125" s="190" t="s">
        <v>3</v>
      </c>
      <c r="D125" s="191">
        <f>SUM(D126:D129)</f>
        <v>5512.3869999999997</v>
      </c>
      <c r="E125" s="192" t="e">
        <f>SUM(E126:E129)</f>
        <v>#REF!</v>
      </c>
      <c r="F125" s="192" t="e">
        <f>SUM(F126:F129)</f>
        <v>#REF!</v>
      </c>
      <c r="G125" s="174">
        <f t="shared" si="9"/>
        <v>0</v>
      </c>
      <c r="H125" s="857" t="s">
        <v>155</v>
      </c>
      <c r="I125" s="709" t="s">
        <v>222</v>
      </c>
      <c r="J125" s="699" t="s">
        <v>206</v>
      </c>
      <c r="K125" s="708" t="s">
        <v>10</v>
      </c>
      <c r="L125" s="701" t="s">
        <v>638</v>
      </c>
      <c r="M125" s="705">
        <v>823</v>
      </c>
    </row>
    <row r="126" spans="1:13" ht="15" customHeight="1">
      <c r="A126" s="868"/>
      <c r="B126" s="858"/>
      <c r="C126" s="190" t="s">
        <v>4</v>
      </c>
      <c r="D126" s="191">
        <f>'334-ПП'!F295</f>
        <v>5512.3869999999997</v>
      </c>
      <c r="E126" s="192" t="e">
        <f>#REF!</f>
        <v>#REF!</v>
      </c>
      <c r="F126" s="192" t="e">
        <f>E126</f>
        <v>#REF!</v>
      </c>
      <c r="G126" s="174">
        <f t="shared" si="9"/>
        <v>0</v>
      </c>
      <c r="H126" s="858"/>
      <c r="I126" s="667"/>
      <c r="J126" s="670"/>
      <c r="K126" s="667"/>
      <c r="L126" s="702"/>
      <c r="M126" s="706"/>
    </row>
    <row r="127" spans="1:13" ht="15" customHeight="1">
      <c r="A127" s="868"/>
      <c r="B127" s="858"/>
      <c r="C127" s="190" t="s">
        <v>5</v>
      </c>
      <c r="D127" s="191">
        <v>0</v>
      </c>
      <c r="E127" s="192">
        <v>0</v>
      </c>
      <c r="F127" s="192">
        <v>0</v>
      </c>
      <c r="G127" s="174">
        <f t="shared" si="9"/>
        <v>0</v>
      </c>
      <c r="H127" s="858"/>
      <c r="I127" s="667"/>
      <c r="J127" s="670"/>
      <c r="K127" s="667"/>
      <c r="L127" s="702"/>
      <c r="M127" s="706"/>
    </row>
    <row r="128" spans="1:13" ht="15" customHeight="1">
      <c r="A128" s="868"/>
      <c r="B128" s="858"/>
      <c r="C128" s="190" t="s">
        <v>6</v>
      </c>
      <c r="D128" s="191">
        <v>0</v>
      </c>
      <c r="E128" s="192">
        <v>0</v>
      </c>
      <c r="F128" s="192">
        <v>0</v>
      </c>
      <c r="G128" s="174">
        <f t="shared" si="9"/>
        <v>0</v>
      </c>
      <c r="H128" s="858"/>
      <c r="I128" s="667"/>
      <c r="J128" s="670"/>
      <c r="K128" s="667"/>
      <c r="L128" s="702"/>
      <c r="M128" s="706"/>
    </row>
    <row r="129" spans="1:13" ht="15" customHeight="1">
      <c r="A129" s="868"/>
      <c r="B129" s="859"/>
      <c r="C129" s="190" t="s">
        <v>7</v>
      </c>
      <c r="D129" s="191">
        <v>0</v>
      </c>
      <c r="E129" s="192">
        <v>0</v>
      </c>
      <c r="F129" s="192">
        <v>0</v>
      </c>
      <c r="G129" s="174">
        <f t="shared" si="9"/>
        <v>0</v>
      </c>
      <c r="H129" s="859"/>
      <c r="I129" s="668"/>
      <c r="J129" s="671"/>
      <c r="K129" s="668"/>
      <c r="L129" s="703"/>
      <c r="M129" s="707"/>
    </row>
    <row r="130" spans="1:13" ht="15">
      <c r="A130" s="857" t="s">
        <v>117</v>
      </c>
      <c r="B130" s="857" t="s">
        <v>118</v>
      </c>
      <c r="C130" s="190" t="s">
        <v>3</v>
      </c>
      <c r="D130" s="191">
        <f>SUM(D131:D134)</f>
        <v>39294.720789999999</v>
      </c>
      <c r="E130" s="192" t="e">
        <f>SUM(E131:E134)</f>
        <v>#REF!</v>
      </c>
      <c r="F130" s="192" t="e">
        <f>SUM(F131:F134)</f>
        <v>#REF!</v>
      </c>
      <c r="G130" s="174">
        <f t="shared" si="9"/>
        <v>0</v>
      </c>
      <c r="H130" s="772" t="s">
        <v>118</v>
      </c>
      <c r="I130" s="709" t="s">
        <v>661</v>
      </c>
      <c r="J130" s="699" t="s">
        <v>177</v>
      </c>
      <c r="K130" s="708" t="s">
        <v>140</v>
      </c>
      <c r="L130" s="709"/>
      <c r="M130" s="705">
        <v>823</v>
      </c>
    </row>
    <row r="131" spans="1:13" ht="15">
      <c r="A131" s="858"/>
      <c r="B131" s="858"/>
      <c r="C131" s="190" t="s">
        <v>4</v>
      </c>
      <c r="D131" s="191">
        <f>'334-ПП'!F323</f>
        <v>39294.720789999999</v>
      </c>
      <c r="E131" s="192" t="e">
        <f>#REF!</f>
        <v>#REF!</v>
      </c>
      <c r="F131" s="192" t="e">
        <f>E131</f>
        <v>#REF!</v>
      </c>
      <c r="G131" s="174">
        <f t="shared" si="9"/>
        <v>0</v>
      </c>
      <c r="H131" s="852"/>
      <c r="I131" s="667"/>
      <c r="J131" s="667"/>
      <c r="K131" s="667"/>
      <c r="L131" s="667"/>
      <c r="M131" s="706"/>
    </row>
    <row r="132" spans="1:13" ht="15">
      <c r="A132" s="858"/>
      <c r="B132" s="858"/>
      <c r="C132" s="190" t="s">
        <v>5</v>
      </c>
      <c r="D132" s="191">
        <v>0</v>
      </c>
      <c r="E132" s="192">
        <v>0</v>
      </c>
      <c r="F132" s="192">
        <v>0</v>
      </c>
      <c r="G132" s="174">
        <f t="shared" si="9"/>
        <v>0</v>
      </c>
      <c r="H132" s="852"/>
      <c r="I132" s="667"/>
      <c r="J132" s="667"/>
      <c r="K132" s="667"/>
      <c r="L132" s="667"/>
      <c r="M132" s="706"/>
    </row>
    <row r="133" spans="1:13" ht="15">
      <c r="A133" s="858"/>
      <c r="B133" s="858"/>
      <c r="C133" s="190" t="s">
        <v>6</v>
      </c>
      <c r="D133" s="191">
        <v>0</v>
      </c>
      <c r="E133" s="192">
        <v>0</v>
      </c>
      <c r="F133" s="192">
        <v>0</v>
      </c>
      <c r="G133" s="174">
        <f t="shared" si="9"/>
        <v>0</v>
      </c>
      <c r="H133" s="852"/>
      <c r="I133" s="667"/>
      <c r="J133" s="667"/>
      <c r="K133" s="667"/>
      <c r="L133" s="667"/>
      <c r="M133" s="706"/>
    </row>
    <row r="134" spans="1:13" ht="15">
      <c r="A134" s="859"/>
      <c r="B134" s="859"/>
      <c r="C134" s="190" t="s">
        <v>7</v>
      </c>
      <c r="D134" s="191">
        <v>0</v>
      </c>
      <c r="E134" s="192">
        <v>0</v>
      </c>
      <c r="F134" s="192">
        <v>0</v>
      </c>
      <c r="G134" s="174">
        <f t="shared" si="9"/>
        <v>0</v>
      </c>
      <c r="H134" s="853"/>
      <c r="I134" s="668"/>
      <c r="J134" s="668"/>
      <c r="K134" s="668"/>
      <c r="L134" s="668"/>
      <c r="M134" s="707"/>
    </row>
    <row r="135" spans="1:13" ht="15" customHeight="1">
      <c r="A135" s="857" t="s">
        <v>152</v>
      </c>
      <c r="B135" s="857" t="s">
        <v>151</v>
      </c>
      <c r="C135" s="190" t="s">
        <v>3</v>
      </c>
      <c r="D135" s="191">
        <f>SUM(D136:D139)</f>
        <v>2438.018</v>
      </c>
      <c r="E135" s="192" t="e">
        <f>SUM(E136:E139)</f>
        <v>#REF!</v>
      </c>
      <c r="F135" s="192" t="e">
        <f>SUM(F136:F139)</f>
        <v>#REF!</v>
      </c>
      <c r="G135" s="174">
        <f t="shared" si="9"/>
        <v>0</v>
      </c>
      <c r="H135" s="772" t="s">
        <v>150</v>
      </c>
      <c r="I135" s="709" t="s">
        <v>665</v>
      </c>
      <c r="J135" s="753" t="s">
        <v>664</v>
      </c>
      <c r="K135" s="708" t="s">
        <v>10</v>
      </c>
      <c r="L135" s="701" t="s">
        <v>638</v>
      </c>
      <c r="M135" s="705">
        <v>823</v>
      </c>
    </row>
    <row r="136" spans="1:13" ht="15" customHeight="1">
      <c r="A136" s="858"/>
      <c r="B136" s="858"/>
      <c r="C136" s="190" t="s">
        <v>4</v>
      </c>
      <c r="D136" s="191">
        <f>'334-ПП'!F365</f>
        <v>2438.018</v>
      </c>
      <c r="E136" s="192" t="e">
        <f>#REF!</f>
        <v>#REF!</v>
      </c>
      <c r="F136" s="192" t="e">
        <f>E136</f>
        <v>#REF!</v>
      </c>
      <c r="G136" s="174">
        <f t="shared" ref="G136:G206" si="11">IFERROR(F136/D136,0)</f>
        <v>0</v>
      </c>
      <c r="H136" s="852"/>
      <c r="I136" s="667"/>
      <c r="J136" s="754"/>
      <c r="K136" s="667"/>
      <c r="L136" s="702"/>
      <c r="M136" s="706"/>
    </row>
    <row r="137" spans="1:13" ht="15" customHeight="1">
      <c r="A137" s="858"/>
      <c r="B137" s="858"/>
      <c r="C137" s="190" t="s">
        <v>5</v>
      </c>
      <c r="D137" s="191">
        <v>0</v>
      </c>
      <c r="E137" s="192">
        <v>0</v>
      </c>
      <c r="F137" s="192">
        <v>0</v>
      </c>
      <c r="G137" s="174">
        <f t="shared" si="11"/>
        <v>0</v>
      </c>
      <c r="H137" s="852"/>
      <c r="I137" s="667"/>
      <c r="J137" s="754"/>
      <c r="K137" s="667"/>
      <c r="L137" s="702"/>
      <c r="M137" s="706"/>
    </row>
    <row r="138" spans="1:13" ht="15" customHeight="1">
      <c r="A138" s="858"/>
      <c r="B138" s="858"/>
      <c r="C138" s="190" t="s">
        <v>6</v>
      </c>
      <c r="D138" s="191">
        <v>0</v>
      </c>
      <c r="E138" s="192">
        <v>0</v>
      </c>
      <c r="F138" s="192">
        <v>0</v>
      </c>
      <c r="G138" s="174">
        <f t="shared" si="11"/>
        <v>0</v>
      </c>
      <c r="H138" s="852"/>
      <c r="I138" s="667"/>
      <c r="J138" s="754"/>
      <c r="K138" s="667"/>
      <c r="L138" s="702"/>
      <c r="M138" s="706"/>
    </row>
    <row r="139" spans="1:13" ht="15" customHeight="1">
      <c r="A139" s="859"/>
      <c r="B139" s="859"/>
      <c r="C139" s="190" t="s">
        <v>7</v>
      </c>
      <c r="D139" s="191">
        <v>0</v>
      </c>
      <c r="E139" s="192">
        <v>0</v>
      </c>
      <c r="F139" s="192">
        <v>0</v>
      </c>
      <c r="G139" s="174">
        <f t="shared" si="11"/>
        <v>0</v>
      </c>
      <c r="H139" s="853"/>
      <c r="I139" s="668"/>
      <c r="J139" s="755"/>
      <c r="K139" s="668"/>
      <c r="L139" s="703"/>
      <c r="M139" s="707"/>
    </row>
    <row r="140" spans="1:13" ht="22.5" customHeight="1">
      <c r="A140" s="857" t="s">
        <v>369</v>
      </c>
      <c r="B140" s="854" t="s">
        <v>370</v>
      </c>
      <c r="C140" s="190" t="s">
        <v>3</v>
      </c>
      <c r="D140" s="191">
        <f>SUM(D141:D144)</f>
        <v>80000</v>
      </c>
      <c r="E140" s="192" t="e">
        <f>SUM(E141:E144)</f>
        <v>#REF!</v>
      </c>
      <c r="F140" s="192" t="e">
        <f>SUM(F141:F144)</f>
        <v>#REF!</v>
      </c>
      <c r="G140" s="174">
        <f t="shared" si="11"/>
        <v>0</v>
      </c>
      <c r="H140" s="772" t="s">
        <v>372</v>
      </c>
      <c r="I140" s="709" t="s">
        <v>660</v>
      </c>
      <c r="J140" s="699" t="s">
        <v>206</v>
      </c>
      <c r="K140" s="708" t="s">
        <v>149</v>
      </c>
      <c r="L140" s="701" t="s">
        <v>632</v>
      </c>
      <c r="M140" s="705">
        <v>823</v>
      </c>
    </row>
    <row r="141" spans="1:13" ht="23.25" customHeight="1">
      <c r="A141" s="858"/>
      <c r="B141" s="855"/>
      <c r="C141" s="190" t="s">
        <v>4</v>
      </c>
      <c r="D141" s="191">
        <f>'334-ПП'!F372</f>
        <v>80000</v>
      </c>
      <c r="E141" s="192" t="e">
        <f>#REF!</f>
        <v>#REF!</v>
      </c>
      <c r="F141" s="192" t="e">
        <f>E141</f>
        <v>#REF!</v>
      </c>
      <c r="G141" s="174">
        <f t="shared" si="11"/>
        <v>0</v>
      </c>
      <c r="H141" s="852"/>
      <c r="I141" s="667"/>
      <c r="J141" s="670"/>
      <c r="K141" s="667"/>
      <c r="L141" s="702"/>
      <c r="M141" s="706"/>
    </row>
    <row r="142" spans="1:13" ht="21" customHeight="1">
      <c r="A142" s="858"/>
      <c r="B142" s="855"/>
      <c r="C142" s="190" t="s">
        <v>5</v>
      </c>
      <c r="D142" s="191">
        <v>0</v>
      </c>
      <c r="E142" s="192">
        <v>0</v>
      </c>
      <c r="F142" s="192">
        <v>0</v>
      </c>
      <c r="G142" s="174">
        <f t="shared" si="11"/>
        <v>0</v>
      </c>
      <c r="H142" s="852"/>
      <c r="I142" s="667"/>
      <c r="J142" s="670"/>
      <c r="K142" s="667"/>
      <c r="L142" s="702"/>
      <c r="M142" s="706"/>
    </row>
    <row r="143" spans="1:13" ht="22.5" customHeight="1">
      <c r="A143" s="858"/>
      <c r="B143" s="855"/>
      <c r="C143" s="190" t="s">
        <v>6</v>
      </c>
      <c r="D143" s="191">
        <v>0</v>
      </c>
      <c r="E143" s="192">
        <v>0</v>
      </c>
      <c r="F143" s="192">
        <v>0</v>
      </c>
      <c r="G143" s="174">
        <f t="shared" si="11"/>
        <v>0</v>
      </c>
      <c r="H143" s="852"/>
      <c r="I143" s="667"/>
      <c r="J143" s="670"/>
      <c r="K143" s="667"/>
      <c r="L143" s="702"/>
      <c r="M143" s="706"/>
    </row>
    <row r="144" spans="1:13" ht="23.25" customHeight="1">
      <c r="A144" s="859"/>
      <c r="B144" s="856"/>
      <c r="C144" s="190" t="s">
        <v>7</v>
      </c>
      <c r="D144" s="191">
        <v>0</v>
      </c>
      <c r="E144" s="192">
        <v>0</v>
      </c>
      <c r="F144" s="192">
        <v>0</v>
      </c>
      <c r="G144" s="174">
        <f t="shared" si="11"/>
        <v>0</v>
      </c>
      <c r="H144" s="853"/>
      <c r="I144" s="668"/>
      <c r="J144" s="671"/>
      <c r="K144" s="668"/>
      <c r="L144" s="703"/>
      <c r="M144" s="707"/>
    </row>
    <row r="145" spans="1:13" s="10" customFormat="1" ht="25.5" customHeight="1">
      <c r="A145" s="841" t="s">
        <v>38</v>
      </c>
      <c r="B145" s="863" t="s">
        <v>119</v>
      </c>
      <c r="C145" s="39" t="s">
        <v>3</v>
      </c>
      <c r="D145" s="59">
        <f>SUM(D146:D149)</f>
        <v>68656.19</v>
      </c>
      <c r="E145" s="55" t="e">
        <f>SUM(E146:E149)</f>
        <v>#REF!</v>
      </c>
      <c r="F145" s="55" t="e">
        <f>SUM(F146:F149)</f>
        <v>#REF!</v>
      </c>
      <c r="G145" s="37">
        <f t="shared" si="11"/>
        <v>0</v>
      </c>
      <c r="H145" s="860" t="s">
        <v>148</v>
      </c>
      <c r="I145" s="18" t="s">
        <v>45</v>
      </c>
      <c r="J145" s="19">
        <v>2</v>
      </c>
      <c r="K145" s="725" t="s">
        <v>67</v>
      </c>
      <c r="L145" s="909"/>
      <c r="M145" s="763">
        <v>823</v>
      </c>
    </row>
    <row r="146" spans="1:13" s="10" customFormat="1" ht="24.75" customHeight="1">
      <c r="A146" s="842"/>
      <c r="B146" s="864"/>
      <c r="C146" s="39" t="s">
        <v>4</v>
      </c>
      <c r="D146" s="41">
        <f t="shared" ref="D146:E148" si="12">SUM(D151,D156)</f>
        <v>47800</v>
      </c>
      <c r="E146" s="41" t="e">
        <f t="shared" si="12"/>
        <v>#REF!</v>
      </c>
      <c r="F146" s="41" t="e">
        <f>E146</f>
        <v>#REF!</v>
      </c>
      <c r="G146" s="37">
        <f t="shared" si="11"/>
        <v>0</v>
      </c>
      <c r="H146" s="861"/>
      <c r="I146" s="18" t="s">
        <v>46</v>
      </c>
      <c r="J146" s="19">
        <v>0</v>
      </c>
      <c r="K146" s="725"/>
      <c r="L146" s="909"/>
      <c r="M146" s="764"/>
    </row>
    <row r="147" spans="1:13" s="10" customFormat="1" ht="22.5" customHeight="1">
      <c r="A147" s="842"/>
      <c r="B147" s="864"/>
      <c r="C147" s="39" t="s">
        <v>5</v>
      </c>
      <c r="D147" s="41">
        <f t="shared" si="12"/>
        <v>0</v>
      </c>
      <c r="E147" s="41">
        <f t="shared" si="12"/>
        <v>0</v>
      </c>
      <c r="F147" s="41">
        <f>E147</f>
        <v>0</v>
      </c>
      <c r="G147" s="37">
        <f t="shared" si="11"/>
        <v>0</v>
      </c>
      <c r="H147" s="861"/>
      <c r="I147" s="18" t="s">
        <v>47</v>
      </c>
      <c r="J147" s="19">
        <v>1</v>
      </c>
      <c r="K147" s="725"/>
      <c r="L147" s="909"/>
      <c r="M147" s="764"/>
    </row>
    <row r="148" spans="1:13" s="10" customFormat="1" ht="23.25" customHeight="1">
      <c r="A148" s="842"/>
      <c r="B148" s="864"/>
      <c r="C148" s="39" t="s">
        <v>6</v>
      </c>
      <c r="D148" s="41">
        <f t="shared" si="12"/>
        <v>20856.189999999999</v>
      </c>
      <c r="E148" s="41">
        <f t="shared" si="12"/>
        <v>0</v>
      </c>
      <c r="F148" s="41">
        <f>E148</f>
        <v>0</v>
      </c>
      <c r="G148" s="37">
        <f t="shared" si="11"/>
        <v>0</v>
      </c>
      <c r="H148" s="861"/>
      <c r="I148" s="18" t="s">
        <v>48</v>
      </c>
      <c r="J148" s="19">
        <v>1</v>
      </c>
      <c r="K148" s="725"/>
      <c r="L148" s="909"/>
      <c r="M148" s="764"/>
    </row>
    <row r="149" spans="1:13" s="10" customFormat="1" ht="22.5" customHeight="1">
      <c r="A149" s="843"/>
      <c r="B149" s="865"/>
      <c r="C149" s="39" t="s">
        <v>7</v>
      </c>
      <c r="D149" s="41">
        <v>0</v>
      </c>
      <c r="E149" s="41">
        <v>0</v>
      </c>
      <c r="F149" s="41">
        <v>0</v>
      </c>
      <c r="G149" s="37">
        <f t="shared" si="11"/>
        <v>0</v>
      </c>
      <c r="H149" s="862"/>
      <c r="I149" s="18" t="s">
        <v>49</v>
      </c>
      <c r="J149" s="20">
        <f>(J146+0.5*J147)/J145</f>
        <v>0.25</v>
      </c>
      <c r="K149" s="725"/>
      <c r="L149" s="909"/>
      <c r="M149" s="834"/>
    </row>
    <row r="150" spans="1:13" s="10" customFormat="1" ht="15" customHeight="1">
      <c r="A150" s="710" t="s">
        <v>15</v>
      </c>
      <c r="B150" s="840" t="s">
        <v>120</v>
      </c>
      <c r="C150" s="175" t="s">
        <v>3</v>
      </c>
      <c r="D150" s="185">
        <f>SUM(D151:D154)</f>
        <v>10666.666669999999</v>
      </c>
      <c r="E150" s="180" t="e">
        <f>SUM(E151:E154)</f>
        <v>#REF!</v>
      </c>
      <c r="F150" s="180" t="e">
        <f>SUM(F151:F154)</f>
        <v>#REF!</v>
      </c>
      <c r="G150" s="174">
        <f t="shared" si="11"/>
        <v>0</v>
      </c>
      <c r="H150" s="772" t="s">
        <v>77</v>
      </c>
      <c r="I150" s="701" t="s">
        <v>639</v>
      </c>
      <c r="J150" s="753" t="s">
        <v>664</v>
      </c>
      <c r="K150" s="704" t="s">
        <v>92</v>
      </c>
      <c r="L150" s="701" t="s">
        <v>632</v>
      </c>
      <c r="M150" s="705">
        <v>823</v>
      </c>
    </row>
    <row r="151" spans="1:13" s="10" customFormat="1" ht="15" customHeight="1">
      <c r="A151" s="711"/>
      <c r="B151" s="866"/>
      <c r="C151" s="175" t="s">
        <v>4</v>
      </c>
      <c r="D151" s="182">
        <f>'334-ПП'!F386</f>
        <v>6400</v>
      </c>
      <c r="E151" s="182" t="e">
        <f>#REF!</f>
        <v>#REF!</v>
      </c>
      <c r="F151" s="182" t="e">
        <f>E151</f>
        <v>#REF!</v>
      </c>
      <c r="G151" s="174">
        <f t="shared" si="11"/>
        <v>0</v>
      </c>
      <c r="H151" s="773"/>
      <c r="I151" s="702"/>
      <c r="J151" s="754"/>
      <c r="K151" s="667"/>
      <c r="L151" s="702"/>
      <c r="M151" s="706"/>
    </row>
    <row r="152" spans="1:13" s="10" customFormat="1" ht="19.5" customHeight="1">
      <c r="A152" s="711"/>
      <c r="B152" s="866"/>
      <c r="C152" s="175" t="s">
        <v>5</v>
      </c>
      <c r="D152" s="183">
        <v>0</v>
      </c>
      <c r="E152" s="182">
        <v>0</v>
      </c>
      <c r="F152" s="182">
        <v>0</v>
      </c>
      <c r="G152" s="174">
        <f t="shared" si="11"/>
        <v>0</v>
      </c>
      <c r="H152" s="773"/>
      <c r="I152" s="702"/>
      <c r="J152" s="754"/>
      <c r="K152" s="667"/>
      <c r="L152" s="702"/>
      <c r="M152" s="706"/>
    </row>
    <row r="153" spans="1:13" s="10" customFormat="1" ht="21.75" customHeight="1">
      <c r="A153" s="711"/>
      <c r="B153" s="866"/>
      <c r="C153" s="175" t="s">
        <v>6</v>
      </c>
      <c r="D153" s="183">
        <f>'334-ПП'!H386</f>
        <v>4266.6666699999996</v>
      </c>
      <c r="E153" s="182">
        <v>0</v>
      </c>
      <c r="F153" s="182">
        <v>0</v>
      </c>
      <c r="G153" s="174">
        <f t="shared" si="11"/>
        <v>0</v>
      </c>
      <c r="H153" s="773"/>
      <c r="I153" s="702"/>
      <c r="J153" s="754"/>
      <c r="K153" s="667"/>
      <c r="L153" s="702"/>
      <c r="M153" s="706"/>
    </row>
    <row r="154" spans="1:13" s="10" customFormat="1" ht="22.5" customHeight="1">
      <c r="A154" s="712"/>
      <c r="B154" s="867"/>
      <c r="C154" s="175" t="s">
        <v>7</v>
      </c>
      <c r="D154" s="183">
        <v>0</v>
      </c>
      <c r="E154" s="182">
        <v>0</v>
      </c>
      <c r="F154" s="182">
        <v>0</v>
      </c>
      <c r="G154" s="174">
        <f t="shared" si="11"/>
        <v>0</v>
      </c>
      <c r="H154" s="774"/>
      <c r="I154" s="703"/>
      <c r="J154" s="755"/>
      <c r="K154" s="668"/>
      <c r="L154" s="703"/>
      <c r="M154" s="707"/>
    </row>
    <row r="155" spans="1:13" s="10" customFormat="1" ht="21.75" customHeight="1">
      <c r="A155" s="719" t="s">
        <v>16</v>
      </c>
      <c r="B155" s="792" t="s">
        <v>78</v>
      </c>
      <c r="C155" s="181" t="s">
        <v>3</v>
      </c>
      <c r="D155" s="180">
        <f>SUM(D156:D159)</f>
        <v>57989.523329999996</v>
      </c>
      <c r="E155" s="180" t="e">
        <f>SUM(E156:E159)</f>
        <v>#REF!</v>
      </c>
      <c r="F155" s="180" t="e">
        <f>SUM(F156:F159)</f>
        <v>#REF!</v>
      </c>
      <c r="G155" s="174">
        <f t="shared" si="11"/>
        <v>0</v>
      </c>
      <c r="H155" s="772" t="s">
        <v>79</v>
      </c>
      <c r="I155" s="701" t="s">
        <v>95</v>
      </c>
      <c r="J155" s="727" t="s">
        <v>178</v>
      </c>
      <c r="K155" s="709" t="s">
        <v>65</v>
      </c>
      <c r="L155" s="701" t="s">
        <v>640</v>
      </c>
      <c r="M155" s="705">
        <v>823</v>
      </c>
    </row>
    <row r="156" spans="1:13" s="10" customFormat="1" ht="23.25" customHeight="1">
      <c r="A156" s="720"/>
      <c r="B156" s="850"/>
      <c r="C156" s="181" t="s">
        <v>4</v>
      </c>
      <c r="D156" s="189">
        <f>'334-ПП'!F393</f>
        <v>41400</v>
      </c>
      <c r="E156" s="182" t="e">
        <f>#REF!</f>
        <v>#REF!</v>
      </c>
      <c r="F156" s="182" t="e">
        <f>E156</f>
        <v>#REF!</v>
      </c>
      <c r="G156" s="174">
        <f t="shared" si="11"/>
        <v>0</v>
      </c>
      <c r="H156" s="773"/>
      <c r="I156" s="702" t="s">
        <v>46</v>
      </c>
      <c r="J156" s="667"/>
      <c r="K156" s="673"/>
      <c r="L156" s="702"/>
      <c r="M156" s="706"/>
    </row>
    <row r="157" spans="1:13" s="10" customFormat="1" ht="24" customHeight="1">
      <c r="A157" s="720"/>
      <c r="B157" s="850"/>
      <c r="C157" s="181" t="s">
        <v>5</v>
      </c>
      <c r="D157" s="187">
        <v>0</v>
      </c>
      <c r="E157" s="182">
        <v>0</v>
      </c>
      <c r="F157" s="182">
        <v>0</v>
      </c>
      <c r="G157" s="174">
        <f t="shared" si="11"/>
        <v>0</v>
      </c>
      <c r="H157" s="773"/>
      <c r="I157" s="702" t="s">
        <v>47</v>
      </c>
      <c r="J157" s="667"/>
      <c r="K157" s="673"/>
      <c r="L157" s="702"/>
      <c r="M157" s="706"/>
    </row>
    <row r="158" spans="1:13" s="10" customFormat="1" ht="24" customHeight="1">
      <c r="A158" s="720"/>
      <c r="B158" s="850"/>
      <c r="C158" s="181" t="s">
        <v>6</v>
      </c>
      <c r="D158" s="187">
        <f>'334-ПП'!H393</f>
        <v>16589.52333</v>
      </c>
      <c r="E158" s="182">
        <v>0</v>
      </c>
      <c r="F158" s="182">
        <v>0</v>
      </c>
      <c r="G158" s="174">
        <f t="shared" si="11"/>
        <v>0</v>
      </c>
      <c r="H158" s="773"/>
      <c r="I158" s="702" t="s">
        <v>48</v>
      </c>
      <c r="J158" s="667"/>
      <c r="K158" s="673"/>
      <c r="L158" s="702"/>
      <c r="M158" s="706"/>
    </row>
    <row r="159" spans="1:13" s="10" customFormat="1" ht="23.25" customHeight="1">
      <c r="A159" s="721"/>
      <c r="B159" s="851"/>
      <c r="C159" s="181" t="s">
        <v>7</v>
      </c>
      <c r="D159" s="187">
        <v>0</v>
      </c>
      <c r="E159" s="182">
        <v>0</v>
      </c>
      <c r="F159" s="182">
        <v>0</v>
      </c>
      <c r="G159" s="174">
        <f t="shared" si="11"/>
        <v>0</v>
      </c>
      <c r="H159" s="774"/>
      <c r="I159" s="703" t="s">
        <v>49</v>
      </c>
      <c r="J159" s="668"/>
      <c r="K159" s="674"/>
      <c r="L159" s="703"/>
      <c r="M159" s="707"/>
    </row>
    <row r="160" spans="1:13" s="10" customFormat="1">
      <c r="A160" s="728" t="s">
        <v>97</v>
      </c>
      <c r="B160" s="913" t="s">
        <v>96</v>
      </c>
      <c r="C160" s="39" t="s">
        <v>3</v>
      </c>
      <c r="D160" s="55">
        <f>SUM(D161:D164)</f>
        <v>9874.2088700000004</v>
      </c>
      <c r="E160" s="55" t="e">
        <f>SUM(E161:E164)</f>
        <v>#REF!</v>
      </c>
      <c r="F160" s="55" t="e">
        <f>SUM(F161:F164)</f>
        <v>#REF!</v>
      </c>
      <c r="G160" s="37">
        <f t="shared" si="11"/>
        <v>0</v>
      </c>
      <c r="H160" s="734" t="s">
        <v>80</v>
      </c>
      <c r="I160" s="60" t="s">
        <v>45</v>
      </c>
      <c r="J160" s="61">
        <f>SUM(J161:J163)</f>
        <v>2</v>
      </c>
      <c r="K160" s="761" t="s">
        <v>68</v>
      </c>
      <c r="L160" s="910"/>
      <c r="M160" s="763">
        <v>823</v>
      </c>
    </row>
    <row r="161" spans="1:13" s="10" customFormat="1">
      <c r="A161" s="729"/>
      <c r="B161" s="914"/>
      <c r="C161" s="39" t="s">
        <v>4</v>
      </c>
      <c r="D161" s="55">
        <f t="shared" ref="D161:E163" si="13">SUM(D166,D171)</f>
        <v>1724.40887</v>
      </c>
      <c r="E161" s="55" t="e">
        <f t="shared" si="13"/>
        <v>#REF!</v>
      </c>
      <c r="F161" s="55" t="e">
        <f>E161</f>
        <v>#REF!</v>
      </c>
      <c r="G161" s="37">
        <f t="shared" si="11"/>
        <v>0</v>
      </c>
      <c r="H161" s="735"/>
      <c r="I161" s="60" t="s">
        <v>46</v>
      </c>
      <c r="J161" s="61">
        <f>COUNTIF($J$165:$J$174,"Да")</f>
        <v>0</v>
      </c>
      <c r="K161" s="762"/>
      <c r="L161" s="911"/>
      <c r="M161" s="764"/>
    </row>
    <row r="162" spans="1:13" s="10" customFormat="1">
      <c r="A162" s="729"/>
      <c r="B162" s="914"/>
      <c r="C162" s="39" t="s">
        <v>5</v>
      </c>
      <c r="D162" s="55">
        <f t="shared" si="13"/>
        <v>8149.8</v>
      </c>
      <c r="E162" s="55" t="e">
        <f t="shared" si="13"/>
        <v>#REF!</v>
      </c>
      <c r="F162" s="55" t="e">
        <f>E162</f>
        <v>#REF!</v>
      </c>
      <c r="G162" s="37">
        <f t="shared" si="11"/>
        <v>0</v>
      </c>
      <c r="H162" s="735"/>
      <c r="I162" s="60" t="s">
        <v>47</v>
      </c>
      <c r="J162" s="61">
        <f>COUNTIF($J$165:$J$174,"Частично")</f>
        <v>2</v>
      </c>
      <c r="K162" s="762"/>
      <c r="L162" s="911"/>
      <c r="M162" s="764"/>
    </row>
    <row r="163" spans="1:13" s="10" customFormat="1">
      <c r="A163" s="729"/>
      <c r="B163" s="914"/>
      <c r="C163" s="39" t="s">
        <v>6</v>
      </c>
      <c r="D163" s="55">
        <f t="shared" si="13"/>
        <v>0</v>
      </c>
      <c r="E163" s="55">
        <f t="shared" si="13"/>
        <v>0</v>
      </c>
      <c r="F163" s="55">
        <f>E163</f>
        <v>0</v>
      </c>
      <c r="G163" s="37">
        <f t="shared" si="11"/>
        <v>0</v>
      </c>
      <c r="H163" s="735"/>
      <c r="I163" s="60" t="s">
        <v>48</v>
      </c>
      <c r="J163" s="61">
        <f>COUNTIF($J$165:$J$174,"Нет")</f>
        <v>0</v>
      </c>
      <c r="K163" s="762"/>
      <c r="L163" s="911"/>
      <c r="M163" s="764"/>
    </row>
    <row r="164" spans="1:13" s="10" customFormat="1">
      <c r="A164" s="730"/>
      <c r="B164" s="915"/>
      <c r="C164" s="39" t="s">
        <v>7</v>
      </c>
      <c r="D164" s="55">
        <v>0</v>
      </c>
      <c r="E164" s="55">
        <v>0</v>
      </c>
      <c r="F164" s="55">
        <v>0</v>
      </c>
      <c r="G164" s="37">
        <f t="shared" si="11"/>
        <v>0</v>
      </c>
      <c r="H164" s="736"/>
      <c r="I164" s="60" t="s">
        <v>49</v>
      </c>
      <c r="J164" s="62">
        <f>(J161+0.5*J162)/J160</f>
        <v>0.5</v>
      </c>
      <c r="K164" s="771"/>
      <c r="L164" s="912"/>
      <c r="M164" s="834"/>
    </row>
    <row r="165" spans="1:13" s="10" customFormat="1" ht="15" customHeight="1">
      <c r="A165" s="872" t="s">
        <v>98</v>
      </c>
      <c r="B165" s="740" t="s">
        <v>147</v>
      </c>
      <c r="C165" s="175" t="s">
        <v>3</v>
      </c>
      <c r="D165" s="180">
        <f>SUM(D166:D169)</f>
        <v>4952.6595699999998</v>
      </c>
      <c r="E165" s="180" t="e">
        <f>SUM(E166:E169)</f>
        <v>#REF!</v>
      </c>
      <c r="F165" s="180" t="e">
        <f>SUM(F166:F169)</f>
        <v>#REF!</v>
      </c>
      <c r="G165" s="174">
        <f t="shared" si="11"/>
        <v>0</v>
      </c>
      <c r="H165" s="772" t="s">
        <v>379</v>
      </c>
      <c r="I165" s="701" t="s">
        <v>644</v>
      </c>
      <c r="J165" s="727" t="s">
        <v>178</v>
      </c>
      <c r="K165" s="709" t="s">
        <v>209</v>
      </c>
      <c r="L165" s="896" t="s">
        <v>645</v>
      </c>
      <c r="M165" s="675">
        <v>823</v>
      </c>
    </row>
    <row r="166" spans="1:13" s="10" customFormat="1" ht="15" customHeight="1">
      <c r="A166" s="711"/>
      <c r="B166" s="741"/>
      <c r="C166" s="175" t="s">
        <v>4</v>
      </c>
      <c r="D166" s="176">
        <f>'334-ПП'!F406</f>
        <v>297.15956999999997</v>
      </c>
      <c r="E166" s="182" t="e">
        <f>#REF!</f>
        <v>#REF!</v>
      </c>
      <c r="F166" s="182" t="e">
        <f>E166</f>
        <v>#REF!</v>
      </c>
      <c r="G166" s="174">
        <f t="shared" si="11"/>
        <v>0</v>
      </c>
      <c r="H166" s="773"/>
      <c r="I166" s="702"/>
      <c r="J166" s="667"/>
      <c r="K166" s="673"/>
      <c r="L166" s="897"/>
      <c r="M166" s="676"/>
    </row>
    <row r="167" spans="1:13" s="10" customFormat="1" ht="15" customHeight="1">
      <c r="A167" s="711"/>
      <c r="B167" s="741"/>
      <c r="C167" s="175" t="s">
        <v>5</v>
      </c>
      <c r="D167" s="183">
        <f>'334-ПП'!G406</f>
        <v>4655.5</v>
      </c>
      <c r="E167" s="182" t="e">
        <f>#REF!</f>
        <v>#REF!</v>
      </c>
      <c r="F167" s="182" t="e">
        <f>E167</f>
        <v>#REF!</v>
      </c>
      <c r="G167" s="174">
        <f t="shared" si="11"/>
        <v>0</v>
      </c>
      <c r="H167" s="773"/>
      <c r="I167" s="702"/>
      <c r="J167" s="667"/>
      <c r="K167" s="673"/>
      <c r="L167" s="897"/>
      <c r="M167" s="676"/>
    </row>
    <row r="168" spans="1:13" s="10" customFormat="1" ht="15" customHeight="1">
      <c r="A168" s="711"/>
      <c r="B168" s="741"/>
      <c r="C168" s="175" t="s">
        <v>6</v>
      </c>
      <c r="D168" s="183">
        <v>0</v>
      </c>
      <c r="E168" s="182">
        <v>0</v>
      </c>
      <c r="F168" s="182">
        <v>0</v>
      </c>
      <c r="G168" s="174">
        <f t="shared" si="11"/>
        <v>0</v>
      </c>
      <c r="H168" s="773"/>
      <c r="I168" s="702"/>
      <c r="J168" s="667"/>
      <c r="K168" s="673"/>
      <c r="L168" s="897"/>
      <c r="M168" s="676"/>
    </row>
    <row r="169" spans="1:13" s="10" customFormat="1" ht="15" customHeight="1">
      <c r="A169" s="712"/>
      <c r="B169" s="742"/>
      <c r="C169" s="175" t="s">
        <v>7</v>
      </c>
      <c r="D169" s="183">
        <v>0</v>
      </c>
      <c r="E169" s="182">
        <v>0</v>
      </c>
      <c r="F169" s="182">
        <v>0</v>
      </c>
      <c r="G169" s="174">
        <f t="shared" si="11"/>
        <v>0</v>
      </c>
      <c r="H169" s="774"/>
      <c r="I169" s="703"/>
      <c r="J169" s="668"/>
      <c r="K169" s="674"/>
      <c r="L169" s="898"/>
      <c r="M169" s="677"/>
    </row>
    <row r="170" spans="1:13" s="10" customFormat="1" ht="15" customHeight="1">
      <c r="A170" s="872" t="s">
        <v>99</v>
      </c>
      <c r="B170" s="740" t="s">
        <v>146</v>
      </c>
      <c r="C170" s="175" t="s">
        <v>3</v>
      </c>
      <c r="D170" s="180">
        <f>SUM(D171:D174)</f>
        <v>4921.5493000000006</v>
      </c>
      <c r="E170" s="180" t="e">
        <f>SUM(E171:E174)</f>
        <v>#REF!</v>
      </c>
      <c r="F170" s="180" t="e">
        <f>SUM(F171:F174)</f>
        <v>#REF!</v>
      </c>
      <c r="G170" s="174">
        <f t="shared" si="11"/>
        <v>0</v>
      </c>
      <c r="H170" s="772" t="s">
        <v>145</v>
      </c>
      <c r="I170" s="701" t="s">
        <v>646</v>
      </c>
      <c r="J170" s="727" t="s">
        <v>178</v>
      </c>
      <c r="K170" s="709" t="s">
        <v>647</v>
      </c>
      <c r="L170" s="701" t="s">
        <v>640</v>
      </c>
      <c r="M170" s="675">
        <v>823</v>
      </c>
    </row>
    <row r="171" spans="1:13" s="10" customFormat="1">
      <c r="A171" s="711"/>
      <c r="B171" s="741"/>
      <c r="C171" s="175" t="s">
        <v>4</v>
      </c>
      <c r="D171" s="193">
        <f>'334-ПП'!F412</f>
        <v>1427.2492999999999</v>
      </c>
      <c r="E171" s="193" t="e">
        <f>#REF!</f>
        <v>#REF!</v>
      </c>
      <c r="F171" s="193" t="e">
        <f>E171</f>
        <v>#REF!</v>
      </c>
      <c r="G171" s="174">
        <f t="shared" si="11"/>
        <v>0</v>
      </c>
      <c r="H171" s="773"/>
      <c r="I171" s="702"/>
      <c r="J171" s="667"/>
      <c r="K171" s="673"/>
      <c r="L171" s="702"/>
      <c r="M171" s="676"/>
    </row>
    <row r="172" spans="1:13" s="10" customFormat="1" ht="15" customHeight="1">
      <c r="A172" s="711"/>
      <c r="B172" s="741"/>
      <c r="C172" s="175" t="s">
        <v>5</v>
      </c>
      <c r="D172" s="187">
        <f>'334-ПП'!G412</f>
        <v>3494.3</v>
      </c>
      <c r="E172" s="187" t="e">
        <f>#REF!</f>
        <v>#REF!</v>
      </c>
      <c r="F172" s="187" t="e">
        <f>E172</f>
        <v>#REF!</v>
      </c>
      <c r="G172" s="174">
        <f t="shared" si="11"/>
        <v>0</v>
      </c>
      <c r="H172" s="773"/>
      <c r="I172" s="702"/>
      <c r="J172" s="667"/>
      <c r="K172" s="673"/>
      <c r="L172" s="702"/>
      <c r="M172" s="676"/>
    </row>
    <row r="173" spans="1:13" s="10" customFormat="1" ht="15" customHeight="1">
      <c r="A173" s="711"/>
      <c r="B173" s="741"/>
      <c r="C173" s="175" t="s">
        <v>6</v>
      </c>
      <c r="D173" s="183">
        <v>0</v>
      </c>
      <c r="E173" s="182">
        <v>0</v>
      </c>
      <c r="F173" s="182">
        <v>0</v>
      </c>
      <c r="G173" s="174">
        <f t="shared" si="11"/>
        <v>0</v>
      </c>
      <c r="H173" s="773"/>
      <c r="I173" s="702"/>
      <c r="J173" s="667"/>
      <c r="K173" s="673"/>
      <c r="L173" s="702"/>
      <c r="M173" s="676"/>
    </row>
    <row r="174" spans="1:13" s="10" customFormat="1" ht="15" customHeight="1">
      <c r="A174" s="712"/>
      <c r="B174" s="742"/>
      <c r="C174" s="175" t="s">
        <v>7</v>
      </c>
      <c r="D174" s="183">
        <v>0</v>
      </c>
      <c r="E174" s="182">
        <v>0</v>
      </c>
      <c r="F174" s="182">
        <v>0</v>
      </c>
      <c r="G174" s="174">
        <f t="shared" si="11"/>
        <v>0</v>
      </c>
      <c r="H174" s="774"/>
      <c r="I174" s="703"/>
      <c r="J174" s="668"/>
      <c r="K174" s="674"/>
      <c r="L174" s="703"/>
      <c r="M174" s="677"/>
    </row>
    <row r="175" spans="1:13">
      <c r="A175" s="869" t="s">
        <v>17</v>
      </c>
      <c r="B175" s="899" t="s">
        <v>18</v>
      </c>
      <c r="C175" s="49" t="s">
        <v>3</v>
      </c>
      <c r="D175" s="50">
        <f>SUM(D176:D179)</f>
        <v>1614487.6960399998</v>
      </c>
      <c r="E175" s="50" t="e">
        <f>SUM(E176:E179)</f>
        <v>#REF!</v>
      </c>
      <c r="F175" s="50" t="e">
        <f>SUM(F176:F179)</f>
        <v>#REF!</v>
      </c>
      <c r="G175" s="48">
        <f t="shared" si="11"/>
        <v>0</v>
      </c>
      <c r="H175" s="899"/>
      <c r="I175" s="18" t="s">
        <v>45</v>
      </c>
      <c r="J175" s="34">
        <f>SUM(J180,J220,J255,J195,J210,J240,)</f>
        <v>12</v>
      </c>
      <c r="K175" s="751" t="s">
        <v>105</v>
      </c>
      <c r="L175" s="873"/>
      <c r="M175" s="822" t="s">
        <v>35</v>
      </c>
    </row>
    <row r="176" spans="1:13">
      <c r="A176" s="870"/>
      <c r="B176" s="900"/>
      <c r="C176" s="49" t="s">
        <v>4</v>
      </c>
      <c r="D176" s="51">
        <f>SUM(D181,D221,D256,D196,D211,D241,)</f>
        <v>1154863.15004</v>
      </c>
      <c r="E176" s="51" t="e">
        <f>SUM(E181,E221,E256,E196,E211,E241,)</f>
        <v>#REF!</v>
      </c>
      <c r="F176" s="51" t="e">
        <f>E176</f>
        <v>#REF!</v>
      </c>
      <c r="G176" s="48">
        <f t="shared" si="11"/>
        <v>0</v>
      </c>
      <c r="H176" s="900"/>
      <c r="I176" s="18" t="s">
        <v>46</v>
      </c>
      <c r="J176" s="34">
        <f>SUM(J181,J221,J256,J196,J211,J241)</f>
        <v>3</v>
      </c>
      <c r="K176" s="752"/>
      <c r="L176" s="874"/>
      <c r="M176" s="823"/>
    </row>
    <row r="177" spans="1:13">
      <c r="A177" s="870"/>
      <c r="B177" s="900"/>
      <c r="C177" s="49" t="s">
        <v>5</v>
      </c>
      <c r="D177" s="51">
        <f>SUM(D182,D222,D257,D197,D212,D242,)</f>
        <v>448108.6</v>
      </c>
      <c r="E177" s="52">
        <f>SUM(E182,E222,E257)</f>
        <v>67844.5</v>
      </c>
      <c r="F177" s="52">
        <f>E177</f>
        <v>67844.5</v>
      </c>
      <c r="G177" s="48">
        <f t="shared" si="11"/>
        <v>0.15140191462516006</v>
      </c>
      <c r="H177" s="900"/>
      <c r="I177" s="18" t="s">
        <v>47</v>
      </c>
      <c r="J177" s="34">
        <f>SUM(J182,J222,J257,J197,J212,J242,)</f>
        <v>1</v>
      </c>
      <c r="K177" s="752"/>
      <c r="L177" s="874"/>
      <c r="M177" s="823"/>
    </row>
    <row r="178" spans="1:13">
      <c r="A178" s="870"/>
      <c r="B178" s="900"/>
      <c r="C178" s="49" t="s">
        <v>6</v>
      </c>
      <c r="D178" s="51">
        <f>SUM(D183,D223,D258,D198,D213,D243,)</f>
        <v>11515.946</v>
      </c>
      <c r="E178" s="52">
        <f>SUM(E183,E223,E258,E243,)</f>
        <v>38292.710140000003</v>
      </c>
      <c r="F178" s="52">
        <f>E178</f>
        <v>38292.710140000003</v>
      </c>
      <c r="G178" s="48">
        <f t="shared" si="11"/>
        <v>3.3251901441705272</v>
      </c>
      <c r="H178" s="900"/>
      <c r="I178" s="18" t="s">
        <v>48</v>
      </c>
      <c r="J178" s="34">
        <f>SUM(J183,J223,J258,J198,J213,J243,)</f>
        <v>8</v>
      </c>
      <c r="K178" s="752"/>
      <c r="L178" s="874"/>
      <c r="M178" s="823"/>
    </row>
    <row r="179" spans="1:13">
      <c r="A179" s="871"/>
      <c r="B179" s="901"/>
      <c r="C179" s="49" t="s">
        <v>7</v>
      </c>
      <c r="D179" s="52">
        <v>0</v>
      </c>
      <c r="E179" s="52">
        <v>0</v>
      </c>
      <c r="F179" s="52">
        <v>0</v>
      </c>
      <c r="G179" s="48">
        <f t="shared" si="11"/>
        <v>0</v>
      </c>
      <c r="H179" s="901"/>
      <c r="I179" s="18" t="s">
        <v>49</v>
      </c>
      <c r="J179" s="20">
        <f>(J176+0.5*J177)/J175</f>
        <v>0.29166666666666669</v>
      </c>
      <c r="K179" s="905"/>
      <c r="L179" s="875"/>
      <c r="M179" s="892"/>
    </row>
    <row r="180" spans="1:13">
      <c r="A180" s="841" t="s">
        <v>383</v>
      </c>
      <c r="B180" s="731" t="s">
        <v>384</v>
      </c>
      <c r="C180" s="39" t="s">
        <v>3</v>
      </c>
      <c r="D180" s="59">
        <f>SUM(D181:D184)</f>
        <v>54303.927109999997</v>
      </c>
      <c r="E180" s="59">
        <f>SUM(E181:E184)</f>
        <v>0</v>
      </c>
      <c r="F180" s="59">
        <f>SUM(F181:F184)</f>
        <v>0</v>
      </c>
      <c r="G180" s="37">
        <f t="shared" si="11"/>
        <v>0</v>
      </c>
      <c r="H180" s="883" t="s">
        <v>385</v>
      </c>
      <c r="I180" s="18" t="s">
        <v>45</v>
      </c>
      <c r="J180" s="32">
        <f>SUM(J181:J183)</f>
        <v>2</v>
      </c>
      <c r="K180" s="761" t="s">
        <v>598</v>
      </c>
      <c r="L180" s="761"/>
      <c r="M180" s="763">
        <v>823</v>
      </c>
    </row>
    <row r="181" spans="1:13">
      <c r="A181" s="842"/>
      <c r="B181" s="732"/>
      <c r="C181" s="39" t="s">
        <v>4</v>
      </c>
      <c r="D181" s="59">
        <f>SUM(D186,D191)</f>
        <v>54303.927109999997</v>
      </c>
      <c r="E181" s="59">
        <f>SUM(E186,E191)</f>
        <v>0</v>
      </c>
      <c r="F181" s="59">
        <f>E181</f>
        <v>0</v>
      </c>
      <c r="G181" s="37">
        <f t="shared" si="11"/>
        <v>0</v>
      </c>
      <c r="H181" s="884"/>
      <c r="I181" s="18" t="s">
        <v>46</v>
      </c>
      <c r="J181" s="32">
        <f>COUNTIF($J$200:$J$209,"Да")</f>
        <v>0</v>
      </c>
      <c r="K181" s="762"/>
      <c r="L181" s="762"/>
      <c r="M181" s="764"/>
    </row>
    <row r="182" spans="1:13">
      <c r="A182" s="842"/>
      <c r="B182" s="732"/>
      <c r="C182" s="39" t="s">
        <v>5</v>
      </c>
      <c r="D182" s="59">
        <v>0</v>
      </c>
      <c r="E182" s="59">
        <v>0</v>
      </c>
      <c r="F182" s="59">
        <f>E182</f>
        <v>0</v>
      </c>
      <c r="G182" s="37">
        <f t="shared" si="11"/>
        <v>0</v>
      </c>
      <c r="H182" s="884"/>
      <c r="I182" s="18" t="s">
        <v>47</v>
      </c>
      <c r="J182" s="32">
        <v>0</v>
      </c>
      <c r="K182" s="762"/>
      <c r="L182" s="762"/>
      <c r="M182" s="764"/>
    </row>
    <row r="183" spans="1:13">
      <c r="A183" s="842"/>
      <c r="B183" s="732"/>
      <c r="C183" s="39" t="s">
        <v>6</v>
      </c>
      <c r="D183" s="59">
        <v>0</v>
      </c>
      <c r="E183" s="59">
        <v>0</v>
      </c>
      <c r="F183" s="59">
        <f>E183</f>
        <v>0</v>
      </c>
      <c r="G183" s="37">
        <f t="shared" si="11"/>
        <v>0</v>
      </c>
      <c r="H183" s="884"/>
      <c r="I183" s="18" t="s">
        <v>48</v>
      </c>
      <c r="J183" s="32">
        <v>2</v>
      </c>
      <c r="K183" s="762"/>
      <c r="L183" s="762"/>
      <c r="M183" s="764"/>
    </row>
    <row r="184" spans="1:13">
      <c r="A184" s="843"/>
      <c r="B184" s="733"/>
      <c r="C184" s="39" t="s">
        <v>7</v>
      </c>
      <c r="D184" s="59">
        <v>0</v>
      </c>
      <c r="E184" s="59">
        <v>0</v>
      </c>
      <c r="F184" s="59">
        <f>E184</f>
        <v>0</v>
      </c>
      <c r="G184" s="37">
        <f t="shared" si="11"/>
        <v>0</v>
      </c>
      <c r="H184" s="885"/>
      <c r="I184" s="18" t="s">
        <v>49</v>
      </c>
      <c r="J184" s="20">
        <f>(J181+0.5*J182)/J180</f>
        <v>0</v>
      </c>
      <c r="K184" s="771"/>
      <c r="L184" s="771"/>
      <c r="M184" s="834"/>
    </row>
    <row r="185" spans="1:13" s="194" customFormat="1" ht="15.75" customHeight="1">
      <c r="A185" s="872" t="s">
        <v>600</v>
      </c>
      <c r="B185" s="840" t="s">
        <v>450</v>
      </c>
      <c r="C185" s="175" t="s">
        <v>3</v>
      </c>
      <c r="D185" s="187">
        <f>SUM(D186:D189)</f>
        <v>17927</v>
      </c>
      <c r="E185" s="187">
        <f>E186+E187+E188+E189</f>
        <v>0</v>
      </c>
      <c r="F185" s="187">
        <f>SUM(F186:F189)</f>
        <v>0</v>
      </c>
      <c r="G185" s="174">
        <f t="shared" ref="G185:G194" si="14">IFERROR(F185/D185,0)</f>
        <v>0</v>
      </c>
      <c r="H185" s="816" t="s">
        <v>451</v>
      </c>
      <c r="I185" s="906" t="s">
        <v>622</v>
      </c>
      <c r="J185" s="918" t="s">
        <v>206</v>
      </c>
      <c r="K185" s="709" t="s">
        <v>452</v>
      </c>
      <c r="L185" s="709"/>
      <c r="M185" s="675">
        <v>807</v>
      </c>
    </row>
    <row r="186" spans="1:13" s="194" customFormat="1" ht="15.75" customHeight="1">
      <c r="A186" s="711"/>
      <c r="B186" s="866"/>
      <c r="C186" s="175" t="s">
        <v>4</v>
      </c>
      <c r="D186" s="187">
        <f>'334-ПП'!F566</f>
        <v>17927</v>
      </c>
      <c r="E186" s="187">
        <v>0</v>
      </c>
      <c r="F186" s="187">
        <f>E186</f>
        <v>0</v>
      </c>
      <c r="G186" s="174">
        <f t="shared" si="14"/>
        <v>0</v>
      </c>
      <c r="H186" s="817"/>
      <c r="I186" s="907"/>
      <c r="J186" s="919"/>
      <c r="K186" s="673"/>
      <c r="L186" s="673"/>
      <c r="M186" s="676"/>
    </row>
    <row r="187" spans="1:13" s="194" customFormat="1" ht="15.75" customHeight="1">
      <c r="A187" s="711"/>
      <c r="B187" s="866"/>
      <c r="C187" s="175" t="s">
        <v>5</v>
      </c>
      <c r="D187" s="187">
        <v>0</v>
      </c>
      <c r="E187" s="187">
        <v>0</v>
      </c>
      <c r="F187" s="187">
        <f>E187</f>
        <v>0</v>
      </c>
      <c r="G187" s="174">
        <f t="shared" si="14"/>
        <v>0</v>
      </c>
      <c r="H187" s="817"/>
      <c r="I187" s="907"/>
      <c r="J187" s="919"/>
      <c r="K187" s="673"/>
      <c r="L187" s="673"/>
      <c r="M187" s="676"/>
    </row>
    <row r="188" spans="1:13" s="194" customFormat="1" ht="15.75" customHeight="1">
      <c r="A188" s="711"/>
      <c r="B188" s="866"/>
      <c r="C188" s="175" t="s">
        <v>6</v>
      </c>
      <c r="D188" s="187">
        <v>0</v>
      </c>
      <c r="E188" s="187">
        <v>0</v>
      </c>
      <c r="F188" s="187">
        <f>E188</f>
        <v>0</v>
      </c>
      <c r="G188" s="174">
        <f t="shared" si="14"/>
        <v>0</v>
      </c>
      <c r="H188" s="817"/>
      <c r="I188" s="907"/>
      <c r="J188" s="919"/>
      <c r="K188" s="673"/>
      <c r="L188" s="673"/>
      <c r="M188" s="676"/>
    </row>
    <row r="189" spans="1:13" s="194" customFormat="1" ht="15.75" customHeight="1">
      <c r="A189" s="712"/>
      <c r="B189" s="867"/>
      <c r="C189" s="175" t="s">
        <v>7</v>
      </c>
      <c r="D189" s="187">
        <v>0</v>
      </c>
      <c r="E189" s="187">
        <v>0</v>
      </c>
      <c r="F189" s="187">
        <f>E189</f>
        <v>0</v>
      </c>
      <c r="G189" s="174">
        <f t="shared" si="14"/>
        <v>0</v>
      </c>
      <c r="H189" s="876"/>
      <c r="I189" s="908"/>
      <c r="J189" s="920"/>
      <c r="K189" s="674"/>
      <c r="L189" s="674"/>
      <c r="M189" s="677"/>
    </row>
    <row r="190" spans="1:13" s="194" customFormat="1" ht="15.75" customHeight="1">
      <c r="A190" s="872" t="s">
        <v>599</v>
      </c>
      <c r="B190" s="840" t="s">
        <v>454</v>
      </c>
      <c r="C190" s="175" t="s">
        <v>3</v>
      </c>
      <c r="D190" s="187">
        <f>SUM(D191:D194)</f>
        <v>36376.927109999997</v>
      </c>
      <c r="E190" s="187">
        <f>SUM(E191:E194)</f>
        <v>0</v>
      </c>
      <c r="F190" s="187">
        <f>SUM(F191:F194)</f>
        <v>0</v>
      </c>
      <c r="G190" s="174">
        <f t="shared" si="14"/>
        <v>0</v>
      </c>
      <c r="H190" s="816" t="s">
        <v>455</v>
      </c>
      <c r="I190" s="906" t="s">
        <v>623</v>
      </c>
      <c r="J190" s="918" t="s">
        <v>206</v>
      </c>
      <c r="K190" s="709" t="s">
        <v>452</v>
      </c>
      <c r="L190" s="700"/>
      <c r="M190" s="675">
        <v>807</v>
      </c>
    </row>
    <row r="191" spans="1:13" s="194" customFormat="1" ht="15.75" customHeight="1">
      <c r="A191" s="711"/>
      <c r="B191" s="866"/>
      <c r="C191" s="175" t="s">
        <v>4</v>
      </c>
      <c r="D191" s="187">
        <f>'334-ПП'!F572</f>
        <v>36376.927109999997</v>
      </c>
      <c r="E191" s="187">
        <v>0</v>
      </c>
      <c r="F191" s="187">
        <v>0</v>
      </c>
      <c r="G191" s="174">
        <f t="shared" si="14"/>
        <v>0</v>
      </c>
      <c r="H191" s="817"/>
      <c r="I191" s="907"/>
      <c r="J191" s="919"/>
      <c r="K191" s="673"/>
      <c r="L191" s="700"/>
      <c r="M191" s="676"/>
    </row>
    <row r="192" spans="1:13" s="194" customFormat="1" ht="15.75" customHeight="1">
      <c r="A192" s="711"/>
      <c r="B192" s="866"/>
      <c r="C192" s="175" t="s">
        <v>5</v>
      </c>
      <c r="D192" s="187">
        <v>0</v>
      </c>
      <c r="E192" s="187">
        <v>0</v>
      </c>
      <c r="F192" s="187">
        <f>E192</f>
        <v>0</v>
      </c>
      <c r="G192" s="174">
        <f t="shared" si="14"/>
        <v>0</v>
      </c>
      <c r="H192" s="817"/>
      <c r="I192" s="907"/>
      <c r="J192" s="919"/>
      <c r="K192" s="673"/>
      <c r="L192" s="700"/>
      <c r="M192" s="676"/>
    </row>
    <row r="193" spans="1:13" s="194" customFormat="1" ht="15.75" customHeight="1">
      <c r="A193" s="711"/>
      <c r="B193" s="866"/>
      <c r="C193" s="175" t="s">
        <v>6</v>
      </c>
      <c r="D193" s="187">
        <v>0</v>
      </c>
      <c r="E193" s="187">
        <v>0</v>
      </c>
      <c r="F193" s="187">
        <f>E193</f>
        <v>0</v>
      </c>
      <c r="G193" s="174">
        <f t="shared" si="14"/>
        <v>0</v>
      </c>
      <c r="H193" s="817"/>
      <c r="I193" s="907"/>
      <c r="J193" s="919"/>
      <c r="K193" s="673"/>
      <c r="L193" s="700"/>
      <c r="M193" s="676"/>
    </row>
    <row r="194" spans="1:13" s="194" customFormat="1" ht="15.75" customHeight="1">
      <c r="A194" s="712"/>
      <c r="B194" s="867"/>
      <c r="C194" s="175" t="s">
        <v>7</v>
      </c>
      <c r="D194" s="187">
        <v>0</v>
      </c>
      <c r="E194" s="187">
        <v>0</v>
      </c>
      <c r="F194" s="187">
        <f>E194</f>
        <v>0</v>
      </c>
      <c r="G194" s="174">
        <f t="shared" si="14"/>
        <v>0</v>
      </c>
      <c r="H194" s="876"/>
      <c r="I194" s="908"/>
      <c r="J194" s="920"/>
      <c r="K194" s="674"/>
      <c r="L194" s="700"/>
      <c r="M194" s="677"/>
    </row>
    <row r="195" spans="1:13" ht="15.75" customHeight="1">
      <c r="A195" s="841" t="s">
        <v>651</v>
      </c>
      <c r="B195" s="877" t="s">
        <v>60</v>
      </c>
      <c r="C195" s="39" t="s">
        <v>3</v>
      </c>
      <c r="D195" s="59">
        <f>SUM(D196:D199)</f>
        <v>10400</v>
      </c>
      <c r="E195" s="59" t="e">
        <f>SUM(E196:E199)</f>
        <v>#REF!</v>
      </c>
      <c r="F195" s="59" t="e">
        <f>SUM(F196:F199)</f>
        <v>#REF!</v>
      </c>
      <c r="G195" s="37">
        <f t="shared" ref="G195:G199" si="15">IFERROR(F195/D195,0)</f>
        <v>0</v>
      </c>
      <c r="H195" s="734" t="s">
        <v>83</v>
      </c>
      <c r="I195" s="18" t="s">
        <v>45</v>
      </c>
      <c r="J195" s="169">
        <f>SUM(J196:J198)</f>
        <v>2</v>
      </c>
      <c r="K195" s="761" t="str">
        <f>'[1]Пр ГП 19-20'!$K$167</f>
        <v>Министерство строительства МО, администрации муниципальных образований</v>
      </c>
      <c r="L195" s="97"/>
      <c r="M195" s="96"/>
    </row>
    <row r="196" spans="1:13">
      <c r="A196" s="842"/>
      <c r="B196" s="878"/>
      <c r="C196" s="39" t="s">
        <v>4</v>
      </c>
      <c r="D196" s="59">
        <f>SUM(D201,D206)</f>
        <v>10400</v>
      </c>
      <c r="E196" s="59" t="e">
        <f>SUM(E201,E206)</f>
        <v>#REF!</v>
      </c>
      <c r="F196" s="59" t="e">
        <f>E196</f>
        <v>#REF!</v>
      </c>
      <c r="G196" s="37">
        <f t="shared" si="15"/>
        <v>0</v>
      </c>
      <c r="H196" s="735"/>
      <c r="I196" s="18" t="s">
        <v>46</v>
      </c>
      <c r="J196" s="169">
        <v>0</v>
      </c>
      <c r="K196" s="762"/>
      <c r="L196" s="97"/>
      <c r="M196" s="96"/>
    </row>
    <row r="197" spans="1:13">
      <c r="A197" s="842"/>
      <c r="B197" s="878"/>
      <c r="C197" s="39" t="s">
        <v>5</v>
      </c>
      <c r="D197" s="59">
        <v>0</v>
      </c>
      <c r="E197" s="59">
        <v>0</v>
      </c>
      <c r="F197" s="59">
        <f>E197</f>
        <v>0</v>
      </c>
      <c r="G197" s="37">
        <f t="shared" si="15"/>
        <v>0</v>
      </c>
      <c r="H197" s="735"/>
      <c r="I197" s="18" t="s">
        <v>47</v>
      </c>
      <c r="J197" s="169">
        <f>COUNTIF($J$200:$J$209,"Частично")</f>
        <v>0</v>
      </c>
      <c r="K197" s="762"/>
      <c r="L197" s="97"/>
      <c r="M197" s="96"/>
    </row>
    <row r="198" spans="1:13">
      <c r="A198" s="842"/>
      <c r="B198" s="878"/>
      <c r="C198" s="39" t="s">
        <v>6</v>
      </c>
      <c r="D198" s="59">
        <v>0</v>
      </c>
      <c r="E198" s="59">
        <v>0</v>
      </c>
      <c r="F198" s="59">
        <f>E198</f>
        <v>0</v>
      </c>
      <c r="G198" s="37">
        <f t="shared" si="15"/>
        <v>0</v>
      </c>
      <c r="H198" s="735"/>
      <c r="I198" s="18" t="s">
        <v>48</v>
      </c>
      <c r="J198" s="169">
        <v>2</v>
      </c>
      <c r="K198" s="762"/>
      <c r="L198" s="97"/>
      <c r="M198" s="96"/>
    </row>
    <row r="199" spans="1:13">
      <c r="A199" s="843"/>
      <c r="B199" s="879"/>
      <c r="C199" s="39" t="s">
        <v>7</v>
      </c>
      <c r="D199" s="59">
        <v>0</v>
      </c>
      <c r="E199" s="59">
        <v>0</v>
      </c>
      <c r="F199" s="59">
        <f>E199</f>
        <v>0</v>
      </c>
      <c r="G199" s="37">
        <f t="shared" si="15"/>
        <v>0</v>
      </c>
      <c r="H199" s="736"/>
      <c r="I199" s="18" t="s">
        <v>49</v>
      </c>
      <c r="J199" s="22">
        <f>(J196+0.5*J197)/J195</f>
        <v>0</v>
      </c>
      <c r="K199" s="771"/>
      <c r="L199" s="97"/>
      <c r="M199" s="96"/>
    </row>
    <row r="200" spans="1:13" s="202" customFormat="1" ht="15" customHeight="1">
      <c r="A200" s="696" t="s">
        <v>126</v>
      </c>
      <c r="B200" s="695" t="s">
        <v>19</v>
      </c>
      <c r="C200" s="179" t="s">
        <v>3</v>
      </c>
      <c r="D200" s="185">
        <f>SUM(D201:D204)</f>
        <v>6000</v>
      </c>
      <c r="E200" s="188">
        <v>0</v>
      </c>
      <c r="F200" s="188">
        <v>0</v>
      </c>
      <c r="G200" s="174">
        <f t="shared" si="11"/>
        <v>0</v>
      </c>
      <c r="H200" s="786" t="s">
        <v>144</v>
      </c>
      <c r="I200" s="709" t="s">
        <v>221</v>
      </c>
      <c r="J200" s="699" t="s">
        <v>206</v>
      </c>
      <c r="K200" s="709" t="s">
        <v>142</v>
      </c>
      <c r="L200" s="701" t="s">
        <v>641</v>
      </c>
      <c r="M200" s="675">
        <v>823</v>
      </c>
    </row>
    <row r="201" spans="1:13" s="202" customFormat="1" ht="15" customHeight="1">
      <c r="A201" s="661"/>
      <c r="B201" s="683"/>
      <c r="C201" s="181" t="s">
        <v>4</v>
      </c>
      <c r="D201" s="195">
        <f>'334-ПП'!F592</f>
        <v>6000</v>
      </c>
      <c r="E201" s="188">
        <v>0</v>
      </c>
      <c r="F201" s="188">
        <v>0</v>
      </c>
      <c r="G201" s="174">
        <f t="shared" si="11"/>
        <v>0</v>
      </c>
      <c r="H201" s="787"/>
      <c r="I201" s="673"/>
      <c r="J201" s="670"/>
      <c r="K201" s="673"/>
      <c r="L201" s="702"/>
      <c r="M201" s="676"/>
    </row>
    <row r="202" spans="1:13" s="202" customFormat="1" ht="15" customHeight="1">
      <c r="A202" s="661"/>
      <c r="B202" s="683"/>
      <c r="C202" s="181" t="s">
        <v>5</v>
      </c>
      <c r="D202" s="195">
        <v>0</v>
      </c>
      <c r="E202" s="188">
        <v>0</v>
      </c>
      <c r="F202" s="188">
        <v>0</v>
      </c>
      <c r="G202" s="174">
        <f t="shared" si="11"/>
        <v>0</v>
      </c>
      <c r="H202" s="787"/>
      <c r="I202" s="673"/>
      <c r="J202" s="670"/>
      <c r="K202" s="673"/>
      <c r="L202" s="702"/>
      <c r="M202" s="676"/>
    </row>
    <row r="203" spans="1:13" s="202" customFormat="1" ht="15" customHeight="1">
      <c r="A203" s="661"/>
      <c r="B203" s="683"/>
      <c r="C203" s="181" t="s">
        <v>6</v>
      </c>
      <c r="D203" s="195">
        <v>0</v>
      </c>
      <c r="E203" s="188">
        <v>0</v>
      </c>
      <c r="F203" s="188">
        <v>0</v>
      </c>
      <c r="G203" s="174">
        <f t="shared" si="11"/>
        <v>0</v>
      </c>
      <c r="H203" s="787"/>
      <c r="I203" s="673"/>
      <c r="J203" s="670"/>
      <c r="K203" s="673"/>
      <c r="L203" s="702"/>
      <c r="M203" s="676"/>
    </row>
    <row r="204" spans="1:13" s="202" customFormat="1" ht="15" customHeight="1">
      <c r="A204" s="662"/>
      <c r="B204" s="684"/>
      <c r="C204" s="181" t="s">
        <v>7</v>
      </c>
      <c r="D204" s="195">
        <v>0</v>
      </c>
      <c r="E204" s="188">
        <v>0</v>
      </c>
      <c r="F204" s="188">
        <v>0</v>
      </c>
      <c r="G204" s="174">
        <f t="shared" si="11"/>
        <v>0</v>
      </c>
      <c r="H204" s="788"/>
      <c r="I204" s="674"/>
      <c r="J204" s="671"/>
      <c r="K204" s="674"/>
      <c r="L204" s="703"/>
      <c r="M204" s="677"/>
    </row>
    <row r="205" spans="1:13" s="10" customFormat="1" ht="15" customHeight="1">
      <c r="A205" s="696" t="s">
        <v>127</v>
      </c>
      <c r="B205" s="695" t="s">
        <v>124</v>
      </c>
      <c r="C205" s="181" t="s">
        <v>3</v>
      </c>
      <c r="D205" s="196">
        <f>SUM(D206:D209)</f>
        <v>4400</v>
      </c>
      <c r="E205" s="197" t="e">
        <f>SUM(E206:E209)</f>
        <v>#REF!</v>
      </c>
      <c r="F205" s="197" t="e">
        <f>SUM(F206:F209)</f>
        <v>#REF!</v>
      </c>
      <c r="G205" s="174">
        <f t="shared" si="11"/>
        <v>0</v>
      </c>
      <c r="H205" s="770" t="s">
        <v>176</v>
      </c>
      <c r="I205" s="704" t="s">
        <v>642</v>
      </c>
      <c r="J205" s="753" t="s">
        <v>664</v>
      </c>
      <c r="K205" s="709" t="s">
        <v>142</v>
      </c>
      <c r="L205" s="701" t="s">
        <v>226</v>
      </c>
      <c r="M205" s="675">
        <v>823</v>
      </c>
    </row>
    <row r="206" spans="1:13" s="10" customFormat="1" ht="15" customHeight="1">
      <c r="A206" s="661"/>
      <c r="B206" s="683"/>
      <c r="C206" s="181" t="s">
        <v>4</v>
      </c>
      <c r="D206" s="198">
        <f>'334-ПП'!F704</f>
        <v>4400</v>
      </c>
      <c r="E206" s="197" t="e">
        <f>#REF!</f>
        <v>#REF!</v>
      </c>
      <c r="F206" s="197" t="e">
        <f>E206</f>
        <v>#REF!</v>
      </c>
      <c r="G206" s="174">
        <f t="shared" si="11"/>
        <v>0</v>
      </c>
      <c r="H206" s="664"/>
      <c r="I206" s="667"/>
      <c r="J206" s="754"/>
      <c r="K206" s="673"/>
      <c r="L206" s="702"/>
      <c r="M206" s="676"/>
    </row>
    <row r="207" spans="1:13" s="10" customFormat="1" ht="15" customHeight="1">
      <c r="A207" s="661"/>
      <c r="B207" s="683"/>
      <c r="C207" s="181" t="s">
        <v>5</v>
      </c>
      <c r="D207" s="199">
        <v>0</v>
      </c>
      <c r="E207" s="197">
        <v>0</v>
      </c>
      <c r="F207" s="197">
        <v>0</v>
      </c>
      <c r="G207" s="174">
        <f t="shared" ref="G207:G284" si="16">IFERROR(F207/D207,0)</f>
        <v>0</v>
      </c>
      <c r="H207" s="664"/>
      <c r="I207" s="667"/>
      <c r="J207" s="754"/>
      <c r="K207" s="673"/>
      <c r="L207" s="702"/>
      <c r="M207" s="676"/>
    </row>
    <row r="208" spans="1:13" s="10" customFormat="1" ht="15" customHeight="1">
      <c r="A208" s="661"/>
      <c r="B208" s="683"/>
      <c r="C208" s="181" t="s">
        <v>6</v>
      </c>
      <c r="D208" s="200">
        <v>0</v>
      </c>
      <c r="E208" s="197">
        <v>0</v>
      </c>
      <c r="F208" s="197">
        <v>0</v>
      </c>
      <c r="G208" s="174">
        <f t="shared" si="16"/>
        <v>0</v>
      </c>
      <c r="H208" s="664"/>
      <c r="I208" s="667"/>
      <c r="J208" s="754"/>
      <c r="K208" s="673"/>
      <c r="L208" s="702"/>
      <c r="M208" s="676"/>
    </row>
    <row r="209" spans="1:13" s="10" customFormat="1" ht="15" customHeight="1">
      <c r="A209" s="662"/>
      <c r="B209" s="684"/>
      <c r="C209" s="201" t="s">
        <v>7</v>
      </c>
      <c r="D209" s="200">
        <v>0</v>
      </c>
      <c r="E209" s="197">
        <v>0</v>
      </c>
      <c r="F209" s="197">
        <v>0</v>
      </c>
      <c r="G209" s="174">
        <f t="shared" si="16"/>
        <v>0</v>
      </c>
      <c r="H209" s="665"/>
      <c r="I209" s="668"/>
      <c r="J209" s="755"/>
      <c r="K209" s="674"/>
      <c r="L209" s="703"/>
      <c r="M209" s="677"/>
    </row>
    <row r="210" spans="1:13" s="10" customFormat="1" ht="15" customHeight="1">
      <c r="A210" s="927" t="s">
        <v>556</v>
      </c>
      <c r="B210" s="924" t="s">
        <v>557</v>
      </c>
      <c r="C210" s="164" t="s">
        <v>3</v>
      </c>
      <c r="D210" s="158">
        <f>SUM(D211:D214)</f>
        <v>113551.12046000001</v>
      </c>
      <c r="E210" s="159" t="e">
        <f>SUM(E211:E214)</f>
        <v>#REF!</v>
      </c>
      <c r="F210" s="159" t="e">
        <f>SUM(F211:F214)</f>
        <v>#REF!</v>
      </c>
      <c r="G210" s="165">
        <f t="shared" si="16"/>
        <v>0</v>
      </c>
      <c r="H210" s="928" t="s">
        <v>81</v>
      </c>
      <c r="I210" s="18" t="s">
        <v>45</v>
      </c>
      <c r="J210" s="32">
        <f>SUM(J211:J213)</f>
        <v>1</v>
      </c>
      <c r="K210" s="929"/>
      <c r="L210" s="166"/>
      <c r="M210" s="162"/>
    </row>
    <row r="211" spans="1:13" s="10" customFormat="1" ht="15" customHeight="1">
      <c r="A211" s="881"/>
      <c r="B211" s="925"/>
      <c r="C211" s="164" t="s">
        <v>4</v>
      </c>
      <c r="D211" s="158">
        <f>D216</f>
        <v>35551.120459999998</v>
      </c>
      <c r="E211" s="159" t="e">
        <f>E216</f>
        <v>#REF!</v>
      </c>
      <c r="F211" s="159" t="e">
        <f>E211</f>
        <v>#REF!</v>
      </c>
      <c r="G211" s="165">
        <f t="shared" si="16"/>
        <v>0</v>
      </c>
      <c r="H211" s="928"/>
      <c r="I211" s="18" t="s">
        <v>46</v>
      </c>
      <c r="J211" s="32">
        <f>COUNTIF($J$215:$J$219,"Да")</f>
        <v>0</v>
      </c>
      <c r="K211" s="762"/>
      <c r="L211" s="166"/>
      <c r="M211" s="162"/>
    </row>
    <row r="212" spans="1:13" s="10" customFormat="1" ht="15" customHeight="1">
      <c r="A212" s="881"/>
      <c r="B212" s="925"/>
      <c r="C212" s="164" t="s">
        <v>5</v>
      </c>
      <c r="D212" s="158">
        <f>D217</f>
        <v>78000</v>
      </c>
      <c r="E212" s="159">
        <f>E217</f>
        <v>0</v>
      </c>
      <c r="F212" s="159">
        <f>E212</f>
        <v>0</v>
      </c>
      <c r="G212" s="165">
        <f t="shared" si="16"/>
        <v>0</v>
      </c>
      <c r="H212" s="928"/>
      <c r="I212" s="18" t="s">
        <v>47</v>
      </c>
      <c r="J212" s="32">
        <f>COUNTIF($J$225:$J$239,"Частично")</f>
        <v>0</v>
      </c>
      <c r="K212" s="762"/>
      <c r="L212" s="166"/>
      <c r="M212" s="162"/>
    </row>
    <row r="213" spans="1:13" s="10" customFormat="1" ht="15" customHeight="1">
      <c r="A213" s="881"/>
      <c r="B213" s="925"/>
      <c r="C213" s="164" t="s">
        <v>6</v>
      </c>
      <c r="D213" s="158">
        <v>0</v>
      </c>
      <c r="E213" s="159">
        <f>E218</f>
        <v>0</v>
      </c>
      <c r="F213" s="159">
        <f>E213</f>
        <v>0</v>
      </c>
      <c r="G213" s="165">
        <f t="shared" si="16"/>
        <v>0</v>
      </c>
      <c r="H213" s="928"/>
      <c r="I213" s="18" t="s">
        <v>48</v>
      </c>
      <c r="J213" s="32">
        <f>COUNTIF($J$215:$J$219,"Нет")</f>
        <v>1</v>
      </c>
      <c r="K213" s="762"/>
      <c r="L213" s="166"/>
      <c r="M213" s="162"/>
    </row>
    <row r="214" spans="1:13" s="10" customFormat="1" ht="15" customHeight="1">
      <c r="A214" s="882"/>
      <c r="B214" s="926"/>
      <c r="C214" s="164" t="s">
        <v>7</v>
      </c>
      <c r="D214" s="158">
        <v>0</v>
      </c>
      <c r="E214" s="159">
        <v>0</v>
      </c>
      <c r="F214" s="159">
        <f>E214</f>
        <v>0</v>
      </c>
      <c r="G214" s="165">
        <f t="shared" si="16"/>
        <v>0</v>
      </c>
      <c r="H214" s="928"/>
      <c r="I214" s="18" t="s">
        <v>49</v>
      </c>
      <c r="J214" s="20">
        <f>(J211+0.5*J212)/J210</f>
        <v>0</v>
      </c>
      <c r="K214" s="771"/>
      <c r="L214" s="166"/>
      <c r="M214" s="162"/>
    </row>
    <row r="215" spans="1:13" s="10" customFormat="1" ht="102" customHeight="1">
      <c r="A215" s="687" t="s">
        <v>558</v>
      </c>
      <c r="B215" s="659" t="s">
        <v>559</v>
      </c>
      <c r="C215" s="181" t="s">
        <v>3</v>
      </c>
      <c r="D215" s="203">
        <f>SUM(D216:D219)</f>
        <v>113551.12046000001</v>
      </c>
      <c r="E215" s="204" t="e">
        <f>SUM(E216:E219)</f>
        <v>#REF!</v>
      </c>
      <c r="F215" s="204" t="e">
        <f>SUM(F216:F219)</f>
        <v>#REF!</v>
      </c>
      <c r="G215" s="205">
        <f t="shared" si="16"/>
        <v>0</v>
      </c>
      <c r="H215" s="664" t="s">
        <v>560</v>
      </c>
      <c r="I215" s="921" t="s">
        <v>667</v>
      </c>
      <c r="J215" s="699" t="s">
        <v>206</v>
      </c>
      <c r="K215" s="672" t="s">
        <v>140</v>
      </c>
      <c r="L215" s="701" t="s">
        <v>226</v>
      </c>
      <c r="M215" s="163"/>
    </row>
    <row r="216" spans="1:13" s="10" customFormat="1" ht="76.5" customHeight="1">
      <c r="A216" s="687"/>
      <c r="B216" s="659"/>
      <c r="C216" s="181" t="s">
        <v>4</v>
      </c>
      <c r="D216" s="203">
        <f>'334-ПП'!F837</f>
        <v>35551.120459999998</v>
      </c>
      <c r="E216" s="204" t="e">
        <f>#REF!</f>
        <v>#REF!</v>
      </c>
      <c r="F216" s="204" t="e">
        <f>E216</f>
        <v>#REF!</v>
      </c>
      <c r="G216" s="205">
        <f t="shared" si="16"/>
        <v>0</v>
      </c>
      <c r="H216" s="664"/>
      <c r="I216" s="922"/>
      <c r="J216" s="670"/>
      <c r="K216" s="673"/>
      <c r="L216" s="702"/>
      <c r="M216" s="163"/>
    </row>
    <row r="217" spans="1:13" s="10" customFormat="1" ht="60" customHeight="1">
      <c r="A217" s="687"/>
      <c r="B217" s="659"/>
      <c r="C217" s="181" t="s">
        <v>5</v>
      </c>
      <c r="D217" s="203">
        <f>'334-ПП'!G837</f>
        <v>78000</v>
      </c>
      <c r="E217" s="204">
        <v>0</v>
      </c>
      <c r="F217" s="204">
        <v>0</v>
      </c>
      <c r="G217" s="205">
        <f t="shared" ref="G217:G219" si="17">IFERROR(F217/D217,0)</f>
        <v>0</v>
      </c>
      <c r="H217" s="664"/>
      <c r="I217" s="922"/>
      <c r="J217" s="670"/>
      <c r="K217" s="673"/>
      <c r="L217" s="702"/>
      <c r="M217" s="163"/>
    </row>
    <row r="218" spans="1:13" s="10" customFormat="1" ht="69" customHeight="1">
      <c r="A218" s="687"/>
      <c r="B218" s="659"/>
      <c r="C218" s="181" t="s">
        <v>6</v>
      </c>
      <c r="D218" s="203">
        <v>0</v>
      </c>
      <c r="E218" s="204">
        <v>0</v>
      </c>
      <c r="F218" s="204">
        <v>0</v>
      </c>
      <c r="G218" s="205">
        <f t="shared" si="17"/>
        <v>0</v>
      </c>
      <c r="H218" s="664"/>
      <c r="I218" s="922"/>
      <c r="J218" s="670"/>
      <c r="K218" s="673"/>
      <c r="L218" s="702"/>
      <c r="M218" s="163"/>
    </row>
    <row r="219" spans="1:13" s="10" customFormat="1" ht="64.5" customHeight="1">
      <c r="A219" s="687"/>
      <c r="B219" s="659"/>
      <c r="C219" s="201" t="s">
        <v>7</v>
      </c>
      <c r="D219" s="203">
        <v>0</v>
      </c>
      <c r="E219" s="204">
        <v>0</v>
      </c>
      <c r="F219" s="204">
        <v>0</v>
      </c>
      <c r="G219" s="205">
        <f t="shared" si="17"/>
        <v>0</v>
      </c>
      <c r="H219" s="665"/>
      <c r="I219" s="923"/>
      <c r="J219" s="671"/>
      <c r="K219" s="674"/>
      <c r="L219" s="703"/>
      <c r="M219" s="163"/>
    </row>
    <row r="220" spans="1:13" s="10" customFormat="1" ht="15" customHeight="1">
      <c r="A220" s="880" t="s">
        <v>138</v>
      </c>
      <c r="B220" s="844" t="s">
        <v>137</v>
      </c>
      <c r="C220" s="84" t="s">
        <v>3</v>
      </c>
      <c r="D220" s="85">
        <f>SUM(D221:D224)</f>
        <v>1137317.1484699999</v>
      </c>
      <c r="E220" s="86">
        <f>SUM(E221:E224)</f>
        <v>267503.2</v>
      </c>
      <c r="F220" s="86">
        <f>SUM(F221:F224)</f>
        <v>92170</v>
      </c>
      <c r="G220" s="81">
        <f t="shared" si="16"/>
        <v>8.1041598751934452E-2</v>
      </c>
      <c r="H220" s="883" t="s">
        <v>216</v>
      </c>
      <c r="I220" s="18" t="s">
        <v>45</v>
      </c>
      <c r="J220" s="32">
        <f>SUM(J221:J223)</f>
        <v>3</v>
      </c>
      <c r="K220" s="725" t="s">
        <v>136</v>
      </c>
      <c r="L220" s="725"/>
      <c r="M220" s="763">
        <v>807</v>
      </c>
    </row>
    <row r="221" spans="1:13" s="10" customFormat="1" ht="15" customHeight="1">
      <c r="A221" s="881"/>
      <c r="B221" s="845"/>
      <c r="C221" s="84" t="s">
        <v>4</v>
      </c>
      <c r="D221" s="85">
        <f t="shared" ref="D221:F224" si="18">SUM(D226,D231,D236)</f>
        <v>767208.54847000004</v>
      </c>
      <c r="E221" s="86">
        <f t="shared" si="18"/>
        <v>199658.7</v>
      </c>
      <c r="F221" s="86">
        <f t="shared" si="18"/>
        <v>92170</v>
      </c>
      <c r="G221" s="81">
        <f t="shared" si="16"/>
        <v>0.12013682613913693</v>
      </c>
      <c r="H221" s="884"/>
      <c r="I221" s="18" t="s">
        <v>46</v>
      </c>
      <c r="J221" s="32">
        <f>COUNTIF($J$225:$J$239,"Да")</f>
        <v>1</v>
      </c>
      <c r="K221" s="725"/>
      <c r="L221" s="725"/>
      <c r="M221" s="764"/>
    </row>
    <row r="222" spans="1:13" s="10" customFormat="1" ht="15" customHeight="1">
      <c r="A222" s="881"/>
      <c r="B222" s="845"/>
      <c r="C222" s="84" t="s">
        <v>5</v>
      </c>
      <c r="D222" s="87">
        <f t="shared" si="18"/>
        <v>370108.6</v>
      </c>
      <c r="E222" s="86">
        <f t="shared" si="18"/>
        <v>67844.5</v>
      </c>
      <c r="F222" s="86">
        <f t="shared" si="18"/>
        <v>0</v>
      </c>
      <c r="G222" s="81">
        <f t="shared" si="16"/>
        <v>0</v>
      </c>
      <c r="H222" s="884"/>
      <c r="I222" s="18" t="s">
        <v>47</v>
      </c>
      <c r="J222" s="32">
        <f>COUNTIF($J$225:$J$239,"Частично")</f>
        <v>0</v>
      </c>
      <c r="K222" s="725"/>
      <c r="L222" s="725"/>
      <c r="M222" s="764"/>
    </row>
    <row r="223" spans="1:13" s="10" customFormat="1" ht="15" customHeight="1">
      <c r="A223" s="881"/>
      <c r="B223" s="845"/>
      <c r="C223" s="84" t="s">
        <v>6</v>
      </c>
      <c r="D223" s="85">
        <f t="shared" si="18"/>
        <v>0</v>
      </c>
      <c r="E223" s="86">
        <f t="shared" si="18"/>
        <v>0</v>
      </c>
      <c r="F223" s="86">
        <f t="shared" si="18"/>
        <v>0</v>
      </c>
      <c r="G223" s="81">
        <f t="shared" si="16"/>
        <v>0</v>
      </c>
      <c r="H223" s="884"/>
      <c r="I223" s="18" t="s">
        <v>48</v>
      </c>
      <c r="J223" s="32">
        <f>COUNTIF($J$225:$J$239,"Нет")</f>
        <v>2</v>
      </c>
      <c r="K223" s="725"/>
      <c r="L223" s="725"/>
      <c r="M223" s="764"/>
    </row>
    <row r="224" spans="1:13" s="10" customFormat="1" ht="15" customHeight="1">
      <c r="A224" s="882"/>
      <c r="B224" s="846"/>
      <c r="C224" s="88" t="s">
        <v>7</v>
      </c>
      <c r="D224" s="85">
        <f t="shared" si="18"/>
        <v>0</v>
      </c>
      <c r="E224" s="86">
        <f t="shared" si="18"/>
        <v>0</v>
      </c>
      <c r="F224" s="86">
        <f t="shared" si="18"/>
        <v>0</v>
      </c>
      <c r="G224" s="81">
        <f t="shared" si="16"/>
        <v>0</v>
      </c>
      <c r="H224" s="885"/>
      <c r="I224" s="18" t="s">
        <v>49</v>
      </c>
      <c r="J224" s="20">
        <f>(J221+0.5*J222)/J220</f>
        <v>0.33333333333333331</v>
      </c>
      <c r="K224" s="725"/>
      <c r="L224" s="725"/>
      <c r="M224" s="834"/>
    </row>
    <row r="225" spans="1:13" s="194" customFormat="1" ht="15" customHeight="1">
      <c r="A225" s="696" t="s">
        <v>61</v>
      </c>
      <c r="B225" s="695" t="s">
        <v>82</v>
      </c>
      <c r="C225" s="181" t="s">
        <v>3</v>
      </c>
      <c r="D225" s="200">
        <f>SUM(D226:D229)</f>
        <v>655147.1484699999</v>
      </c>
      <c r="E225" s="197">
        <f>SUM(E226:E229)</f>
        <v>175333.2</v>
      </c>
      <c r="F225" s="197">
        <f>SUM(F226:F229)</f>
        <v>0</v>
      </c>
      <c r="G225" s="206">
        <f t="shared" si="16"/>
        <v>0</v>
      </c>
      <c r="H225" s="697" t="s">
        <v>133</v>
      </c>
      <c r="I225" s="698" t="s">
        <v>624</v>
      </c>
      <c r="J225" s="699" t="s">
        <v>206</v>
      </c>
      <c r="K225" s="700" t="s">
        <v>135</v>
      </c>
      <c r="L225" s="701" t="s">
        <v>632</v>
      </c>
      <c r="M225" s="675">
        <v>807</v>
      </c>
    </row>
    <row r="226" spans="1:13" s="194" customFormat="1" ht="15" customHeight="1">
      <c r="A226" s="661"/>
      <c r="B226" s="683"/>
      <c r="C226" s="181" t="s">
        <v>4</v>
      </c>
      <c r="D226" s="200">
        <f>'334-ПП'!F851</f>
        <v>285038.54846999998</v>
      </c>
      <c r="E226" s="197">
        <v>107488.7</v>
      </c>
      <c r="F226" s="197">
        <v>0</v>
      </c>
      <c r="G226" s="206">
        <f t="shared" si="16"/>
        <v>0</v>
      </c>
      <c r="H226" s="697"/>
      <c r="I226" s="698"/>
      <c r="J226" s="670"/>
      <c r="K226" s="700"/>
      <c r="L226" s="702"/>
      <c r="M226" s="676"/>
    </row>
    <row r="227" spans="1:13" s="194" customFormat="1" ht="15" customHeight="1">
      <c r="A227" s="661"/>
      <c r="B227" s="683"/>
      <c r="C227" s="181" t="s">
        <v>5</v>
      </c>
      <c r="D227" s="200">
        <f>'334-ПП'!G851</f>
        <v>370108.6</v>
      </c>
      <c r="E227" s="197">
        <v>67844.5</v>
      </c>
      <c r="F227" s="197">
        <v>0</v>
      </c>
      <c r="G227" s="206">
        <f t="shared" si="16"/>
        <v>0</v>
      </c>
      <c r="H227" s="697"/>
      <c r="I227" s="698"/>
      <c r="J227" s="670"/>
      <c r="K227" s="700"/>
      <c r="L227" s="702"/>
      <c r="M227" s="676"/>
    </row>
    <row r="228" spans="1:13" s="194" customFormat="1" ht="15" customHeight="1">
      <c r="A228" s="661"/>
      <c r="B228" s="683"/>
      <c r="C228" s="181" t="s">
        <v>6</v>
      </c>
      <c r="D228" s="200">
        <v>0</v>
      </c>
      <c r="E228" s="197">
        <v>0</v>
      </c>
      <c r="F228" s="197">
        <v>0</v>
      </c>
      <c r="G228" s="206">
        <f t="shared" si="16"/>
        <v>0</v>
      </c>
      <c r="H228" s="697"/>
      <c r="I228" s="698"/>
      <c r="J228" s="670"/>
      <c r="K228" s="700"/>
      <c r="L228" s="702"/>
      <c r="M228" s="676"/>
    </row>
    <row r="229" spans="1:13" s="194" customFormat="1" ht="29.25" customHeight="1">
      <c r="A229" s="662"/>
      <c r="B229" s="684"/>
      <c r="C229" s="201" t="s">
        <v>7</v>
      </c>
      <c r="D229" s="200">
        <v>0</v>
      </c>
      <c r="E229" s="197">
        <v>0</v>
      </c>
      <c r="F229" s="197">
        <v>0</v>
      </c>
      <c r="G229" s="206">
        <f t="shared" si="16"/>
        <v>0</v>
      </c>
      <c r="H229" s="697"/>
      <c r="I229" s="698"/>
      <c r="J229" s="671"/>
      <c r="K229" s="700"/>
      <c r="L229" s="703"/>
      <c r="M229" s="677"/>
    </row>
    <row r="230" spans="1:13" s="194" customFormat="1" ht="15" customHeight="1">
      <c r="A230" s="696" t="s">
        <v>62</v>
      </c>
      <c r="B230" s="695" t="s">
        <v>563</v>
      </c>
      <c r="C230" s="181" t="s">
        <v>3</v>
      </c>
      <c r="D230" s="200">
        <f>SUM(D231:D234)</f>
        <v>92170</v>
      </c>
      <c r="E230" s="197">
        <f>SUM(E231:E234)</f>
        <v>92170</v>
      </c>
      <c r="F230" s="197">
        <f>SUM(F231:F234)</f>
        <v>92170</v>
      </c>
      <c r="G230" s="206">
        <f t="shared" si="16"/>
        <v>1</v>
      </c>
      <c r="H230" s="697" t="s">
        <v>133</v>
      </c>
      <c r="I230" s="698" t="s">
        <v>625</v>
      </c>
      <c r="J230" s="699" t="s">
        <v>177</v>
      </c>
      <c r="K230" s="700" t="s">
        <v>134</v>
      </c>
      <c r="L230" s="701" t="s">
        <v>632</v>
      </c>
      <c r="M230" s="675">
        <v>807</v>
      </c>
    </row>
    <row r="231" spans="1:13" s="194" customFormat="1" ht="15" customHeight="1">
      <c r="A231" s="661"/>
      <c r="B231" s="683"/>
      <c r="C231" s="181" t="s">
        <v>4</v>
      </c>
      <c r="D231" s="200">
        <f>'334-ПП'!F858</f>
        <v>92170</v>
      </c>
      <c r="E231" s="197">
        <f>92170000/1000</f>
        <v>92170</v>
      </c>
      <c r="F231" s="197">
        <f>92170000/1000</f>
        <v>92170</v>
      </c>
      <c r="G231" s="206">
        <f t="shared" si="16"/>
        <v>1</v>
      </c>
      <c r="H231" s="697"/>
      <c r="I231" s="698"/>
      <c r="J231" s="670"/>
      <c r="K231" s="700"/>
      <c r="L231" s="702"/>
      <c r="M231" s="676"/>
    </row>
    <row r="232" spans="1:13" s="194" customFormat="1" ht="15" customHeight="1">
      <c r="A232" s="661"/>
      <c r="B232" s="683"/>
      <c r="C232" s="181" t="s">
        <v>5</v>
      </c>
      <c r="D232" s="200">
        <v>0</v>
      </c>
      <c r="E232" s="197">
        <v>0</v>
      </c>
      <c r="F232" s="197">
        <v>0</v>
      </c>
      <c r="G232" s="206">
        <f t="shared" si="16"/>
        <v>0</v>
      </c>
      <c r="H232" s="697"/>
      <c r="I232" s="698"/>
      <c r="J232" s="670"/>
      <c r="K232" s="700"/>
      <c r="L232" s="702"/>
      <c r="M232" s="676"/>
    </row>
    <row r="233" spans="1:13" s="194" customFormat="1" ht="15" customHeight="1">
      <c r="A233" s="661"/>
      <c r="B233" s="683"/>
      <c r="C233" s="181" t="s">
        <v>6</v>
      </c>
      <c r="D233" s="200">
        <v>0</v>
      </c>
      <c r="E233" s="197">
        <v>0</v>
      </c>
      <c r="F233" s="197">
        <v>0</v>
      </c>
      <c r="G233" s="206">
        <f t="shared" si="16"/>
        <v>0</v>
      </c>
      <c r="H233" s="697"/>
      <c r="I233" s="698"/>
      <c r="J233" s="670"/>
      <c r="K233" s="700"/>
      <c r="L233" s="702"/>
      <c r="M233" s="676"/>
    </row>
    <row r="234" spans="1:13" s="194" customFormat="1" ht="15" customHeight="1">
      <c r="A234" s="662"/>
      <c r="B234" s="684"/>
      <c r="C234" s="201" t="s">
        <v>7</v>
      </c>
      <c r="D234" s="200">
        <v>0</v>
      </c>
      <c r="E234" s="197">
        <v>0</v>
      </c>
      <c r="F234" s="197">
        <v>0</v>
      </c>
      <c r="G234" s="206">
        <f t="shared" si="16"/>
        <v>0</v>
      </c>
      <c r="H234" s="697"/>
      <c r="I234" s="698"/>
      <c r="J234" s="671"/>
      <c r="K234" s="700"/>
      <c r="L234" s="703"/>
      <c r="M234" s="677"/>
    </row>
    <row r="235" spans="1:13" s="194" customFormat="1" ht="15" customHeight="1">
      <c r="A235" s="696" t="s">
        <v>56</v>
      </c>
      <c r="B235" s="695" t="s">
        <v>566</v>
      </c>
      <c r="C235" s="181" t="s">
        <v>3</v>
      </c>
      <c r="D235" s="200">
        <f>SUM(D236:D239)</f>
        <v>390000</v>
      </c>
      <c r="E235" s="197">
        <f>SUM(E236:E239)</f>
        <v>0</v>
      </c>
      <c r="F235" s="197">
        <f>SUM(F236:F239)</f>
        <v>0</v>
      </c>
      <c r="G235" s="206">
        <f t="shared" si="16"/>
        <v>0</v>
      </c>
      <c r="H235" s="697" t="s">
        <v>133</v>
      </c>
      <c r="I235" s="704" t="s">
        <v>626</v>
      </c>
      <c r="J235" s="699" t="s">
        <v>206</v>
      </c>
      <c r="K235" s="709" t="s">
        <v>132</v>
      </c>
      <c r="L235" s="701" t="s">
        <v>632</v>
      </c>
      <c r="M235" s="675">
        <v>807</v>
      </c>
    </row>
    <row r="236" spans="1:13" s="194" customFormat="1" ht="15" customHeight="1">
      <c r="A236" s="661"/>
      <c r="B236" s="683"/>
      <c r="C236" s="181" t="s">
        <v>4</v>
      </c>
      <c r="D236" s="200">
        <f>'334-ПП'!F865</f>
        <v>390000</v>
      </c>
      <c r="E236" s="197">
        <v>0</v>
      </c>
      <c r="F236" s="197">
        <v>0</v>
      </c>
      <c r="G236" s="206">
        <f t="shared" si="16"/>
        <v>0</v>
      </c>
      <c r="H236" s="697"/>
      <c r="I236" s="667"/>
      <c r="J236" s="670"/>
      <c r="K236" s="673"/>
      <c r="L236" s="702"/>
      <c r="M236" s="676"/>
    </row>
    <row r="237" spans="1:13" s="194" customFormat="1" ht="15" customHeight="1">
      <c r="A237" s="661"/>
      <c r="B237" s="683"/>
      <c r="C237" s="181" t="s">
        <v>5</v>
      </c>
      <c r="D237" s="200">
        <v>0</v>
      </c>
      <c r="E237" s="197">
        <v>0</v>
      </c>
      <c r="F237" s="197">
        <v>0</v>
      </c>
      <c r="G237" s="206">
        <f t="shared" si="16"/>
        <v>0</v>
      </c>
      <c r="H237" s="697"/>
      <c r="I237" s="667"/>
      <c r="J237" s="670"/>
      <c r="K237" s="673"/>
      <c r="L237" s="702"/>
      <c r="M237" s="676"/>
    </row>
    <row r="238" spans="1:13" s="194" customFormat="1" ht="18" customHeight="1">
      <c r="A238" s="661"/>
      <c r="B238" s="683"/>
      <c r="C238" s="181" t="s">
        <v>6</v>
      </c>
      <c r="D238" s="200">
        <v>0</v>
      </c>
      <c r="E238" s="197">
        <v>0</v>
      </c>
      <c r="F238" s="197">
        <v>0</v>
      </c>
      <c r="G238" s="206">
        <f t="shared" si="16"/>
        <v>0</v>
      </c>
      <c r="H238" s="697"/>
      <c r="I238" s="667"/>
      <c r="J238" s="670"/>
      <c r="K238" s="673"/>
      <c r="L238" s="702"/>
      <c r="M238" s="676"/>
    </row>
    <row r="239" spans="1:13" s="194" customFormat="1" ht="23.25" customHeight="1">
      <c r="A239" s="662"/>
      <c r="B239" s="684"/>
      <c r="C239" s="201" t="s">
        <v>7</v>
      </c>
      <c r="D239" s="200">
        <v>0</v>
      </c>
      <c r="E239" s="197">
        <v>0</v>
      </c>
      <c r="F239" s="197">
        <v>0</v>
      </c>
      <c r="G239" s="206">
        <f t="shared" si="16"/>
        <v>0</v>
      </c>
      <c r="H239" s="697"/>
      <c r="I239" s="668"/>
      <c r="J239" s="671"/>
      <c r="K239" s="674"/>
      <c r="L239" s="703"/>
      <c r="M239" s="677"/>
    </row>
    <row r="240" spans="1:13" s="10" customFormat="1" ht="23.25" customHeight="1">
      <c r="A240" s="686" t="s">
        <v>567</v>
      </c>
      <c r="B240" s="685" t="s">
        <v>568</v>
      </c>
      <c r="C240" s="39" t="s">
        <v>3</v>
      </c>
      <c r="D240" s="158">
        <f>SUM(D241:D244)</f>
        <v>80355</v>
      </c>
      <c r="E240" s="159">
        <f>SUM(E241:E244)</f>
        <v>80354.95</v>
      </c>
      <c r="F240" s="159">
        <f>SUM(F241:F244)</f>
        <v>80354.95</v>
      </c>
      <c r="G240" s="160">
        <f t="shared" ref="G240:G254" si="19">IFERROR(F240/D240,0)</f>
        <v>0.99999937776118475</v>
      </c>
      <c r="H240" s="688" t="s">
        <v>614</v>
      </c>
      <c r="I240" s="18" t="s">
        <v>45</v>
      </c>
      <c r="J240" s="32">
        <f>SUM(J241:J243)</f>
        <v>2</v>
      </c>
      <c r="K240" s="678"/>
      <c r="L240" s="678"/>
      <c r="M240" s="679">
        <v>807</v>
      </c>
    </row>
    <row r="241" spans="1:13" s="10" customFormat="1" ht="23.25" customHeight="1">
      <c r="A241" s="686"/>
      <c r="B241" s="685"/>
      <c r="C241" s="39" t="s">
        <v>4</v>
      </c>
      <c r="D241" s="158">
        <f>SUM(D246,D251,)</f>
        <v>79551.453999999998</v>
      </c>
      <c r="E241" s="159">
        <f>SUM(E246,E251,)</f>
        <v>79551.45</v>
      </c>
      <c r="F241" s="159">
        <f>SUM(F246,F251,)</f>
        <v>79551.45</v>
      </c>
      <c r="G241" s="160">
        <f t="shared" si="19"/>
        <v>0.99999994971807804</v>
      </c>
      <c r="H241" s="689"/>
      <c r="I241" s="18" t="s">
        <v>46</v>
      </c>
      <c r="J241" s="32">
        <f>COUNTIF($J$245:$J$254,"Да")</f>
        <v>2</v>
      </c>
      <c r="K241" s="678"/>
      <c r="L241" s="678"/>
      <c r="M241" s="680"/>
    </row>
    <row r="242" spans="1:13" s="10" customFormat="1" ht="23.25" customHeight="1">
      <c r="A242" s="686"/>
      <c r="B242" s="685"/>
      <c r="C242" s="39" t="s">
        <v>5</v>
      </c>
      <c r="D242" s="158">
        <f>SUM(D247,D252,)</f>
        <v>0</v>
      </c>
      <c r="E242" s="159">
        <f>SUM(E247,E252,)</f>
        <v>0</v>
      </c>
      <c r="F242" s="159">
        <f>SUM(F247,F252,F257)</f>
        <v>0</v>
      </c>
      <c r="G242" s="160">
        <f t="shared" si="19"/>
        <v>0</v>
      </c>
      <c r="H242" s="689"/>
      <c r="I242" s="18" t="s">
        <v>47</v>
      </c>
      <c r="J242" s="32">
        <f>COUNTIF($J$225:$J$239,"Частично")</f>
        <v>0</v>
      </c>
      <c r="K242" s="678"/>
      <c r="L242" s="678"/>
      <c r="M242" s="680"/>
    </row>
    <row r="243" spans="1:13" s="10" customFormat="1" ht="23.25" customHeight="1">
      <c r="A243" s="686"/>
      <c r="B243" s="685"/>
      <c r="C243" s="39" t="s">
        <v>6</v>
      </c>
      <c r="D243" s="158">
        <f>SUM(D248,D253,)</f>
        <v>803.54600000000005</v>
      </c>
      <c r="E243" s="159">
        <v>803.5</v>
      </c>
      <c r="F243" s="159">
        <v>803.5</v>
      </c>
      <c r="G243" s="160">
        <f t="shared" si="19"/>
        <v>0.99994275374402952</v>
      </c>
      <c r="H243" s="689"/>
      <c r="I243" s="18" t="s">
        <v>48</v>
      </c>
      <c r="J243" s="32">
        <f>COUNTIF($J$245:$J$254,"Нет")</f>
        <v>0</v>
      </c>
      <c r="K243" s="678"/>
      <c r="L243" s="678"/>
      <c r="M243" s="680"/>
    </row>
    <row r="244" spans="1:13" s="10" customFormat="1" ht="23.25" customHeight="1">
      <c r="A244" s="686"/>
      <c r="B244" s="685"/>
      <c r="C244" s="58" t="s">
        <v>7</v>
      </c>
      <c r="D244" s="158">
        <f>SUM(D249,D254,D259)</f>
        <v>0</v>
      </c>
      <c r="E244" s="159">
        <f>SUM(E249,E254,E259)</f>
        <v>0</v>
      </c>
      <c r="F244" s="159">
        <f>SUM(F249,F254,F259)</f>
        <v>0</v>
      </c>
      <c r="G244" s="160">
        <f t="shared" si="19"/>
        <v>0</v>
      </c>
      <c r="H244" s="690"/>
      <c r="I244" s="18" t="s">
        <v>49</v>
      </c>
      <c r="J244" s="20">
        <f>(J241+0.5*J242)/J240</f>
        <v>1</v>
      </c>
      <c r="K244" s="678"/>
      <c r="L244" s="678"/>
      <c r="M244" s="681"/>
    </row>
    <row r="245" spans="1:13" s="194" customFormat="1" ht="23.25" customHeight="1">
      <c r="A245" s="660" t="s">
        <v>571</v>
      </c>
      <c r="B245" s="682" t="s">
        <v>572</v>
      </c>
      <c r="C245" s="181" t="s">
        <v>3</v>
      </c>
      <c r="D245" s="203">
        <f>SUM(D246:D249)</f>
        <v>59324.6</v>
      </c>
      <c r="E245" s="204">
        <f>SUM(E246:E249)</f>
        <v>59328.182000000001</v>
      </c>
      <c r="F245" s="204">
        <f>SUM(F246:F249)</f>
        <v>59328.182000000001</v>
      </c>
      <c r="G245" s="207">
        <f t="shared" si="19"/>
        <v>1.0000603796738621</v>
      </c>
      <c r="H245" s="663" t="s">
        <v>573</v>
      </c>
      <c r="I245" s="666" t="s">
        <v>634</v>
      </c>
      <c r="J245" s="669" t="s">
        <v>177</v>
      </c>
      <c r="K245" s="672" t="s">
        <v>650</v>
      </c>
      <c r="L245" s="672"/>
      <c r="M245" s="675">
        <v>807</v>
      </c>
    </row>
    <row r="246" spans="1:13" s="194" customFormat="1" ht="23.25" customHeight="1">
      <c r="A246" s="661"/>
      <c r="B246" s="683"/>
      <c r="C246" s="181" t="s">
        <v>4</v>
      </c>
      <c r="D246" s="203">
        <f>'334-ПП'!F879</f>
        <v>58731.353999999999</v>
      </c>
      <c r="E246" s="204">
        <f>58731354/1000</f>
        <v>58731.353999999999</v>
      </c>
      <c r="F246" s="204">
        <f>58731354/1000</f>
        <v>58731.353999999999</v>
      </c>
      <c r="G246" s="207">
        <f t="shared" si="19"/>
        <v>1</v>
      </c>
      <c r="H246" s="664"/>
      <c r="I246" s="667"/>
      <c r="J246" s="670"/>
      <c r="K246" s="673"/>
      <c r="L246" s="673"/>
      <c r="M246" s="676"/>
    </row>
    <row r="247" spans="1:13" s="194" customFormat="1" ht="23.25" customHeight="1">
      <c r="A247" s="661"/>
      <c r="B247" s="683"/>
      <c r="C247" s="181" t="s">
        <v>5</v>
      </c>
      <c r="D247" s="203">
        <v>0</v>
      </c>
      <c r="E247" s="204">
        <v>0</v>
      </c>
      <c r="F247" s="204">
        <v>0</v>
      </c>
      <c r="G247" s="207">
        <f t="shared" si="19"/>
        <v>0</v>
      </c>
      <c r="H247" s="664"/>
      <c r="I247" s="667"/>
      <c r="J247" s="670"/>
      <c r="K247" s="673"/>
      <c r="L247" s="673"/>
      <c r="M247" s="676"/>
    </row>
    <row r="248" spans="1:13" s="194" customFormat="1" ht="23.25" customHeight="1">
      <c r="A248" s="661"/>
      <c r="B248" s="683"/>
      <c r="C248" s="181" t="s">
        <v>6</v>
      </c>
      <c r="D248" s="203">
        <f>'334-ПП'!H879</f>
        <v>593.24599999999998</v>
      </c>
      <c r="E248" s="204">
        <f>596828/1000</f>
        <v>596.82799999999997</v>
      </c>
      <c r="F248" s="204">
        <f>596828/1000</f>
        <v>596.82799999999997</v>
      </c>
      <c r="G248" s="207">
        <f t="shared" si="19"/>
        <v>1.0060379673862108</v>
      </c>
      <c r="H248" s="664"/>
      <c r="I248" s="667"/>
      <c r="J248" s="670"/>
      <c r="K248" s="673"/>
      <c r="L248" s="673"/>
      <c r="M248" s="676"/>
    </row>
    <row r="249" spans="1:13" s="194" customFormat="1" ht="23.25" customHeight="1">
      <c r="A249" s="662"/>
      <c r="B249" s="684"/>
      <c r="C249" s="201" t="s">
        <v>7</v>
      </c>
      <c r="D249" s="203">
        <v>0</v>
      </c>
      <c r="E249" s="204">
        <v>0</v>
      </c>
      <c r="F249" s="204">
        <v>0</v>
      </c>
      <c r="G249" s="207">
        <f t="shared" si="19"/>
        <v>0</v>
      </c>
      <c r="H249" s="665"/>
      <c r="I249" s="668"/>
      <c r="J249" s="671"/>
      <c r="K249" s="674"/>
      <c r="L249" s="674"/>
      <c r="M249" s="677"/>
    </row>
    <row r="250" spans="1:13" s="194" customFormat="1" ht="23.25" customHeight="1">
      <c r="A250" s="687" t="s">
        <v>575</v>
      </c>
      <c r="B250" s="659" t="s">
        <v>576</v>
      </c>
      <c r="C250" s="181" t="s">
        <v>3</v>
      </c>
      <c r="D250" s="203">
        <f>SUM(D251:D254)</f>
        <v>21030.399999999998</v>
      </c>
      <c r="E250" s="204">
        <f>SUM(E251:E254)</f>
        <v>21030.405000000002</v>
      </c>
      <c r="F250" s="204">
        <f>SUM(F251:F254)</f>
        <v>21030.405000000002</v>
      </c>
      <c r="G250" s="207">
        <f t="shared" si="19"/>
        <v>1.0000002377510653</v>
      </c>
      <c r="H250" s="663" t="s">
        <v>573</v>
      </c>
      <c r="I250" s="666" t="s">
        <v>633</v>
      </c>
      <c r="J250" s="669" t="s">
        <v>177</v>
      </c>
      <c r="K250" s="672" t="s">
        <v>650</v>
      </c>
      <c r="L250" s="672"/>
      <c r="M250" s="675">
        <v>807</v>
      </c>
    </row>
    <row r="251" spans="1:13" s="194" customFormat="1" ht="23.25" customHeight="1">
      <c r="A251" s="687"/>
      <c r="B251" s="659"/>
      <c r="C251" s="181" t="s">
        <v>4</v>
      </c>
      <c r="D251" s="203">
        <f>'334-ПП'!F886</f>
        <v>20820.099999999999</v>
      </c>
      <c r="E251" s="204">
        <f>20820096/1000</f>
        <v>20820.096000000001</v>
      </c>
      <c r="F251" s="204">
        <f>E251</f>
        <v>20820.096000000001</v>
      </c>
      <c r="G251" s="207">
        <f t="shared" si="19"/>
        <v>0.99999980787796416</v>
      </c>
      <c r="H251" s="664"/>
      <c r="I251" s="667"/>
      <c r="J251" s="670"/>
      <c r="K251" s="673"/>
      <c r="L251" s="673"/>
      <c r="M251" s="676"/>
    </row>
    <row r="252" spans="1:13" s="194" customFormat="1" ht="23.25" customHeight="1">
      <c r="A252" s="687"/>
      <c r="B252" s="659"/>
      <c r="C252" s="181" t="s">
        <v>5</v>
      </c>
      <c r="D252" s="203">
        <v>0</v>
      </c>
      <c r="E252" s="204">
        <v>0</v>
      </c>
      <c r="F252" s="204">
        <f>E252</f>
        <v>0</v>
      </c>
      <c r="G252" s="207">
        <f t="shared" si="19"/>
        <v>0</v>
      </c>
      <c r="H252" s="664"/>
      <c r="I252" s="667"/>
      <c r="J252" s="670"/>
      <c r="K252" s="673"/>
      <c r="L252" s="673"/>
      <c r="M252" s="676"/>
    </row>
    <row r="253" spans="1:13" s="194" customFormat="1" ht="23.25" customHeight="1">
      <c r="A253" s="687"/>
      <c r="B253" s="659"/>
      <c r="C253" s="181" t="s">
        <v>6</v>
      </c>
      <c r="D253" s="203">
        <f>'334-ПП'!H886</f>
        <v>210.3</v>
      </c>
      <c r="E253" s="204">
        <f>210309/1000</f>
        <v>210.309</v>
      </c>
      <c r="F253" s="204">
        <f>E253</f>
        <v>210.309</v>
      </c>
      <c r="G253" s="207">
        <f t="shared" si="19"/>
        <v>1.0000427960057061</v>
      </c>
      <c r="H253" s="664"/>
      <c r="I253" s="667"/>
      <c r="J253" s="670"/>
      <c r="K253" s="673"/>
      <c r="L253" s="673"/>
      <c r="M253" s="676"/>
    </row>
    <row r="254" spans="1:13" s="194" customFormat="1" ht="23.25" customHeight="1">
      <c r="A254" s="687"/>
      <c r="B254" s="659"/>
      <c r="C254" s="201" t="s">
        <v>7</v>
      </c>
      <c r="D254" s="203">
        <v>0</v>
      </c>
      <c r="E254" s="204">
        <v>0</v>
      </c>
      <c r="F254" s="204">
        <v>0</v>
      </c>
      <c r="G254" s="207">
        <f t="shared" si="19"/>
        <v>0</v>
      </c>
      <c r="H254" s="665"/>
      <c r="I254" s="668"/>
      <c r="J254" s="671"/>
      <c r="K254" s="674"/>
      <c r="L254" s="674"/>
      <c r="M254" s="677"/>
    </row>
    <row r="255" spans="1:13" s="10" customFormat="1">
      <c r="A255" s="728" t="s">
        <v>100</v>
      </c>
      <c r="B255" s="877" t="s">
        <v>55</v>
      </c>
      <c r="C255" s="39" t="s">
        <v>3</v>
      </c>
      <c r="D255" s="40">
        <f>SUM(D256:D259)</f>
        <v>218560.5</v>
      </c>
      <c r="E255" s="40" t="e">
        <f>SUM(E256:E259)</f>
        <v>#REF!</v>
      </c>
      <c r="F255" s="40">
        <f>SUM(F256:F259)</f>
        <v>147486.79319</v>
      </c>
      <c r="G255" s="81">
        <f t="shared" si="16"/>
        <v>0.67480991848938854</v>
      </c>
      <c r="H255" s="734" t="s">
        <v>81</v>
      </c>
      <c r="I255" s="18" t="s">
        <v>45</v>
      </c>
      <c r="J255" s="82">
        <f>SUM(J256:J258)</f>
        <v>2</v>
      </c>
      <c r="K255" s="761" t="s">
        <v>70</v>
      </c>
      <c r="L255" s="761"/>
      <c r="M255" s="763" t="s">
        <v>35</v>
      </c>
    </row>
    <row r="256" spans="1:13" s="10" customFormat="1">
      <c r="A256" s="729"/>
      <c r="B256" s="878"/>
      <c r="C256" s="39" t="s">
        <v>4</v>
      </c>
      <c r="D256" s="56">
        <f t="shared" ref="D256:F257" si="20">SUM(D261,D266)</f>
        <v>207848.1</v>
      </c>
      <c r="E256" s="56" t="e">
        <f t="shared" si="20"/>
        <v>#REF!</v>
      </c>
      <c r="F256" s="56">
        <f t="shared" si="20"/>
        <v>109997.58305</v>
      </c>
      <c r="G256" s="81">
        <f t="shared" si="16"/>
        <v>0.52922101789720477</v>
      </c>
      <c r="H256" s="735"/>
      <c r="I256" s="18" t="s">
        <v>46</v>
      </c>
      <c r="J256" s="80">
        <f>COUNTIF($J$260:$J$269,"Да")</f>
        <v>0</v>
      </c>
      <c r="K256" s="762"/>
      <c r="L256" s="762"/>
      <c r="M256" s="764"/>
    </row>
    <row r="257" spans="1:13" s="10" customFormat="1">
      <c r="A257" s="729"/>
      <c r="B257" s="878"/>
      <c r="C257" s="39" t="s">
        <v>5</v>
      </c>
      <c r="D257" s="56">
        <f t="shared" si="20"/>
        <v>0</v>
      </c>
      <c r="E257" s="57">
        <f t="shared" si="20"/>
        <v>0</v>
      </c>
      <c r="F257" s="57">
        <f t="shared" si="20"/>
        <v>0</v>
      </c>
      <c r="G257" s="81">
        <f t="shared" si="16"/>
        <v>0</v>
      </c>
      <c r="H257" s="735"/>
      <c r="I257" s="18" t="s">
        <v>47</v>
      </c>
      <c r="J257" s="80">
        <f>COUNTIF($J$260:$J$269,"Частично")</f>
        <v>1</v>
      </c>
      <c r="K257" s="762"/>
      <c r="L257" s="762"/>
      <c r="M257" s="764"/>
    </row>
    <row r="258" spans="1:13" s="10" customFormat="1">
      <c r="A258" s="729"/>
      <c r="B258" s="878"/>
      <c r="C258" s="39" t="s">
        <v>6</v>
      </c>
      <c r="D258" s="56">
        <f>SUM(D268,D263)</f>
        <v>10712.4</v>
      </c>
      <c r="E258" s="56">
        <f>SUM(E263,E268)</f>
        <v>37489.210140000003</v>
      </c>
      <c r="F258" s="56">
        <f>SUM(F268,F263)</f>
        <v>37489.210140000003</v>
      </c>
      <c r="G258" s="81">
        <f t="shared" si="16"/>
        <v>3.4996088775624514</v>
      </c>
      <c r="H258" s="735"/>
      <c r="I258" s="18" t="s">
        <v>48</v>
      </c>
      <c r="J258" s="80">
        <f>COUNTIF($J$260:$J$269,"Нет")</f>
        <v>1</v>
      </c>
      <c r="K258" s="762"/>
      <c r="L258" s="762"/>
      <c r="M258" s="764"/>
    </row>
    <row r="259" spans="1:13" s="10" customFormat="1">
      <c r="A259" s="730"/>
      <c r="B259" s="879"/>
      <c r="C259" s="58" t="s">
        <v>7</v>
      </c>
      <c r="D259" s="56">
        <v>0</v>
      </c>
      <c r="E259" s="56">
        <f>SUM(E264,E269)</f>
        <v>0</v>
      </c>
      <c r="F259" s="56">
        <f>SUM(F264,F269)</f>
        <v>0</v>
      </c>
      <c r="G259" s="81">
        <f t="shared" si="16"/>
        <v>0</v>
      </c>
      <c r="H259" s="736"/>
      <c r="I259" s="18" t="s">
        <v>49</v>
      </c>
      <c r="J259" s="62">
        <f>(J256+0.5*J257)/J255</f>
        <v>0.25</v>
      </c>
      <c r="K259" s="762"/>
      <c r="L259" s="771"/>
      <c r="M259" s="834"/>
    </row>
    <row r="260" spans="1:13" s="194" customFormat="1" ht="15" customHeight="1">
      <c r="A260" s="710" t="s">
        <v>101</v>
      </c>
      <c r="B260" s="740" t="s">
        <v>44</v>
      </c>
      <c r="C260" s="175" t="s">
        <v>3</v>
      </c>
      <c r="D260" s="208">
        <f>SUM(D261:D264)</f>
        <v>4312.5</v>
      </c>
      <c r="E260" s="180" t="e">
        <f>SUM(E261:E264)</f>
        <v>#REF!</v>
      </c>
      <c r="F260" s="180">
        <f>SUM(F261:F264)</f>
        <v>0</v>
      </c>
      <c r="G260" s="206">
        <f t="shared" si="16"/>
        <v>0</v>
      </c>
      <c r="H260" s="816" t="s">
        <v>615</v>
      </c>
      <c r="I260" s="709" t="s">
        <v>227</v>
      </c>
      <c r="J260" s="699" t="s">
        <v>206</v>
      </c>
      <c r="K260" s="709" t="s">
        <v>65</v>
      </c>
      <c r="L260" s="701" t="s">
        <v>643</v>
      </c>
      <c r="M260" s="675">
        <v>823</v>
      </c>
    </row>
    <row r="261" spans="1:13" s="194" customFormat="1" ht="15" customHeight="1">
      <c r="A261" s="711"/>
      <c r="B261" s="741"/>
      <c r="C261" s="175" t="s">
        <v>4</v>
      </c>
      <c r="D261" s="189">
        <f>'334-ПП'!F900</f>
        <v>4312.5</v>
      </c>
      <c r="E261" s="183" t="e">
        <f>#REF!</f>
        <v>#REF!</v>
      </c>
      <c r="F261" s="183">
        <v>0</v>
      </c>
      <c r="G261" s="206">
        <f t="shared" si="16"/>
        <v>0</v>
      </c>
      <c r="H261" s="817"/>
      <c r="I261" s="673"/>
      <c r="J261" s="670"/>
      <c r="K261" s="673"/>
      <c r="L261" s="702"/>
      <c r="M261" s="676"/>
    </row>
    <row r="262" spans="1:13" s="194" customFormat="1" ht="15" customHeight="1">
      <c r="A262" s="711"/>
      <c r="B262" s="741"/>
      <c r="C262" s="175" t="s">
        <v>5</v>
      </c>
      <c r="D262" s="209">
        <v>0</v>
      </c>
      <c r="E262" s="183">
        <v>0</v>
      </c>
      <c r="F262" s="183">
        <v>0</v>
      </c>
      <c r="G262" s="206">
        <f t="shared" si="16"/>
        <v>0</v>
      </c>
      <c r="H262" s="817"/>
      <c r="I262" s="673"/>
      <c r="J262" s="670"/>
      <c r="K262" s="673"/>
      <c r="L262" s="702"/>
      <c r="M262" s="676"/>
    </row>
    <row r="263" spans="1:13" s="194" customFormat="1" ht="15" customHeight="1">
      <c r="A263" s="711"/>
      <c r="B263" s="741"/>
      <c r="C263" s="175" t="s">
        <v>6</v>
      </c>
      <c r="D263" s="189">
        <v>0</v>
      </c>
      <c r="E263" s="182">
        <v>0</v>
      </c>
      <c r="F263" s="182">
        <v>0</v>
      </c>
      <c r="G263" s="206">
        <f t="shared" si="16"/>
        <v>0</v>
      </c>
      <c r="H263" s="817"/>
      <c r="I263" s="673"/>
      <c r="J263" s="670"/>
      <c r="K263" s="673"/>
      <c r="L263" s="702"/>
      <c r="M263" s="676"/>
    </row>
    <row r="264" spans="1:13" s="194" customFormat="1" ht="15" customHeight="1">
      <c r="A264" s="712"/>
      <c r="B264" s="742"/>
      <c r="C264" s="210" t="s">
        <v>7</v>
      </c>
      <c r="D264" s="211">
        <v>0</v>
      </c>
      <c r="E264" s="182">
        <v>0</v>
      </c>
      <c r="F264" s="182">
        <v>0</v>
      </c>
      <c r="G264" s="206">
        <f t="shared" si="16"/>
        <v>0</v>
      </c>
      <c r="H264" s="876"/>
      <c r="I264" s="674"/>
      <c r="J264" s="671"/>
      <c r="K264" s="673"/>
      <c r="L264" s="703"/>
      <c r="M264" s="677"/>
    </row>
    <row r="265" spans="1:13" s="194" customFormat="1" ht="15.75" customHeight="1">
      <c r="A265" s="695" t="s">
        <v>102</v>
      </c>
      <c r="B265" s="695" t="s">
        <v>131</v>
      </c>
      <c r="C265" s="175" t="s">
        <v>3</v>
      </c>
      <c r="D265" s="212">
        <f>SUM(D266:D269)</f>
        <v>214248</v>
      </c>
      <c r="E265" s="212">
        <f>SUM(E266:E269)</f>
        <v>147486.79319</v>
      </c>
      <c r="F265" s="212">
        <f>SUM(F266:F269)</f>
        <v>147486.79319</v>
      </c>
      <c r="G265" s="206">
        <f t="shared" si="16"/>
        <v>0.68839285869646394</v>
      </c>
      <c r="H265" s="770" t="s">
        <v>130</v>
      </c>
      <c r="I265" s="906" t="s">
        <v>627</v>
      </c>
      <c r="J265" s="727" t="s">
        <v>178</v>
      </c>
      <c r="K265" s="700" t="s">
        <v>93</v>
      </c>
      <c r="L265" s="701" t="s">
        <v>632</v>
      </c>
      <c r="M265" s="675">
        <v>807</v>
      </c>
    </row>
    <row r="266" spans="1:13" s="194" customFormat="1" ht="15.75" customHeight="1">
      <c r="A266" s="683"/>
      <c r="B266" s="683"/>
      <c r="C266" s="175" t="s">
        <v>4</v>
      </c>
      <c r="D266" s="183">
        <f>'334-ПП'!F921</f>
        <v>203535.6</v>
      </c>
      <c r="E266" s="180">
        <f>109997583.05/1000</f>
        <v>109997.58305</v>
      </c>
      <c r="F266" s="180">
        <f>E266</f>
        <v>109997.58305</v>
      </c>
      <c r="G266" s="206">
        <f t="shared" si="16"/>
        <v>0.54043412086141196</v>
      </c>
      <c r="H266" s="664"/>
      <c r="I266" s="907"/>
      <c r="J266" s="667"/>
      <c r="K266" s="700"/>
      <c r="L266" s="702"/>
      <c r="M266" s="676"/>
    </row>
    <row r="267" spans="1:13" s="194" customFormat="1" ht="15.75" customHeight="1">
      <c r="A267" s="683"/>
      <c r="B267" s="683"/>
      <c r="C267" s="175" t="s">
        <v>5</v>
      </c>
      <c r="D267" s="183">
        <v>0</v>
      </c>
      <c r="E267" s="180">
        <v>0</v>
      </c>
      <c r="F267" s="180">
        <f>E267</f>
        <v>0</v>
      </c>
      <c r="G267" s="206">
        <f t="shared" si="16"/>
        <v>0</v>
      </c>
      <c r="H267" s="664"/>
      <c r="I267" s="907"/>
      <c r="J267" s="667"/>
      <c r="K267" s="700"/>
      <c r="L267" s="702"/>
      <c r="M267" s="676"/>
    </row>
    <row r="268" spans="1:13" s="194" customFormat="1" ht="15.75" customHeight="1">
      <c r="A268" s="683"/>
      <c r="B268" s="683"/>
      <c r="C268" s="175" t="s">
        <v>6</v>
      </c>
      <c r="D268" s="183">
        <f>'334-ПП'!H921</f>
        <v>10712.4</v>
      </c>
      <c r="E268" s="180">
        <f>37489210.14/1000</f>
        <v>37489.210140000003</v>
      </c>
      <c r="F268" s="180">
        <f>E268</f>
        <v>37489.210140000003</v>
      </c>
      <c r="G268" s="206">
        <f t="shared" si="16"/>
        <v>3.4996088775624514</v>
      </c>
      <c r="H268" s="664"/>
      <c r="I268" s="907"/>
      <c r="J268" s="667"/>
      <c r="K268" s="700"/>
      <c r="L268" s="702"/>
      <c r="M268" s="676"/>
    </row>
    <row r="269" spans="1:13" s="194" customFormat="1" ht="15.75" customHeight="1">
      <c r="A269" s="684"/>
      <c r="B269" s="684"/>
      <c r="C269" s="213" t="s">
        <v>7</v>
      </c>
      <c r="D269" s="180">
        <v>0</v>
      </c>
      <c r="E269" s="180">
        <v>0</v>
      </c>
      <c r="F269" s="180">
        <v>0</v>
      </c>
      <c r="G269" s="206">
        <f t="shared" si="16"/>
        <v>0</v>
      </c>
      <c r="H269" s="665"/>
      <c r="I269" s="908"/>
      <c r="J269" s="668"/>
      <c r="K269" s="700"/>
      <c r="L269" s="703"/>
      <c r="M269" s="677"/>
    </row>
    <row r="270" spans="1:13" s="10" customFormat="1">
      <c r="A270" s="889" t="s">
        <v>20</v>
      </c>
      <c r="B270" s="899" t="s">
        <v>21</v>
      </c>
      <c r="C270" s="44" t="s">
        <v>3</v>
      </c>
      <c r="D270" s="47">
        <f>SUM(D271:D274)</f>
        <v>56948.595869999997</v>
      </c>
      <c r="E270" s="43">
        <f>SUM(E271:E274)</f>
        <v>25639.46</v>
      </c>
      <c r="F270" s="43">
        <f>SUM(F271:F274)</f>
        <v>25639.5</v>
      </c>
      <c r="G270" s="48">
        <f t="shared" si="16"/>
        <v>0.45022181158827579</v>
      </c>
      <c r="H270" s="893"/>
      <c r="I270" s="33" t="s">
        <v>45</v>
      </c>
      <c r="J270" s="77">
        <f>J275</f>
        <v>1</v>
      </c>
      <c r="K270" s="902" t="s">
        <v>65</v>
      </c>
      <c r="L270" s="751"/>
      <c r="M270" s="822">
        <v>823</v>
      </c>
    </row>
    <row r="271" spans="1:13" s="10" customFormat="1">
      <c r="A271" s="890"/>
      <c r="B271" s="900"/>
      <c r="C271" s="44" t="s">
        <v>4</v>
      </c>
      <c r="D271" s="53">
        <f>D276</f>
        <v>56948.595869999997</v>
      </c>
      <c r="E271" s="54">
        <f>E276</f>
        <v>25639.46</v>
      </c>
      <c r="F271" s="54">
        <f>F276</f>
        <v>25639.5</v>
      </c>
      <c r="G271" s="48">
        <f t="shared" si="16"/>
        <v>0.45022181158827579</v>
      </c>
      <c r="H271" s="894"/>
      <c r="I271" s="33" t="s">
        <v>46</v>
      </c>
      <c r="J271" s="78">
        <f>J276</f>
        <v>0</v>
      </c>
      <c r="K271" s="903"/>
      <c r="L271" s="752"/>
      <c r="M271" s="823"/>
    </row>
    <row r="272" spans="1:13" s="10" customFormat="1">
      <c r="A272" s="890"/>
      <c r="B272" s="900"/>
      <c r="C272" s="44" t="s">
        <v>5</v>
      </c>
      <c r="D272" s="53">
        <v>0</v>
      </c>
      <c r="E272" s="53">
        <v>0</v>
      </c>
      <c r="F272" s="53">
        <v>0</v>
      </c>
      <c r="G272" s="48">
        <f t="shared" si="16"/>
        <v>0</v>
      </c>
      <c r="H272" s="894"/>
      <c r="I272" s="33" t="s">
        <v>47</v>
      </c>
      <c r="J272" s="78">
        <f t="shared" ref="J272:J273" si="21">J277</f>
        <v>1</v>
      </c>
      <c r="K272" s="903"/>
      <c r="L272" s="752"/>
      <c r="M272" s="823"/>
    </row>
    <row r="273" spans="1:13" s="10" customFormat="1">
      <c r="A273" s="890"/>
      <c r="B273" s="900"/>
      <c r="C273" s="44" t="s">
        <v>6</v>
      </c>
      <c r="D273" s="53">
        <v>0</v>
      </c>
      <c r="E273" s="53">
        <v>0</v>
      </c>
      <c r="F273" s="53">
        <v>0</v>
      </c>
      <c r="G273" s="48">
        <f t="shared" si="16"/>
        <v>0</v>
      </c>
      <c r="H273" s="894"/>
      <c r="I273" s="33" t="s">
        <v>48</v>
      </c>
      <c r="J273" s="78">
        <f t="shared" si="21"/>
        <v>0</v>
      </c>
      <c r="K273" s="903"/>
      <c r="L273" s="752"/>
      <c r="M273" s="823"/>
    </row>
    <row r="274" spans="1:13" s="10" customFormat="1">
      <c r="A274" s="891"/>
      <c r="B274" s="901"/>
      <c r="C274" s="44" t="s">
        <v>7</v>
      </c>
      <c r="D274" s="53">
        <v>0</v>
      </c>
      <c r="E274" s="53">
        <v>0</v>
      </c>
      <c r="F274" s="53">
        <v>0</v>
      </c>
      <c r="G274" s="48">
        <f t="shared" si="16"/>
        <v>0</v>
      </c>
      <c r="H274" s="895"/>
      <c r="I274" s="33" t="s">
        <v>49</v>
      </c>
      <c r="J274" s="79">
        <f>(J271+0.5*J272)/J270</f>
        <v>0.5</v>
      </c>
      <c r="K274" s="904"/>
      <c r="L274" s="905"/>
      <c r="M274" s="892"/>
    </row>
    <row r="275" spans="1:13" s="10" customFormat="1" ht="21" customHeight="1">
      <c r="A275" s="877" t="s">
        <v>22</v>
      </c>
      <c r="B275" s="731" t="s">
        <v>59</v>
      </c>
      <c r="C275" s="72" t="s">
        <v>3</v>
      </c>
      <c r="D275" s="40">
        <f>SUM(D276:D279)</f>
        <v>56948.595869999997</v>
      </c>
      <c r="E275" s="35">
        <f>SUM(E276:E279)</f>
        <v>25639.46</v>
      </c>
      <c r="F275" s="35">
        <f>SUM(F276:F279)</f>
        <v>25639.5</v>
      </c>
      <c r="G275" s="37">
        <f t="shared" si="16"/>
        <v>0.45022181158827579</v>
      </c>
      <c r="H275" s="886"/>
      <c r="I275" s="18" t="s">
        <v>45</v>
      </c>
      <c r="J275" s="61">
        <f>SUM(J276:J278)</f>
        <v>1</v>
      </c>
      <c r="K275" s="761" t="s">
        <v>65</v>
      </c>
      <c r="L275" s="761"/>
      <c r="M275" s="763">
        <v>823</v>
      </c>
    </row>
    <row r="276" spans="1:13" s="10" customFormat="1">
      <c r="A276" s="878"/>
      <c r="B276" s="732"/>
      <c r="C276" s="39" t="s">
        <v>4</v>
      </c>
      <c r="D276" s="55">
        <f>D281</f>
        <v>56948.595869999997</v>
      </c>
      <c r="E276" s="35">
        <f>E281</f>
        <v>25639.46</v>
      </c>
      <c r="F276" s="35">
        <f>F281</f>
        <v>25639.5</v>
      </c>
      <c r="G276" s="37">
        <f t="shared" si="16"/>
        <v>0.45022181158827579</v>
      </c>
      <c r="H276" s="887"/>
      <c r="I276" s="18" t="s">
        <v>46</v>
      </c>
      <c r="J276" s="80">
        <f>COUNTIF($J$280,"Да")</f>
        <v>0</v>
      </c>
      <c r="K276" s="762"/>
      <c r="L276" s="762"/>
      <c r="M276" s="764"/>
    </row>
    <row r="277" spans="1:13" s="10" customFormat="1">
      <c r="A277" s="878"/>
      <c r="B277" s="732"/>
      <c r="C277" s="39" t="s">
        <v>5</v>
      </c>
      <c r="D277" s="55">
        <v>0</v>
      </c>
      <c r="E277" s="55">
        <v>0</v>
      </c>
      <c r="F277" s="55">
        <v>0</v>
      </c>
      <c r="G277" s="37">
        <f t="shared" si="16"/>
        <v>0</v>
      </c>
      <c r="H277" s="887"/>
      <c r="I277" s="18" t="s">
        <v>47</v>
      </c>
      <c r="J277" s="80">
        <f>COUNTIF($J$280,"Частично")</f>
        <v>1</v>
      </c>
      <c r="K277" s="762"/>
      <c r="L277" s="762"/>
      <c r="M277" s="764"/>
    </row>
    <row r="278" spans="1:13" s="10" customFormat="1">
      <c r="A278" s="878"/>
      <c r="B278" s="732"/>
      <c r="C278" s="39" t="s">
        <v>6</v>
      </c>
      <c r="D278" s="55">
        <v>0</v>
      </c>
      <c r="E278" s="55">
        <v>0</v>
      </c>
      <c r="F278" s="55">
        <v>0</v>
      </c>
      <c r="G278" s="37">
        <f t="shared" si="16"/>
        <v>0</v>
      </c>
      <c r="H278" s="887"/>
      <c r="I278" s="18" t="s">
        <v>48</v>
      </c>
      <c r="J278" s="80">
        <f>COUNTIF($J$280,"Нет")</f>
        <v>0</v>
      </c>
      <c r="K278" s="762"/>
      <c r="L278" s="762"/>
      <c r="M278" s="764"/>
    </row>
    <row r="279" spans="1:13" s="10" customFormat="1">
      <c r="A279" s="879"/>
      <c r="B279" s="733"/>
      <c r="C279" s="39" t="s">
        <v>7</v>
      </c>
      <c r="D279" s="55">
        <v>0</v>
      </c>
      <c r="E279" s="55">
        <v>0</v>
      </c>
      <c r="F279" s="55">
        <v>0</v>
      </c>
      <c r="G279" s="37">
        <f t="shared" si="16"/>
        <v>0</v>
      </c>
      <c r="H279" s="888"/>
      <c r="I279" s="18" t="s">
        <v>49</v>
      </c>
      <c r="J279" s="62">
        <f>(J276+0.5*J277)/J275</f>
        <v>0.5</v>
      </c>
      <c r="K279" s="771"/>
      <c r="L279" s="771"/>
      <c r="M279" s="834"/>
    </row>
    <row r="280" spans="1:13" s="194" customFormat="1" ht="15" customHeight="1">
      <c r="A280" s="740" t="s">
        <v>23</v>
      </c>
      <c r="B280" s="840" t="s">
        <v>86</v>
      </c>
      <c r="C280" s="175" t="s">
        <v>3</v>
      </c>
      <c r="D280" s="180">
        <f>SUM(D281:D284)</f>
        <v>56948.595869999997</v>
      </c>
      <c r="E280" s="192">
        <f>SUM(E281:E284)</f>
        <v>25639.46</v>
      </c>
      <c r="F280" s="192">
        <f>SUM(F281:F284)</f>
        <v>25639.5</v>
      </c>
      <c r="G280" s="174">
        <f t="shared" si="16"/>
        <v>0.45022181158827579</v>
      </c>
      <c r="H280" s="772" t="s">
        <v>85</v>
      </c>
      <c r="I280" s="701" t="s">
        <v>224</v>
      </c>
      <c r="J280" s="727" t="s">
        <v>178</v>
      </c>
      <c r="K280" s="709" t="s">
        <v>69</v>
      </c>
      <c r="L280" s="896" t="s">
        <v>225</v>
      </c>
      <c r="M280" s="675">
        <v>823</v>
      </c>
    </row>
    <row r="281" spans="1:13" s="194" customFormat="1" ht="15" customHeight="1">
      <c r="A281" s="741"/>
      <c r="B281" s="866"/>
      <c r="C281" s="175" t="s">
        <v>4</v>
      </c>
      <c r="D281" s="183">
        <f>'334-ПП'!F942</f>
        <v>56948.595869999997</v>
      </c>
      <c r="E281" s="192">
        <v>25639.46</v>
      </c>
      <c r="F281" s="192">
        <v>25639.5</v>
      </c>
      <c r="G281" s="174">
        <f t="shared" si="16"/>
        <v>0.45022181158827579</v>
      </c>
      <c r="H281" s="773"/>
      <c r="I281" s="702"/>
      <c r="J281" s="667"/>
      <c r="K281" s="673"/>
      <c r="L281" s="897"/>
      <c r="M281" s="676"/>
    </row>
    <row r="282" spans="1:13" s="194" customFormat="1" ht="15" customHeight="1">
      <c r="A282" s="741"/>
      <c r="B282" s="866"/>
      <c r="C282" s="175" t="s">
        <v>5</v>
      </c>
      <c r="D282" s="183">
        <v>0</v>
      </c>
      <c r="E282" s="182">
        <v>0</v>
      </c>
      <c r="F282" s="182">
        <v>0</v>
      </c>
      <c r="G282" s="174">
        <f t="shared" si="16"/>
        <v>0</v>
      </c>
      <c r="H282" s="773"/>
      <c r="I282" s="702"/>
      <c r="J282" s="667"/>
      <c r="K282" s="673"/>
      <c r="L282" s="897"/>
      <c r="M282" s="676"/>
    </row>
    <row r="283" spans="1:13" s="194" customFormat="1" ht="15" customHeight="1">
      <c r="A283" s="741"/>
      <c r="B283" s="866"/>
      <c r="C283" s="175" t="s">
        <v>6</v>
      </c>
      <c r="D283" s="183">
        <v>0</v>
      </c>
      <c r="E283" s="182">
        <v>0</v>
      </c>
      <c r="F283" s="182">
        <v>0</v>
      </c>
      <c r="G283" s="174">
        <f t="shared" si="16"/>
        <v>0</v>
      </c>
      <c r="H283" s="773"/>
      <c r="I283" s="702"/>
      <c r="J283" s="667"/>
      <c r="K283" s="673"/>
      <c r="L283" s="897"/>
      <c r="M283" s="676"/>
    </row>
    <row r="284" spans="1:13" s="194" customFormat="1" ht="15" customHeight="1">
      <c r="A284" s="742"/>
      <c r="B284" s="867"/>
      <c r="C284" s="175" t="s">
        <v>7</v>
      </c>
      <c r="D284" s="183">
        <v>0</v>
      </c>
      <c r="E284" s="182">
        <v>0</v>
      </c>
      <c r="F284" s="182">
        <v>0</v>
      </c>
      <c r="G284" s="174">
        <f t="shared" si="16"/>
        <v>0</v>
      </c>
      <c r="H284" s="774"/>
      <c r="I284" s="703"/>
      <c r="J284" s="668"/>
      <c r="K284" s="674"/>
      <c r="L284" s="898"/>
      <c r="M284" s="677"/>
    </row>
    <row r="285" spans="1:13" s="3" customFormat="1">
      <c r="A285" s="1"/>
      <c r="B285" s="8"/>
      <c r="C285" s="5"/>
      <c r="D285" s="29"/>
      <c r="E285" s="9"/>
      <c r="F285" s="30"/>
      <c r="G285" s="31"/>
      <c r="H285" s="16"/>
      <c r="I285" s="69"/>
      <c r="J285" s="70"/>
      <c r="K285" s="71"/>
      <c r="L285" s="71"/>
      <c r="M285" s="5"/>
    </row>
    <row r="286" spans="1:13" s="3" customFormat="1">
      <c r="A286" s="1"/>
      <c r="B286" s="8"/>
      <c r="C286" s="5"/>
      <c r="D286" s="29"/>
      <c r="E286" s="9"/>
      <c r="F286" s="30"/>
      <c r="G286" s="31"/>
      <c r="H286" s="16"/>
      <c r="I286" s="69"/>
      <c r="J286" s="70"/>
      <c r="K286" s="71"/>
      <c r="L286" s="71"/>
      <c r="M286" s="5"/>
    </row>
    <row r="287" spans="1:13" s="3" customFormat="1">
      <c r="A287" s="1"/>
      <c r="B287" s="8"/>
      <c r="C287" s="5"/>
      <c r="D287" s="29"/>
      <c r="E287" s="9"/>
      <c r="F287" s="30"/>
      <c r="G287" s="31"/>
      <c r="H287" s="16"/>
      <c r="I287" s="69"/>
      <c r="J287" s="70"/>
      <c r="K287" s="71"/>
      <c r="L287" s="71"/>
      <c r="M287" s="5"/>
    </row>
    <row r="288" spans="1:13" s="3" customFormat="1">
      <c r="A288" s="1"/>
      <c r="B288" s="8"/>
      <c r="C288" s="5"/>
      <c r="D288" s="29"/>
      <c r="E288" s="9"/>
      <c r="F288" s="30"/>
      <c r="G288" s="31"/>
      <c r="H288" s="16"/>
      <c r="I288" s="69"/>
      <c r="J288" s="70"/>
      <c r="K288" s="71"/>
      <c r="L288" s="71"/>
      <c r="M288" s="5"/>
    </row>
    <row r="289" spans="1:13" s="3" customFormat="1">
      <c r="A289" s="1"/>
      <c r="B289" s="8"/>
      <c r="C289" s="5"/>
      <c r="D289" s="29"/>
      <c r="E289" s="9"/>
      <c r="F289" s="30"/>
      <c r="G289" s="31"/>
      <c r="H289" s="16"/>
      <c r="I289" s="69"/>
      <c r="J289" s="70"/>
      <c r="K289" s="71"/>
      <c r="L289" s="71"/>
      <c r="M289" s="5"/>
    </row>
    <row r="290" spans="1:13" s="3" customFormat="1">
      <c r="A290" s="1"/>
      <c r="B290" s="8"/>
      <c r="C290" s="5"/>
      <c r="D290" s="29"/>
      <c r="E290" s="9"/>
      <c r="F290" s="30"/>
      <c r="G290" s="31"/>
      <c r="H290" s="16"/>
      <c r="I290" s="69"/>
      <c r="J290" s="70"/>
      <c r="K290" s="71"/>
      <c r="L290" s="71"/>
      <c r="M290" s="5"/>
    </row>
    <row r="291" spans="1:13" s="3" customFormat="1">
      <c r="A291" s="1"/>
      <c r="B291" s="8"/>
      <c r="C291" s="5"/>
      <c r="D291" s="29"/>
      <c r="E291" s="9"/>
      <c r="F291" s="30"/>
      <c r="G291" s="31"/>
      <c r="H291" s="16"/>
      <c r="I291" s="69"/>
      <c r="J291" s="70"/>
      <c r="K291" s="71"/>
      <c r="L291" s="71"/>
      <c r="M291" s="5"/>
    </row>
    <row r="292" spans="1:13" s="3" customFormat="1">
      <c r="A292" s="1"/>
      <c r="B292" s="8"/>
      <c r="C292" s="5"/>
      <c r="D292" s="29"/>
      <c r="E292" s="9"/>
      <c r="F292" s="30"/>
      <c r="G292" s="31"/>
      <c r="H292" s="16"/>
      <c r="I292" s="69"/>
      <c r="J292" s="70"/>
      <c r="K292" s="71"/>
      <c r="L292" s="71"/>
      <c r="M292" s="5"/>
    </row>
    <row r="293" spans="1:13" s="3" customFormat="1">
      <c r="A293" s="1"/>
      <c r="B293" s="8"/>
      <c r="C293" s="5"/>
      <c r="D293" s="29"/>
      <c r="E293" s="9"/>
      <c r="F293" s="30"/>
      <c r="G293" s="31"/>
      <c r="H293" s="16"/>
      <c r="I293" s="69"/>
      <c r="J293" s="70"/>
      <c r="K293" s="71"/>
      <c r="L293" s="71"/>
      <c r="M293" s="5"/>
    </row>
    <row r="294" spans="1:13" s="3" customFormat="1">
      <c r="A294" s="1"/>
      <c r="B294" s="8"/>
      <c r="C294" s="5"/>
      <c r="D294" s="29"/>
      <c r="E294" s="9"/>
      <c r="F294" s="30"/>
      <c r="G294" s="31"/>
      <c r="H294" s="16"/>
      <c r="I294" s="69"/>
      <c r="J294" s="70"/>
      <c r="K294" s="71"/>
      <c r="L294" s="71"/>
      <c r="M294" s="5"/>
    </row>
    <row r="295" spans="1:13" s="3" customFormat="1">
      <c r="A295" s="1"/>
      <c r="B295" s="8"/>
      <c r="C295" s="5"/>
      <c r="D295" s="29"/>
      <c r="E295" s="9"/>
      <c r="F295" s="30"/>
      <c r="G295" s="31"/>
      <c r="H295" s="16"/>
      <c r="I295" s="69"/>
      <c r="J295" s="70"/>
      <c r="K295" s="71"/>
      <c r="L295" s="71"/>
      <c r="M295" s="5"/>
    </row>
    <row r="296" spans="1:13" s="3" customFormat="1">
      <c r="A296" s="1"/>
      <c r="B296" s="8"/>
      <c r="C296" s="5"/>
      <c r="D296" s="29"/>
      <c r="E296" s="9"/>
      <c r="F296" s="30"/>
      <c r="G296" s="31"/>
      <c r="H296" s="16"/>
      <c r="I296" s="69"/>
      <c r="J296" s="70"/>
      <c r="K296" s="71"/>
      <c r="L296" s="71"/>
      <c r="M296" s="5"/>
    </row>
    <row r="297" spans="1:13" s="3" customFormat="1">
      <c r="A297" s="1"/>
      <c r="B297" s="8"/>
      <c r="C297" s="5"/>
      <c r="D297" s="29"/>
      <c r="E297" s="9"/>
      <c r="F297" s="30"/>
      <c r="G297" s="31"/>
      <c r="H297" s="16"/>
      <c r="I297" s="69"/>
      <c r="J297" s="70"/>
      <c r="K297" s="71"/>
      <c r="L297" s="71"/>
      <c r="M297" s="5"/>
    </row>
    <row r="298" spans="1:13" s="3" customFormat="1">
      <c r="A298" s="1"/>
      <c r="B298" s="8"/>
      <c r="C298" s="5"/>
      <c r="D298" s="29"/>
      <c r="E298" s="9"/>
      <c r="F298" s="30"/>
      <c r="G298" s="31"/>
      <c r="H298" s="16"/>
      <c r="I298" s="69"/>
      <c r="J298" s="70"/>
      <c r="K298" s="71"/>
      <c r="L298" s="71"/>
      <c r="M298" s="5"/>
    </row>
    <row r="299" spans="1:13" s="3" customFormat="1">
      <c r="A299" s="1"/>
      <c r="B299" s="8"/>
      <c r="C299" s="5"/>
      <c r="D299" s="29"/>
      <c r="E299" s="9"/>
      <c r="F299" s="30"/>
      <c r="G299" s="31"/>
      <c r="H299" s="16"/>
      <c r="I299" s="69"/>
      <c r="J299" s="70"/>
      <c r="K299" s="71"/>
      <c r="L299" s="71"/>
      <c r="M299" s="5"/>
    </row>
    <row r="300" spans="1:13" s="3" customFormat="1">
      <c r="A300" s="1"/>
      <c r="B300" s="8"/>
      <c r="C300" s="5"/>
      <c r="D300" s="29"/>
      <c r="E300" s="9"/>
      <c r="F300" s="30"/>
      <c r="G300" s="31"/>
      <c r="H300" s="16"/>
      <c r="I300" s="69"/>
      <c r="J300" s="70"/>
      <c r="K300" s="71"/>
      <c r="L300" s="71"/>
      <c r="M300" s="5"/>
    </row>
    <row r="301" spans="1:13" s="3" customFormat="1">
      <c r="A301" s="1"/>
      <c r="B301" s="8"/>
      <c r="C301" s="5"/>
      <c r="D301" s="29"/>
      <c r="E301" s="9"/>
      <c r="F301" s="30"/>
      <c r="G301" s="31"/>
      <c r="H301" s="16"/>
      <c r="I301" s="69"/>
      <c r="J301" s="70"/>
      <c r="K301" s="71"/>
      <c r="L301" s="71"/>
      <c r="M301" s="5"/>
    </row>
    <row r="302" spans="1:13" s="3" customFormat="1">
      <c r="A302" s="1"/>
      <c r="B302" s="8"/>
      <c r="C302" s="5"/>
      <c r="D302" s="29"/>
      <c r="E302" s="9"/>
      <c r="F302" s="30"/>
      <c r="G302" s="31"/>
      <c r="H302" s="16"/>
      <c r="I302" s="69"/>
      <c r="J302" s="70"/>
      <c r="K302" s="71"/>
      <c r="L302" s="71"/>
      <c r="M302" s="5"/>
    </row>
    <row r="303" spans="1:13" s="3" customFormat="1">
      <c r="A303" s="1"/>
      <c r="B303" s="8"/>
      <c r="C303" s="5"/>
      <c r="D303" s="29"/>
      <c r="E303" s="9"/>
      <c r="F303" s="30"/>
      <c r="G303" s="31"/>
      <c r="H303" s="16"/>
      <c r="I303" s="69"/>
      <c r="J303" s="70"/>
      <c r="K303" s="71"/>
      <c r="L303" s="71"/>
      <c r="M303" s="5"/>
    </row>
    <row r="304" spans="1:13" s="3" customFormat="1">
      <c r="A304" s="1"/>
      <c r="B304" s="8"/>
      <c r="C304" s="5"/>
      <c r="D304" s="29"/>
      <c r="E304" s="9"/>
      <c r="F304" s="30"/>
      <c r="G304" s="31"/>
      <c r="H304" s="16"/>
      <c r="I304" s="69"/>
      <c r="J304" s="70"/>
      <c r="K304" s="71"/>
      <c r="L304" s="71"/>
      <c r="M304" s="5"/>
    </row>
    <row r="305" spans="1:13" s="3" customFormat="1">
      <c r="A305" s="1"/>
      <c r="B305" s="8"/>
      <c r="C305" s="5"/>
      <c r="D305" s="29"/>
      <c r="E305" s="9"/>
      <c r="F305" s="30"/>
      <c r="G305" s="31"/>
      <c r="H305" s="16"/>
      <c r="I305" s="69"/>
      <c r="J305" s="70"/>
      <c r="K305" s="71"/>
      <c r="L305" s="71"/>
      <c r="M305" s="5"/>
    </row>
    <row r="306" spans="1:13" s="3" customFormat="1">
      <c r="A306" s="1"/>
      <c r="B306" s="8"/>
      <c r="C306" s="5"/>
      <c r="D306" s="29"/>
      <c r="E306" s="9"/>
      <c r="F306" s="30"/>
      <c r="G306" s="31"/>
      <c r="H306" s="16"/>
      <c r="I306" s="69"/>
      <c r="J306" s="70"/>
      <c r="K306" s="71"/>
      <c r="L306" s="71"/>
      <c r="M306" s="5"/>
    </row>
    <row r="307" spans="1:13" s="3" customFormat="1">
      <c r="A307" s="1"/>
      <c r="B307" s="8"/>
      <c r="C307" s="5"/>
      <c r="D307" s="29"/>
      <c r="E307" s="9"/>
      <c r="F307" s="30"/>
      <c r="G307" s="31"/>
      <c r="H307" s="16"/>
      <c r="I307" s="69"/>
      <c r="J307" s="70"/>
      <c r="K307" s="71"/>
      <c r="L307" s="71"/>
      <c r="M307" s="5"/>
    </row>
    <row r="308" spans="1:13" s="3" customFormat="1">
      <c r="A308" s="1"/>
      <c r="B308" s="8"/>
      <c r="C308" s="5"/>
      <c r="D308" s="29"/>
      <c r="E308" s="9"/>
      <c r="F308" s="30"/>
      <c r="G308" s="31"/>
      <c r="H308" s="16"/>
      <c r="I308" s="69"/>
      <c r="J308" s="70"/>
      <c r="K308" s="71"/>
      <c r="L308" s="71"/>
      <c r="M308" s="5"/>
    </row>
    <row r="309" spans="1:13" s="3" customFormat="1">
      <c r="A309" s="1"/>
      <c r="B309" s="8"/>
      <c r="C309" s="5"/>
      <c r="D309" s="29"/>
      <c r="E309" s="9"/>
      <c r="F309" s="30"/>
      <c r="G309" s="31"/>
      <c r="H309" s="16"/>
      <c r="I309" s="69"/>
      <c r="J309" s="70"/>
      <c r="K309" s="71"/>
      <c r="L309" s="71"/>
      <c r="M309" s="5"/>
    </row>
    <row r="310" spans="1:13" s="3" customFormat="1">
      <c r="A310" s="1"/>
      <c r="B310" s="8"/>
      <c r="C310" s="5"/>
      <c r="D310" s="29"/>
      <c r="E310" s="9"/>
      <c r="F310" s="30"/>
      <c r="G310" s="31"/>
      <c r="H310" s="16"/>
      <c r="I310" s="69"/>
      <c r="J310" s="70"/>
      <c r="K310" s="71"/>
      <c r="L310" s="71"/>
      <c r="M310" s="5"/>
    </row>
    <row r="311" spans="1:13" s="3" customFormat="1">
      <c r="A311" s="1"/>
      <c r="B311" s="8"/>
      <c r="C311" s="5"/>
      <c r="D311" s="29"/>
      <c r="E311" s="9"/>
      <c r="F311" s="30"/>
      <c r="G311" s="31"/>
      <c r="H311" s="16"/>
      <c r="I311" s="69"/>
      <c r="J311" s="70"/>
      <c r="K311" s="71"/>
      <c r="L311" s="71"/>
      <c r="M311" s="5"/>
    </row>
    <row r="312" spans="1:13" s="3" customFormat="1">
      <c r="A312" s="1"/>
      <c r="B312" s="8"/>
      <c r="C312" s="5"/>
      <c r="D312" s="29"/>
      <c r="E312" s="9"/>
      <c r="F312" s="30"/>
      <c r="G312" s="31"/>
      <c r="H312" s="16"/>
      <c r="I312" s="69"/>
      <c r="J312" s="70"/>
      <c r="K312" s="71"/>
      <c r="L312" s="71"/>
      <c r="M312" s="5"/>
    </row>
    <row r="313" spans="1:13" s="3" customFormat="1">
      <c r="A313" s="1"/>
      <c r="B313" s="8"/>
      <c r="C313" s="5"/>
      <c r="D313" s="29"/>
      <c r="E313" s="9"/>
      <c r="F313" s="30"/>
      <c r="G313" s="31"/>
      <c r="H313" s="16"/>
      <c r="I313" s="69"/>
      <c r="J313" s="70"/>
      <c r="K313" s="71"/>
      <c r="L313" s="71"/>
      <c r="M313" s="5"/>
    </row>
    <row r="314" spans="1:13" s="3" customFormat="1">
      <c r="A314" s="1"/>
      <c r="B314" s="8"/>
      <c r="C314" s="5"/>
      <c r="D314" s="29"/>
      <c r="E314" s="9"/>
      <c r="F314" s="30"/>
      <c r="G314" s="31"/>
      <c r="H314" s="16"/>
      <c r="I314" s="69"/>
      <c r="J314" s="70"/>
      <c r="K314" s="71"/>
      <c r="L314" s="71"/>
      <c r="M314" s="5"/>
    </row>
    <row r="315" spans="1:13" s="3" customFormat="1">
      <c r="A315" s="1"/>
      <c r="B315" s="8"/>
      <c r="C315" s="5"/>
      <c r="D315" s="29"/>
      <c r="E315" s="9"/>
      <c r="F315" s="30"/>
      <c r="G315" s="31"/>
      <c r="H315" s="16"/>
      <c r="I315" s="69"/>
      <c r="J315" s="70"/>
      <c r="K315" s="71"/>
      <c r="L315" s="71"/>
      <c r="M315" s="5"/>
    </row>
    <row r="316" spans="1:13" s="3" customFormat="1">
      <c r="A316" s="1"/>
      <c r="B316" s="8"/>
      <c r="C316" s="5"/>
      <c r="D316" s="29"/>
      <c r="E316" s="9"/>
      <c r="F316" s="30"/>
      <c r="G316" s="31"/>
      <c r="H316" s="16"/>
      <c r="I316" s="69"/>
      <c r="J316" s="70"/>
      <c r="K316" s="71"/>
      <c r="L316" s="71"/>
      <c r="M316" s="5"/>
    </row>
    <row r="317" spans="1:13" s="3" customFormat="1">
      <c r="A317" s="1"/>
      <c r="B317" s="8"/>
      <c r="C317" s="5"/>
      <c r="D317" s="29"/>
      <c r="E317" s="9"/>
      <c r="F317" s="30"/>
      <c r="G317" s="31"/>
      <c r="H317" s="16"/>
      <c r="I317" s="69"/>
      <c r="J317" s="70"/>
      <c r="K317" s="71"/>
      <c r="L317" s="71"/>
      <c r="M317" s="5"/>
    </row>
    <row r="318" spans="1:13" s="3" customFormat="1">
      <c r="A318" s="1"/>
      <c r="B318" s="8"/>
      <c r="C318" s="5"/>
      <c r="D318" s="29"/>
      <c r="E318" s="9"/>
      <c r="F318" s="30"/>
      <c r="G318" s="31"/>
      <c r="H318" s="16"/>
      <c r="I318" s="69"/>
      <c r="J318" s="70"/>
      <c r="K318" s="71"/>
      <c r="L318" s="71"/>
      <c r="M318" s="5"/>
    </row>
    <row r="319" spans="1:13" s="3" customFormat="1">
      <c r="A319" s="1"/>
      <c r="B319" s="8"/>
      <c r="C319" s="5"/>
      <c r="D319" s="29"/>
      <c r="E319" s="9"/>
      <c r="F319" s="30"/>
      <c r="G319" s="31"/>
      <c r="H319" s="16"/>
      <c r="I319" s="69"/>
      <c r="J319" s="70"/>
      <c r="K319" s="71"/>
      <c r="L319" s="71"/>
      <c r="M319" s="5"/>
    </row>
    <row r="320" spans="1:13" s="3" customFormat="1">
      <c r="A320" s="1"/>
      <c r="B320" s="8"/>
      <c r="C320" s="5"/>
      <c r="D320" s="29"/>
      <c r="E320" s="9"/>
      <c r="F320" s="30"/>
      <c r="G320" s="31"/>
      <c r="H320" s="16"/>
      <c r="I320" s="69"/>
      <c r="J320" s="70"/>
      <c r="K320" s="71"/>
      <c r="L320" s="71"/>
      <c r="M320" s="5"/>
    </row>
    <row r="321" spans="1:13" s="3" customFormat="1">
      <c r="A321" s="1"/>
      <c r="B321" s="8"/>
      <c r="C321" s="5"/>
      <c r="D321" s="29"/>
      <c r="E321" s="9"/>
      <c r="F321" s="30"/>
      <c r="G321" s="31"/>
      <c r="H321" s="16"/>
      <c r="I321" s="69"/>
      <c r="J321" s="70"/>
      <c r="K321" s="71"/>
      <c r="L321" s="71"/>
      <c r="M321" s="5"/>
    </row>
    <row r="322" spans="1:13" s="3" customFormat="1">
      <c r="A322" s="1"/>
      <c r="B322" s="8"/>
      <c r="C322" s="5"/>
      <c r="D322" s="12"/>
      <c r="E322" s="9"/>
      <c r="F322" s="9"/>
      <c r="G322" s="5"/>
      <c r="H322" s="16"/>
      <c r="I322" s="69"/>
      <c r="J322" s="70"/>
      <c r="K322" s="71"/>
      <c r="L322" s="71"/>
      <c r="M322" s="5"/>
    </row>
    <row r="323" spans="1:13" s="3" customFormat="1">
      <c r="A323" s="1"/>
      <c r="B323" s="8"/>
      <c r="C323" s="5"/>
      <c r="D323" s="12"/>
      <c r="E323" s="9"/>
      <c r="F323" s="9"/>
      <c r="G323" s="5"/>
      <c r="H323" s="16"/>
      <c r="I323" s="69"/>
      <c r="J323" s="70"/>
      <c r="K323" s="71"/>
      <c r="L323" s="71"/>
      <c r="M323" s="5"/>
    </row>
    <row r="324" spans="1:13" s="3" customFormat="1">
      <c r="A324" s="1"/>
      <c r="B324" s="8"/>
      <c r="C324" s="5"/>
      <c r="D324" s="12"/>
      <c r="E324" s="9"/>
      <c r="F324" s="9"/>
      <c r="G324" s="5"/>
      <c r="H324" s="16"/>
      <c r="I324" s="69"/>
      <c r="J324" s="70"/>
      <c r="K324" s="71"/>
      <c r="L324" s="71"/>
      <c r="M324" s="5"/>
    </row>
    <row r="325" spans="1:13" s="3" customFormat="1">
      <c r="A325" s="1"/>
      <c r="B325" s="8"/>
      <c r="C325" s="5"/>
      <c r="D325" s="12"/>
      <c r="E325" s="9"/>
      <c r="F325" s="9"/>
      <c r="G325" s="5"/>
      <c r="H325" s="16"/>
      <c r="I325" s="69"/>
      <c r="J325" s="70"/>
      <c r="K325" s="71"/>
      <c r="L325" s="71"/>
      <c r="M325" s="5"/>
    </row>
    <row r="326" spans="1:13" s="3" customFormat="1">
      <c r="A326" s="1"/>
      <c r="B326" s="8"/>
      <c r="C326" s="5"/>
      <c r="D326" s="12"/>
      <c r="E326" s="9"/>
      <c r="F326" s="9"/>
      <c r="G326" s="5"/>
      <c r="H326" s="16"/>
      <c r="I326" s="69"/>
      <c r="J326" s="70"/>
      <c r="K326" s="71"/>
      <c r="L326" s="71"/>
      <c r="M326" s="5"/>
    </row>
    <row r="327" spans="1:13" s="3" customFormat="1">
      <c r="A327" s="1"/>
      <c r="B327" s="8"/>
      <c r="C327" s="5"/>
      <c r="D327" s="12"/>
      <c r="E327" s="9"/>
      <c r="F327" s="9"/>
      <c r="G327" s="5"/>
      <c r="H327" s="16"/>
      <c r="I327" s="69"/>
      <c r="J327" s="70"/>
      <c r="K327" s="71"/>
      <c r="L327" s="71"/>
      <c r="M327" s="5"/>
    </row>
    <row r="328" spans="1:13" s="3" customFormat="1">
      <c r="A328" s="1"/>
      <c r="B328" s="8"/>
      <c r="C328" s="5"/>
      <c r="D328" s="12"/>
      <c r="E328" s="9"/>
      <c r="F328" s="9"/>
      <c r="G328" s="5"/>
      <c r="H328" s="16"/>
      <c r="I328" s="69"/>
      <c r="J328" s="70"/>
      <c r="K328" s="71"/>
      <c r="L328" s="71"/>
      <c r="M328" s="5"/>
    </row>
    <row r="329" spans="1:13" s="3" customFormat="1">
      <c r="A329" s="1"/>
      <c r="B329" s="8"/>
      <c r="C329" s="5"/>
      <c r="D329" s="12"/>
      <c r="E329" s="9"/>
      <c r="F329" s="9"/>
      <c r="G329" s="5"/>
      <c r="H329" s="16"/>
      <c r="I329" s="69"/>
      <c r="J329" s="70"/>
      <c r="K329" s="71"/>
      <c r="L329" s="71"/>
      <c r="M329" s="5"/>
    </row>
    <row r="330" spans="1:13" s="3" customFormat="1">
      <c r="A330" s="1"/>
      <c r="B330" s="8"/>
      <c r="C330" s="5"/>
      <c r="D330" s="12"/>
      <c r="E330" s="9"/>
      <c r="F330" s="9"/>
      <c r="G330" s="5"/>
      <c r="H330" s="16"/>
      <c r="I330" s="69"/>
      <c r="J330" s="70"/>
      <c r="K330" s="71"/>
      <c r="L330" s="71"/>
      <c r="M330" s="5"/>
    </row>
    <row r="331" spans="1:13" s="3" customFormat="1">
      <c r="A331" s="1"/>
      <c r="B331" s="8"/>
      <c r="C331" s="5"/>
      <c r="D331" s="12"/>
      <c r="E331" s="9"/>
      <c r="F331" s="9"/>
      <c r="G331" s="5"/>
      <c r="H331" s="16"/>
      <c r="I331" s="69"/>
      <c r="J331" s="70"/>
      <c r="K331" s="71"/>
      <c r="L331" s="71"/>
      <c r="M331" s="5"/>
    </row>
    <row r="332" spans="1:13" s="3" customFormat="1">
      <c r="A332" s="1"/>
      <c r="B332" s="8"/>
      <c r="C332" s="5"/>
      <c r="D332" s="12"/>
      <c r="E332" s="9"/>
      <c r="F332" s="9"/>
      <c r="G332" s="5"/>
      <c r="H332" s="16"/>
      <c r="I332" s="69"/>
      <c r="J332" s="70"/>
      <c r="K332" s="71"/>
      <c r="L332" s="71"/>
      <c r="M332" s="5"/>
    </row>
    <row r="333" spans="1:13" s="3" customFormat="1">
      <c r="A333" s="1"/>
      <c r="B333" s="8"/>
      <c r="C333" s="5"/>
      <c r="D333" s="12"/>
      <c r="E333" s="9"/>
      <c r="F333" s="9"/>
      <c r="G333" s="5"/>
      <c r="H333" s="16"/>
      <c r="I333" s="69"/>
      <c r="J333" s="70"/>
      <c r="K333" s="71"/>
      <c r="L333" s="71"/>
      <c r="M333" s="5"/>
    </row>
    <row r="334" spans="1:13" s="3" customFormat="1">
      <c r="A334" s="1"/>
      <c r="B334" s="8"/>
      <c r="C334" s="5"/>
      <c r="D334" s="12"/>
      <c r="E334" s="9"/>
      <c r="F334" s="9"/>
      <c r="G334" s="5"/>
      <c r="H334" s="16"/>
      <c r="I334" s="69"/>
      <c r="J334" s="70"/>
      <c r="K334" s="71"/>
      <c r="L334" s="71"/>
      <c r="M334" s="5"/>
    </row>
    <row r="335" spans="1:13" s="3" customFormat="1">
      <c r="A335" s="1"/>
      <c r="B335" s="8"/>
      <c r="C335" s="5"/>
      <c r="D335" s="12"/>
      <c r="E335" s="9"/>
      <c r="F335" s="9"/>
      <c r="G335" s="5"/>
      <c r="H335" s="16"/>
      <c r="I335" s="69"/>
      <c r="J335" s="70"/>
      <c r="K335" s="71"/>
      <c r="L335" s="71"/>
      <c r="M335" s="5"/>
    </row>
    <row r="336" spans="1:13" s="3" customFormat="1">
      <c r="A336" s="1"/>
      <c r="B336" s="8"/>
      <c r="C336" s="5"/>
      <c r="D336" s="12"/>
      <c r="E336" s="9"/>
      <c r="F336" s="9"/>
      <c r="G336" s="5"/>
      <c r="H336" s="16"/>
      <c r="I336" s="69"/>
      <c r="J336" s="70"/>
      <c r="K336" s="71"/>
      <c r="L336" s="71"/>
      <c r="M336" s="5"/>
    </row>
    <row r="337" spans="1:13" s="3" customFormat="1">
      <c r="A337" s="1"/>
      <c r="B337" s="8"/>
      <c r="C337" s="5"/>
      <c r="D337" s="12"/>
      <c r="E337" s="9"/>
      <c r="F337" s="9"/>
      <c r="G337" s="5"/>
      <c r="H337" s="16"/>
      <c r="I337" s="69"/>
      <c r="J337" s="70"/>
      <c r="K337" s="71"/>
      <c r="L337" s="71"/>
      <c r="M337" s="5"/>
    </row>
    <row r="338" spans="1:13" s="3" customFormat="1">
      <c r="A338" s="1"/>
      <c r="B338" s="8"/>
      <c r="C338" s="5"/>
      <c r="D338" s="12"/>
      <c r="E338" s="9"/>
      <c r="F338" s="9"/>
      <c r="G338" s="5"/>
      <c r="H338" s="16"/>
      <c r="I338" s="69"/>
      <c r="J338" s="70"/>
      <c r="K338" s="71"/>
      <c r="L338" s="71"/>
      <c r="M338" s="5"/>
    </row>
    <row r="339" spans="1:13" s="3" customFormat="1">
      <c r="A339" s="1"/>
      <c r="B339" s="8"/>
      <c r="C339" s="5"/>
      <c r="D339" s="12"/>
      <c r="E339" s="9"/>
      <c r="F339" s="9"/>
      <c r="G339" s="5"/>
      <c r="H339" s="16"/>
      <c r="I339" s="69"/>
      <c r="J339" s="70"/>
      <c r="K339" s="71"/>
      <c r="L339" s="71"/>
      <c r="M339" s="5"/>
    </row>
    <row r="340" spans="1:13" s="3" customFormat="1">
      <c r="A340" s="1"/>
      <c r="B340" s="8"/>
      <c r="C340" s="5"/>
      <c r="D340" s="12"/>
      <c r="E340" s="9"/>
      <c r="F340" s="9"/>
      <c r="G340" s="5"/>
      <c r="H340" s="16"/>
      <c r="I340" s="69"/>
      <c r="J340" s="70"/>
      <c r="K340" s="71"/>
      <c r="L340" s="71"/>
      <c r="M340" s="5"/>
    </row>
    <row r="341" spans="1:13" s="3" customFormat="1">
      <c r="A341" s="1"/>
      <c r="B341" s="8"/>
      <c r="C341" s="5"/>
      <c r="D341" s="12"/>
      <c r="E341" s="9"/>
      <c r="F341" s="9"/>
      <c r="G341" s="5"/>
      <c r="H341" s="16"/>
      <c r="I341" s="69"/>
      <c r="J341" s="70"/>
      <c r="K341" s="71"/>
      <c r="L341" s="71"/>
      <c r="M341" s="5"/>
    </row>
    <row r="342" spans="1:13" s="3" customFormat="1">
      <c r="A342" s="1"/>
      <c r="B342" s="8"/>
      <c r="C342" s="5"/>
      <c r="D342" s="12"/>
      <c r="E342" s="9"/>
      <c r="F342" s="9"/>
      <c r="G342" s="5"/>
      <c r="H342" s="16"/>
      <c r="I342" s="69"/>
      <c r="J342" s="70"/>
      <c r="K342" s="71"/>
      <c r="L342" s="71"/>
      <c r="M342" s="5"/>
    </row>
    <row r="343" spans="1:13" s="3" customFormat="1">
      <c r="A343" s="1"/>
      <c r="B343" s="8"/>
      <c r="C343" s="5"/>
      <c r="D343" s="12"/>
      <c r="E343" s="9"/>
      <c r="F343" s="9"/>
      <c r="G343" s="5"/>
      <c r="H343" s="16"/>
      <c r="I343" s="69"/>
      <c r="J343" s="70"/>
      <c r="K343" s="71"/>
      <c r="L343" s="71"/>
      <c r="M343" s="5"/>
    </row>
    <row r="344" spans="1:13" s="3" customFormat="1">
      <c r="A344" s="1"/>
      <c r="B344" s="8"/>
      <c r="C344" s="5"/>
      <c r="D344" s="12"/>
      <c r="E344" s="9"/>
      <c r="F344" s="9"/>
      <c r="G344" s="5"/>
      <c r="H344" s="16"/>
      <c r="I344" s="69"/>
      <c r="J344" s="70"/>
      <c r="K344" s="71"/>
      <c r="L344" s="71"/>
      <c r="M344" s="5"/>
    </row>
    <row r="345" spans="1:13" s="3" customFormat="1">
      <c r="A345" s="1"/>
      <c r="B345" s="8"/>
      <c r="C345" s="5"/>
      <c r="D345" s="12"/>
      <c r="E345" s="9"/>
      <c r="F345" s="9"/>
      <c r="G345" s="5"/>
      <c r="H345" s="16"/>
      <c r="I345" s="69"/>
      <c r="J345" s="70"/>
      <c r="K345" s="71"/>
      <c r="L345" s="71"/>
      <c r="M345" s="5"/>
    </row>
    <row r="346" spans="1:13" s="3" customFormat="1">
      <c r="A346" s="1"/>
      <c r="B346" s="8"/>
      <c r="C346" s="5"/>
      <c r="D346" s="12"/>
      <c r="E346" s="9"/>
      <c r="F346" s="9"/>
      <c r="G346" s="5"/>
      <c r="H346" s="16"/>
      <c r="I346" s="69"/>
      <c r="J346" s="70"/>
      <c r="K346" s="71"/>
      <c r="L346" s="71"/>
      <c r="M346" s="5"/>
    </row>
    <row r="347" spans="1:13" s="3" customFormat="1">
      <c r="A347" s="1"/>
      <c r="B347" s="8"/>
      <c r="C347" s="5"/>
      <c r="D347" s="12"/>
      <c r="E347" s="9"/>
      <c r="F347" s="9"/>
      <c r="G347" s="5"/>
      <c r="H347" s="16"/>
      <c r="I347" s="69"/>
      <c r="J347" s="70"/>
      <c r="K347" s="71"/>
      <c r="L347" s="71"/>
      <c r="M347" s="5"/>
    </row>
    <row r="348" spans="1:13" s="3" customFormat="1">
      <c r="A348" s="1"/>
      <c r="B348" s="8"/>
      <c r="C348" s="5"/>
      <c r="D348" s="12"/>
      <c r="E348" s="9"/>
      <c r="F348" s="9"/>
      <c r="G348" s="5"/>
      <c r="H348" s="16"/>
      <c r="I348" s="69"/>
      <c r="J348" s="70"/>
      <c r="K348" s="71"/>
      <c r="L348" s="71"/>
      <c r="M348" s="5"/>
    </row>
    <row r="349" spans="1:13" s="3" customFormat="1">
      <c r="A349" s="1"/>
      <c r="B349" s="8"/>
      <c r="C349" s="5"/>
      <c r="D349" s="12"/>
      <c r="E349" s="9"/>
      <c r="F349" s="9"/>
      <c r="G349" s="5"/>
      <c r="H349" s="16"/>
      <c r="I349" s="69"/>
      <c r="J349" s="70"/>
      <c r="K349" s="71"/>
      <c r="L349" s="71"/>
      <c r="M349" s="5"/>
    </row>
    <row r="350" spans="1:13" s="3" customFormat="1">
      <c r="A350" s="1"/>
      <c r="B350" s="8"/>
      <c r="C350" s="5"/>
      <c r="D350" s="12"/>
      <c r="E350" s="9"/>
      <c r="F350" s="9"/>
      <c r="G350" s="5"/>
      <c r="H350" s="16"/>
      <c r="I350" s="69"/>
      <c r="J350" s="70"/>
      <c r="K350" s="71"/>
      <c r="L350" s="71"/>
      <c r="M350" s="5"/>
    </row>
    <row r="351" spans="1:13" s="3" customFormat="1">
      <c r="A351" s="1"/>
      <c r="B351" s="8"/>
      <c r="C351" s="5"/>
      <c r="D351" s="12"/>
      <c r="E351" s="9"/>
      <c r="F351" s="9"/>
      <c r="G351" s="5"/>
      <c r="H351" s="16"/>
      <c r="I351" s="69"/>
      <c r="J351" s="70"/>
      <c r="K351" s="71"/>
      <c r="L351" s="71"/>
      <c r="M351" s="5"/>
    </row>
    <row r="352" spans="1:13" s="3" customFormat="1">
      <c r="A352" s="1"/>
      <c r="B352" s="8"/>
      <c r="C352" s="5"/>
      <c r="D352" s="12"/>
      <c r="E352" s="9"/>
      <c r="F352" s="9"/>
      <c r="G352" s="5"/>
      <c r="H352" s="16"/>
      <c r="I352" s="69"/>
      <c r="J352" s="70"/>
      <c r="K352" s="71"/>
      <c r="L352" s="71"/>
      <c r="M352" s="5"/>
    </row>
    <row r="353" spans="1:13" s="3" customFormat="1">
      <c r="A353" s="1"/>
      <c r="B353" s="8"/>
      <c r="C353" s="5"/>
      <c r="D353" s="12"/>
      <c r="E353" s="9"/>
      <c r="F353" s="9"/>
      <c r="G353" s="5"/>
      <c r="H353" s="16"/>
      <c r="I353" s="69"/>
      <c r="J353" s="70"/>
      <c r="K353" s="71"/>
      <c r="L353" s="71"/>
      <c r="M353" s="5"/>
    </row>
    <row r="354" spans="1:13" s="3" customFormat="1">
      <c r="A354" s="1"/>
      <c r="B354" s="8"/>
      <c r="C354" s="5"/>
      <c r="D354" s="12"/>
      <c r="E354" s="9"/>
      <c r="F354" s="9"/>
      <c r="G354" s="5"/>
      <c r="H354" s="16"/>
      <c r="I354" s="69"/>
      <c r="J354" s="70"/>
      <c r="K354" s="71"/>
      <c r="L354" s="71"/>
      <c r="M354" s="5"/>
    </row>
    <row r="355" spans="1:13" s="3" customFormat="1">
      <c r="A355" s="1"/>
      <c r="B355" s="8"/>
      <c r="C355" s="5"/>
      <c r="D355" s="12"/>
      <c r="E355" s="9"/>
      <c r="F355" s="9"/>
      <c r="G355" s="5"/>
      <c r="H355" s="16"/>
      <c r="I355" s="69"/>
      <c r="J355" s="70"/>
      <c r="K355" s="71"/>
      <c r="L355" s="71"/>
      <c r="M355" s="5"/>
    </row>
    <row r="356" spans="1:13" s="3" customFormat="1">
      <c r="A356" s="1"/>
      <c r="B356" s="8"/>
      <c r="C356" s="5"/>
      <c r="D356" s="12"/>
      <c r="E356" s="9"/>
      <c r="F356" s="9"/>
      <c r="G356" s="5"/>
      <c r="H356" s="16"/>
      <c r="I356" s="69"/>
      <c r="J356" s="70"/>
      <c r="K356" s="71"/>
      <c r="L356" s="71"/>
      <c r="M356" s="5"/>
    </row>
    <row r="357" spans="1:13" s="3" customFormat="1">
      <c r="A357" s="1"/>
      <c r="B357" s="8"/>
      <c r="C357" s="5"/>
      <c r="D357" s="12"/>
      <c r="E357" s="9"/>
      <c r="F357" s="9"/>
      <c r="G357" s="5"/>
      <c r="H357" s="16"/>
      <c r="I357" s="69"/>
      <c r="J357" s="70"/>
      <c r="K357" s="71"/>
      <c r="L357" s="71"/>
      <c r="M357" s="5"/>
    </row>
    <row r="358" spans="1:13" s="3" customFormat="1">
      <c r="A358" s="1"/>
      <c r="B358" s="8"/>
      <c r="C358" s="5"/>
      <c r="D358" s="12"/>
      <c r="E358" s="9"/>
      <c r="F358" s="9"/>
      <c r="G358" s="5"/>
      <c r="H358" s="16"/>
      <c r="I358" s="69"/>
      <c r="J358" s="70"/>
      <c r="K358" s="71"/>
      <c r="L358" s="71"/>
      <c r="M358" s="5"/>
    </row>
    <row r="359" spans="1:13" s="3" customFormat="1">
      <c r="A359" s="1"/>
      <c r="B359" s="8"/>
      <c r="C359" s="5"/>
      <c r="D359" s="12"/>
      <c r="E359" s="9"/>
      <c r="F359" s="9"/>
      <c r="G359" s="5"/>
      <c r="H359" s="16"/>
      <c r="I359" s="69"/>
      <c r="J359" s="70"/>
      <c r="K359" s="71"/>
      <c r="L359" s="71"/>
      <c r="M359" s="5"/>
    </row>
    <row r="360" spans="1:13" s="3" customFormat="1">
      <c r="A360" s="1"/>
      <c r="B360" s="8"/>
      <c r="C360" s="5"/>
      <c r="D360" s="12"/>
      <c r="E360" s="9"/>
      <c r="F360" s="9"/>
      <c r="G360" s="5"/>
      <c r="H360" s="16"/>
      <c r="I360" s="69"/>
      <c r="J360" s="70"/>
      <c r="K360" s="71"/>
      <c r="L360" s="71"/>
      <c r="M360" s="5"/>
    </row>
    <row r="361" spans="1:13" s="3" customFormat="1">
      <c r="A361" s="1"/>
      <c r="B361" s="8"/>
      <c r="C361" s="5"/>
      <c r="D361" s="12"/>
      <c r="E361" s="9"/>
      <c r="F361" s="9"/>
      <c r="G361" s="5"/>
      <c r="H361" s="16"/>
      <c r="I361" s="69"/>
      <c r="J361" s="70"/>
      <c r="K361" s="71"/>
      <c r="L361" s="71"/>
      <c r="M361" s="5"/>
    </row>
    <row r="362" spans="1:13" s="3" customFormat="1">
      <c r="A362" s="1"/>
      <c r="B362" s="8"/>
      <c r="C362" s="5"/>
      <c r="D362" s="12"/>
      <c r="E362" s="9"/>
      <c r="F362" s="9"/>
      <c r="G362" s="5"/>
      <c r="H362" s="16"/>
      <c r="I362" s="69"/>
      <c r="J362" s="70"/>
      <c r="K362" s="71"/>
      <c r="L362" s="71"/>
      <c r="M362" s="5"/>
    </row>
    <row r="363" spans="1:13" s="3" customFormat="1">
      <c r="A363" s="1"/>
      <c r="B363" s="8"/>
      <c r="C363" s="5"/>
      <c r="D363" s="12"/>
      <c r="E363" s="9"/>
      <c r="F363" s="9"/>
      <c r="G363" s="5"/>
      <c r="H363" s="16"/>
      <c r="I363" s="69"/>
      <c r="J363" s="70"/>
      <c r="K363" s="71"/>
      <c r="L363" s="71"/>
      <c r="M363" s="5"/>
    </row>
    <row r="364" spans="1:13" s="3" customFormat="1">
      <c r="A364" s="1"/>
      <c r="B364" s="8"/>
      <c r="C364" s="5"/>
      <c r="D364" s="12"/>
      <c r="E364" s="9"/>
      <c r="F364" s="9"/>
      <c r="G364" s="5"/>
      <c r="H364" s="16"/>
      <c r="I364" s="69"/>
      <c r="J364" s="70"/>
      <c r="K364" s="71"/>
      <c r="L364" s="71"/>
      <c r="M364" s="5"/>
    </row>
    <row r="365" spans="1:13" s="3" customFormat="1">
      <c r="A365" s="1"/>
      <c r="B365" s="8"/>
      <c r="C365" s="5"/>
      <c r="D365" s="12"/>
      <c r="E365" s="9"/>
      <c r="F365" s="9"/>
      <c r="G365" s="5"/>
      <c r="H365" s="16"/>
      <c r="I365" s="69"/>
      <c r="J365" s="70"/>
      <c r="K365" s="71"/>
      <c r="L365" s="71"/>
      <c r="M365" s="5"/>
    </row>
    <row r="366" spans="1:13" s="3" customFormat="1">
      <c r="A366" s="1"/>
      <c r="B366" s="8"/>
      <c r="C366" s="5"/>
      <c r="D366" s="12"/>
      <c r="E366" s="9"/>
      <c r="F366" s="9"/>
      <c r="G366" s="5"/>
      <c r="H366" s="16"/>
      <c r="I366" s="69"/>
      <c r="J366" s="70"/>
      <c r="K366" s="71"/>
      <c r="L366" s="71"/>
      <c r="M366" s="5"/>
    </row>
    <row r="367" spans="1:13" s="3" customFormat="1">
      <c r="A367" s="1"/>
      <c r="B367" s="8"/>
      <c r="C367" s="5"/>
      <c r="D367" s="12"/>
      <c r="E367" s="9"/>
      <c r="F367" s="9"/>
      <c r="G367" s="5"/>
      <c r="H367" s="16"/>
      <c r="I367" s="69"/>
      <c r="J367" s="70"/>
      <c r="K367" s="71"/>
      <c r="L367" s="71"/>
      <c r="M367" s="5"/>
    </row>
    <row r="368" spans="1:13" s="3" customFormat="1">
      <c r="A368" s="1"/>
      <c r="B368" s="8"/>
      <c r="C368" s="5"/>
      <c r="D368" s="12"/>
      <c r="E368" s="9"/>
      <c r="F368" s="9"/>
      <c r="G368" s="5"/>
      <c r="H368" s="16"/>
      <c r="I368" s="69"/>
      <c r="J368" s="70"/>
      <c r="K368" s="71"/>
      <c r="L368" s="71"/>
      <c r="M368" s="5"/>
    </row>
    <row r="369" spans="1:13" s="3" customFormat="1">
      <c r="A369" s="1"/>
      <c r="B369" s="8"/>
      <c r="C369" s="5"/>
      <c r="D369" s="12"/>
      <c r="E369" s="9"/>
      <c r="F369" s="9"/>
      <c r="G369" s="5"/>
      <c r="H369" s="16"/>
      <c r="I369" s="69"/>
      <c r="J369" s="70"/>
      <c r="K369" s="71"/>
      <c r="L369" s="71"/>
      <c r="M369" s="5"/>
    </row>
    <row r="370" spans="1:13" s="3" customFormat="1">
      <c r="A370" s="1"/>
      <c r="B370" s="8"/>
      <c r="C370" s="5"/>
      <c r="D370" s="12"/>
      <c r="E370" s="9"/>
      <c r="F370" s="9"/>
      <c r="G370" s="5"/>
      <c r="H370" s="16"/>
      <c r="I370" s="69"/>
      <c r="J370" s="70"/>
      <c r="K370" s="71"/>
      <c r="L370" s="71"/>
      <c r="M370" s="5"/>
    </row>
    <row r="371" spans="1:13" s="3" customFormat="1">
      <c r="A371" s="1"/>
      <c r="B371" s="8"/>
      <c r="C371" s="5"/>
      <c r="D371" s="12"/>
      <c r="E371" s="9"/>
      <c r="F371" s="9"/>
      <c r="G371" s="5"/>
      <c r="H371" s="16"/>
      <c r="I371" s="69"/>
      <c r="J371" s="70"/>
      <c r="K371" s="71"/>
      <c r="L371" s="71"/>
      <c r="M371" s="5"/>
    </row>
    <row r="372" spans="1:13" s="3" customFormat="1">
      <c r="A372" s="1"/>
      <c r="B372" s="8"/>
      <c r="C372" s="5"/>
      <c r="D372" s="12"/>
      <c r="E372" s="9"/>
      <c r="F372" s="9"/>
      <c r="G372" s="5"/>
      <c r="H372" s="16"/>
      <c r="I372" s="69"/>
      <c r="J372" s="70"/>
      <c r="K372" s="71"/>
      <c r="L372" s="71"/>
      <c r="M372" s="5"/>
    </row>
    <row r="373" spans="1:13" s="3" customFormat="1">
      <c r="A373" s="1"/>
      <c r="B373" s="8"/>
      <c r="C373" s="5"/>
      <c r="D373" s="12"/>
      <c r="E373" s="9"/>
      <c r="F373" s="9"/>
      <c r="G373" s="5"/>
      <c r="H373" s="16"/>
      <c r="I373" s="69"/>
      <c r="J373" s="70"/>
      <c r="K373" s="71"/>
      <c r="L373" s="71"/>
      <c r="M373" s="5"/>
    </row>
    <row r="374" spans="1:13" s="3" customFormat="1">
      <c r="A374" s="1"/>
      <c r="B374" s="8"/>
      <c r="C374" s="5"/>
      <c r="D374" s="12"/>
      <c r="E374" s="9"/>
      <c r="F374" s="9"/>
      <c r="G374" s="5"/>
      <c r="H374" s="16"/>
      <c r="I374" s="69"/>
      <c r="J374" s="70"/>
      <c r="K374" s="71"/>
      <c r="L374" s="71"/>
      <c r="M374" s="5"/>
    </row>
    <row r="375" spans="1:13" s="3" customFormat="1">
      <c r="A375" s="1"/>
      <c r="B375" s="8"/>
      <c r="C375" s="5"/>
      <c r="D375" s="12"/>
      <c r="E375" s="9"/>
      <c r="F375" s="9"/>
      <c r="G375" s="5"/>
      <c r="H375" s="16"/>
      <c r="I375" s="69"/>
      <c r="J375" s="70"/>
      <c r="K375" s="71"/>
      <c r="L375" s="71"/>
      <c r="M375" s="5"/>
    </row>
    <row r="376" spans="1:13" s="3" customFormat="1">
      <c r="A376" s="1"/>
      <c r="B376" s="8"/>
      <c r="C376" s="5"/>
      <c r="D376" s="12"/>
      <c r="E376" s="9"/>
      <c r="F376" s="9"/>
      <c r="G376" s="5"/>
      <c r="H376" s="16"/>
      <c r="I376" s="69"/>
      <c r="J376" s="70"/>
      <c r="K376" s="71"/>
      <c r="L376" s="71"/>
      <c r="M376" s="5"/>
    </row>
    <row r="377" spans="1:13" s="3" customFormat="1">
      <c r="A377" s="1"/>
      <c r="B377" s="8"/>
      <c r="C377" s="5"/>
      <c r="D377" s="12"/>
      <c r="E377" s="9"/>
      <c r="F377" s="9"/>
      <c r="G377" s="5"/>
      <c r="H377" s="16"/>
      <c r="I377" s="69"/>
      <c r="J377" s="70"/>
      <c r="K377" s="71"/>
      <c r="L377" s="71"/>
      <c r="M377" s="5"/>
    </row>
    <row r="378" spans="1:13" s="3" customFormat="1">
      <c r="A378" s="1"/>
      <c r="B378" s="8"/>
      <c r="C378" s="5"/>
      <c r="D378" s="12"/>
      <c r="E378" s="9"/>
      <c r="F378" s="9"/>
      <c r="G378" s="5"/>
      <c r="H378" s="16"/>
      <c r="I378" s="69"/>
      <c r="J378" s="70"/>
      <c r="K378" s="71"/>
      <c r="L378" s="71"/>
      <c r="M378" s="5"/>
    </row>
    <row r="379" spans="1:13" s="3" customFormat="1">
      <c r="A379" s="1"/>
      <c r="B379" s="8"/>
      <c r="C379" s="5"/>
      <c r="D379" s="12"/>
      <c r="E379" s="9"/>
      <c r="F379" s="9"/>
      <c r="G379" s="5"/>
      <c r="H379" s="16"/>
      <c r="I379" s="69"/>
      <c r="J379" s="70"/>
      <c r="K379" s="71"/>
      <c r="L379" s="71"/>
      <c r="M379" s="5"/>
    </row>
    <row r="380" spans="1:13" s="3" customFormat="1">
      <c r="A380" s="1"/>
      <c r="B380" s="8"/>
      <c r="C380" s="5"/>
      <c r="D380" s="12"/>
      <c r="E380" s="9"/>
      <c r="F380" s="9"/>
      <c r="G380" s="5"/>
      <c r="H380" s="16"/>
      <c r="I380" s="69"/>
      <c r="J380" s="70"/>
      <c r="K380" s="71"/>
      <c r="L380" s="71"/>
      <c r="M380" s="5"/>
    </row>
    <row r="381" spans="1:13" s="3" customFormat="1">
      <c r="A381" s="1"/>
      <c r="B381" s="8"/>
      <c r="C381" s="5"/>
      <c r="D381" s="12"/>
      <c r="E381" s="9"/>
      <c r="F381" s="9"/>
      <c r="G381" s="5"/>
      <c r="H381" s="16"/>
      <c r="I381" s="69"/>
      <c r="J381" s="70"/>
      <c r="K381" s="71"/>
      <c r="L381" s="71"/>
      <c r="M381" s="5"/>
    </row>
    <row r="382" spans="1:13" s="3" customFormat="1">
      <c r="A382" s="1"/>
      <c r="B382" s="8"/>
      <c r="C382" s="5"/>
      <c r="D382" s="12"/>
      <c r="E382" s="9"/>
      <c r="F382" s="9"/>
      <c r="G382" s="5"/>
      <c r="H382" s="16"/>
      <c r="I382" s="69"/>
      <c r="J382" s="70"/>
      <c r="K382" s="71"/>
      <c r="L382" s="71"/>
      <c r="M382" s="5"/>
    </row>
    <row r="383" spans="1:13" s="3" customFormat="1">
      <c r="A383" s="1"/>
      <c r="B383" s="8"/>
      <c r="C383" s="5"/>
      <c r="D383" s="12"/>
      <c r="E383" s="9"/>
      <c r="F383" s="9"/>
      <c r="G383" s="5"/>
      <c r="H383" s="16"/>
      <c r="I383" s="69"/>
      <c r="J383" s="70"/>
      <c r="K383" s="71"/>
      <c r="L383" s="71"/>
      <c r="M383" s="5"/>
    </row>
    <row r="384" spans="1:13" s="3" customFormat="1">
      <c r="A384" s="1"/>
      <c r="B384" s="8"/>
      <c r="C384" s="5"/>
      <c r="D384" s="12"/>
      <c r="E384" s="9"/>
      <c r="F384" s="9"/>
      <c r="G384" s="5"/>
      <c r="H384" s="16"/>
      <c r="I384" s="69"/>
      <c r="J384" s="70"/>
      <c r="K384" s="71"/>
      <c r="L384" s="71"/>
      <c r="M384" s="5"/>
    </row>
    <row r="385" spans="1:13" s="3" customFormat="1">
      <c r="A385" s="1"/>
      <c r="B385" s="8"/>
      <c r="C385" s="5"/>
      <c r="D385" s="12"/>
      <c r="E385" s="9"/>
      <c r="F385" s="9"/>
      <c r="G385" s="5"/>
      <c r="H385" s="16"/>
      <c r="I385" s="69"/>
      <c r="J385" s="70"/>
      <c r="K385" s="71"/>
      <c r="L385" s="71"/>
      <c r="M385" s="5"/>
    </row>
    <row r="386" spans="1:13" s="3" customFormat="1">
      <c r="A386" s="1"/>
      <c r="B386" s="8"/>
      <c r="C386" s="5"/>
      <c r="D386" s="12"/>
      <c r="E386" s="9"/>
      <c r="F386" s="9"/>
      <c r="G386" s="5"/>
      <c r="H386" s="16"/>
      <c r="I386" s="69"/>
      <c r="J386" s="70"/>
      <c r="K386" s="71"/>
      <c r="L386" s="71"/>
      <c r="M386" s="5"/>
    </row>
    <row r="387" spans="1:13" s="3" customFormat="1">
      <c r="A387" s="1"/>
      <c r="B387" s="8"/>
      <c r="C387" s="5"/>
      <c r="D387" s="12"/>
      <c r="E387" s="9"/>
      <c r="F387" s="9"/>
      <c r="G387" s="5"/>
      <c r="H387" s="16"/>
      <c r="I387" s="69"/>
      <c r="J387" s="70"/>
      <c r="K387" s="71"/>
      <c r="L387" s="71"/>
      <c r="M387" s="5"/>
    </row>
    <row r="388" spans="1:13" s="3" customFormat="1">
      <c r="A388" s="1"/>
      <c r="B388" s="8"/>
      <c r="C388" s="5"/>
      <c r="D388" s="12"/>
      <c r="E388" s="9"/>
      <c r="F388" s="9"/>
      <c r="G388" s="5"/>
      <c r="H388" s="16"/>
      <c r="I388" s="69"/>
      <c r="J388" s="70"/>
      <c r="K388" s="71"/>
      <c r="L388" s="71"/>
      <c r="M388" s="5"/>
    </row>
    <row r="389" spans="1:13" s="3" customFormat="1">
      <c r="A389" s="1"/>
      <c r="B389" s="8"/>
      <c r="C389" s="5"/>
      <c r="D389" s="12"/>
      <c r="E389" s="9"/>
      <c r="F389" s="9"/>
      <c r="G389" s="5"/>
      <c r="H389" s="16"/>
      <c r="I389" s="69"/>
      <c r="J389" s="70"/>
      <c r="K389" s="71"/>
      <c r="L389" s="71"/>
      <c r="M389" s="5"/>
    </row>
    <row r="390" spans="1:13" s="3" customFormat="1">
      <c r="A390" s="1"/>
      <c r="B390" s="8"/>
      <c r="C390" s="5"/>
      <c r="D390" s="12"/>
      <c r="E390" s="9"/>
      <c r="F390" s="9"/>
      <c r="G390" s="5"/>
      <c r="H390" s="16"/>
      <c r="I390" s="69"/>
      <c r="J390" s="70"/>
      <c r="K390" s="71"/>
      <c r="L390" s="71"/>
      <c r="M390" s="5"/>
    </row>
    <row r="391" spans="1:13" s="3" customFormat="1">
      <c r="A391" s="1"/>
      <c r="B391" s="8"/>
      <c r="C391" s="5"/>
      <c r="D391" s="12"/>
      <c r="E391" s="9"/>
      <c r="F391" s="9"/>
      <c r="G391" s="5"/>
      <c r="H391" s="16"/>
      <c r="I391" s="69"/>
      <c r="J391" s="70"/>
      <c r="K391" s="71"/>
      <c r="L391" s="71"/>
      <c r="M391" s="5"/>
    </row>
    <row r="392" spans="1:13" s="3" customFormat="1">
      <c r="A392" s="1"/>
      <c r="B392" s="8"/>
      <c r="C392" s="5"/>
      <c r="D392" s="12"/>
      <c r="E392" s="9"/>
      <c r="F392" s="9"/>
      <c r="G392" s="5"/>
      <c r="H392" s="16"/>
      <c r="I392" s="69"/>
      <c r="J392" s="70"/>
      <c r="K392" s="71"/>
      <c r="L392" s="71"/>
      <c r="M392" s="5"/>
    </row>
    <row r="393" spans="1:13" s="3" customFormat="1">
      <c r="A393" s="1"/>
      <c r="B393" s="8"/>
      <c r="C393" s="5"/>
      <c r="D393" s="12"/>
      <c r="E393" s="9"/>
      <c r="F393" s="9"/>
      <c r="G393" s="5"/>
      <c r="H393" s="16"/>
      <c r="I393" s="69"/>
      <c r="J393" s="70"/>
      <c r="K393" s="71"/>
      <c r="L393" s="71"/>
      <c r="M393" s="5"/>
    </row>
    <row r="394" spans="1:13" s="3" customFormat="1">
      <c r="A394" s="1"/>
      <c r="B394" s="8"/>
      <c r="C394" s="5"/>
      <c r="D394" s="12"/>
      <c r="E394" s="9"/>
      <c r="F394" s="9"/>
      <c r="G394" s="5"/>
      <c r="H394" s="16"/>
      <c r="I394" s="69"/>
      <c r="J394" s="70"/>
      <c r="K394" s="71"/>
      <c r="L394" s="71"/>
      <c r="M394" s="5"/>
    </row>
    <row r="395" spans="1:13" s="3" customFormat="1">
      <c r="A395" s="1"/>
      <c r="B395" s="8"/>
      <c r="C395" s="5"/>
      <c r="D395" s="12"/>
      <c r="E395" s="9"/>
      <c r="F395" s="9"/>
      <c r="G395" s="5"/>
      <c r="H395" s="16"/>
      <c r="I395" s="69"/>
      <c r="J395" s="70"/>
      <c r="K395" s="71"/>
      <c r="L395" s="71"/>
      <c r="M395" s="5"/>
    </row>
    <row r="396" spans="1:13" s="3" customFormat="1">
      <c r="A396" s="1"/>
      <c r="B396" s="8"/>
      <c r="C396" s="5"/>
      <c r="D396" s="12"/>
      <c r="E396" s="9"/>
      <c r="F396" s="9"/>
      <c r="G396" s="5"/>
      <c r="H396" s="16"/>
      <c r="I396" s="69"/>
      <c r="J396" s="70"/>
      <c r="K396" s="71"/>
      <c r="L396" s="71"/>
      <c r="M396" s="5"/>
    </row>
    <row r="397" spans="1:13" s="3" customFormat="1">
      <c r="A397" s="1"/>
      <c r="B397" s="8"/>
      <c r="C397" s="5"/>
      <c r="D397" s="12"/>
      <c r="E397" s="9"/>
      <c r="F397" s="9"/>
      <c r="G397" s="5"/>
      <c r="H397" s="16"/>
      <c r="I397" s="69"/>
      <c r="J397" s="70"/>
      <c r="K397" s="71"/>
      <c r="L397" s="71"/>
      <c r="M397" s="5"/>
    </row>
    <row r="398" spans="1:13" s="3" customFormat="1">
      <c r="A398" s="1"/>
      <c r="B398" s="8"/>
      <c r="C398" s="5"/>
      <c r="D398" s="12"/>
      <c r="E398" s="9"/>
      <c r="F398" s="9"/>
      <c r="G398" s="5"/>
      <c r="H398" s="16"/>
      <c r="I398" s="69"/>
      <c r="J398" s="70"/>
      <c r="K398" s="71"/>
      <c r="L398" s="71"/>
      <c r="M398" s="5"/>
    </row>
    <row r="399" spans="1:13" s="3" customFormat="1">
      <c r="A399" s="1"/>
      <c r="B399" s="8"/>
      <c r="C399" s="5"/>
      <c r="D399" s="12"/>
      <c r="E399" s="9"/>
      <c r="F399" s="9"/>
      <c r="G399" s="5"/>
      <c r="H399" s="16"/>
      <c r="I399" s="69"/>
      <c r="J399" s="70"/>
      <c r="K399" s="71"/>
      <c r="L399" s="71"/>
      <c r="M399" s="5"/>
    </row>
    <row r="400" spans="1:13" s="3" customFormat="1">
      <c r="A400" s="1"/>
      <c r="B400" s="8"/>
      <c r="C400" s="5"/>
      <c r="D400" s="12"/>
      <c r="E400" s="9"/>
      <c r="F400" s="9"/>
      <c r="G400" s="5"/>
      <c r="H400" s="16"/>
      <c r="I400" s="69"/>
      <c r="J400" s="70"/>
      <c r="K400" s="71"/>
      <c r="L400" s="71"/>
      <c r="M400" s="5"/>
    </row>
    <row r="401" spans="1:13" s="3" customFormat="1">
      <c r="A401" s="1"/>
      <c r="B401" s="8"/>
      <c r="C401" s="5"/>
      <c r="D401" s="12"/>
      <c r="E401" s="9"/>
      <c r="F401" s="9"/>
      <c r="G401" s="5"/>
      <c r="H401" s="16"/>
      <c r="I401" s="69"/>
      <c r="J401" s="70"/>
      <c r="K401" s="71"/>
      <c r="L401" s="71"/>
      <c r="M401" s="5"/>
    </row>
    <row r="402" spans="1:13" s="3" customFormat="1">
      <c r="A402" s="1"/>
      <c r="B402" s="8"/>
      <c r="C402" s="5"/>
      <c r="D402" s="12"/>
      <c r="E402" s="9"/>
      <c r="F402" s="9"/>
      <c r="G402" s="5"/>
      <c r="H402" s="16"/>
      <c r="I402" s="69"/>
      <c r="J402" s="70"/>
      <c r="K402" s="71"/>
      <c r="L402" s="71"/>
      <c r="M402" s="5"/>
    </row>
    <row r="403" spans="1:13" s="3" customFormat="1">
      <c r="A403" s="1"/>
      <c r="B403" s="8"/>
      <c r="C403" s="5"/>
      <c r="D403" s="12"/>
      <c r="E403" s="9"/>
      <c r="F403" s="9"/>
      <c r="G403" s="5"/>
      <c r="H403" s="16"/>
      <c r="I403" s="69"/>
      <c r="J403" s="70"/>
      <c r="K403" s="71"/>
      <c r="L403" s="71"/>
      <c r="M403" s="5"/>
    </row>
    <row r="404" spans="1:13" s="3" customFormat="1">
      <c r="A404" s="1"/>
      <c r="B404" s="8"/>
      <c r="C404" s="5"/>
      <c r="D404" s="12"/>
      <c r="E404" s="9"/>
      <c r="F404" s="9"/>
      <c r="G404" s="5"/>
      <c r="H404" s="16"/>
      <c r="I404" s="69"/>
      <c r="J404" s="70"/>
      <c r="K404" s="71"/>
      <c r="L404" s="71"/>
      <c r="M404" s="5"/>
    </row>
    <row r="405" spans="1:13" s="3" customFormat="1">
      <c r="A405" s="1"/>
      <c r="B405" s="8"/>
      <c r="C405" s="5"/>
      <c r="D405" s="12"/>
      <c r="E405" s="9"/>
      <c r="F405" s="9"/>
      <c r="G405" s="5"/>
      <c r="H405" s="16"/>
      <c r="I405" s="69"/>
      <c r="J405" s="70"/>
      <c r="K405" s="71"/>
      <c r="L405" s="71"/>
      <c r="M405" s="5"/>
    </row>
    <row r="406" spans="1:13" s="3" customFormat="1">
      <c r="A406" s="1"/>
      <c r="B406" s="8"/>
      <c r="C406" s="5"/>
      <c r="D406" s="12"/>
      <c r="E406" s="9"/>
      <c r="F406" s="9"/>
      <c r="G406" s="5"/>
      <c r="H406" s="16"/>
      <c r="I406" s="69"/>
      <c r="J406" s="70"/>
      <c r="K406" s="71"/>
      <c r="L406" s="71"/>
      <c r="M406" s="5"/>
    </row>
    <row r="407" spans="1:13" s="3" customFormat="1">
      <c r="A407" s="1"/>
      <c r="B407" s="8"/>
      <c r="C407" s="5"/>
      <c r="D407" s="12"/>
      <c r="E407" s="9"/>
      <c r="F407" s="9"/>
      <c r="G407" s="5"/>
      <c r="H407" s="16"/>
      <c r="I407" s="69"/>
      <c r="J407" s="70"/>
      <c r="K407" s="71"/>
      <c r="L407" s="71"/>
      <c r="M407" s="5"/>
    </row>
    <row r="408" spans="1:13" s="3" customFormat="1">
      <c r="A408" s="1"/>
      <c r="B408" s="8"/>
      <c r="C408" s="5"/>
      <c r="D408" s="12"/>
      <c r="E408" s="9"/>
      <c r="F408" s="9"/>
      <c r="G408" s="5"/>
      <c r="H408" s="16"/>
      <c r="I408" s="69"/>
      <c r="J408" s="70"/>
      <c r="K408" s="71"/>
      <c r="L408" s="71"/>
      <c r="M408" s="5"/>
    </row>
    <row r="409" spans="1:13" s="3" customFormat="1">
      <c r="A409" s="1"/>
      <c r="B409" s="8"/>
      <c r="C409" s="5"/>
      <c r="D409" s="12"/>
      <c r="E409" s="9"/>
      <c r="F409" s="9"/>
      <c r="G409" s="5"/>
      <c r="H409" s="16"/>
      <c r="I409" s="69"/>
      <c r="J409" s="70"/>
      <c r="K409" s="71"/>
      <c r="L409" s="71"/>
      <c r="M409" s="5"/>
    </row>
    <row r="410" spans="1:13" s="3" customFormat="1">
      <c r="A410" s="1"/>
      <c r="B410" s="8"/>
      <c r="C410" s="5"/>
      <c r="D410" s="12"/>
      <c r="E410" s="9"/>
      <c r="F410" s="9"/>
      <c r="G410" s="5"/>
      <c r="H410" s="16"/>
      <c r="I410" s="69"/>
      <c r="J410" s="70"/>
      <c r="K410" s="71"/>
      <c r="L410" s="71"/>
      <c r="M410" s="5"/>
    </row>
    <row r="411" spans="1:13" s="3" customFormat="1">
      <c r="A411" s="1"/>
      <c r="B411" s="8"/>
      <c r="C411" s="5"/>
      <c r="D411" s="12"/>
      <c r="E411" s="9"/>
      <c r="F411" s="9"/>
      <c r="G411" s="5"/>
      <c r="H411" s="16"/>
      <c r="I411" s="69"/>
      <c r="J411" s="70"/>
      <c r="K411" s="71"/>
      <c r="L411" s="71"/>
      <c r="M411" s="5"/>
    </row>
    <row r="412" spans="1:13" s="3" customFormat="1">
      <c r="A412" s="1"/>
      <c r="B412" s="8"/>
      <c r="C412" s="5"/>
      <c r="D412" s="12"/>
      <c r="E412" s="9"/>
      <c r="F412" s="9"/>
      <c r="G412" s="5"/>
      <c r="H412" s="16"/>
      <c r="I412" s="69"/>
      <c r="J412" s="70"/>
      <c r="K412" s="71"/>
      <c r="L412" s="71"/>
      <c r="M412" s="5"/>
    </row>
    <row r="413" spans="1:13" s="3" customFormat="1">
      <c r="A413" s="1"/>
      <c r="B413" s="8"/>
      <c r="C413" s="5"/>
      <c r="D413" s="12"/>
      <c r="E413" s="9"/>
      <c r="F413" s="9"/>
      <c r="G413" s="5"/>
      <c r="H413" s="16"/>
      <c r="I413" s="69"/>
      <c r="J413" s="70"/>
      <c r="K413" s="71"/>
      <c r="L413" s="71"/>
      <c r="M413" s="5"/>
    </row>
    <row r="414" spans="1:13" s="3" customFormat="1">
      <c r="A414" s="1"/>
      <c r="B414" s="8"/>
      <c r="C414" s="5"/>
      <c r="D414" s="12"/>
      <c r="E414" s="9"/>
      <c r="F414" s="9"/>
      <c r="G414" s="5"/>
      <c r="H414" s="16"/>
      <c r="I414" s="69"/>
      <c r="J414" s="70"/>
      <c r="K414" s="71"/>
      <c r="L414" s="71"/>
      <c r="M414" s="5"/>
    </row>
    <row r="415" spans="1:13" s="3" customFormat="1">
      <c r="A415" s="1"/>
      <c r="B415" s="8"/>
      <c r="C415" s="5"/>
      <c r="D415" s="12"/>
      <c r="E415" s="9"/>
      <c r="F415" s="9"/>
      <c r="G415" s="5"/>
      <c r="H415" s="16"/>
      <c r="I415" s="69"/>
      <c r="J415" s="70"/>
      <c r="K415" s="71"/>
      <c r="L415" s="71"/>
      <c r="M415" s="5"/>
    </row>
    <row r="416" spans="1:13" s="3" customFormat="1">
      <c r="A416" s="1"/>
      <c r="B416" s="8"/>
      <c r="C416" s="5"/>
      <c r="D416" s="12"/>
      <c r="E416" s="9"/>
      <c r="F416" s="9"/>
      <c r="G416" s="5"/>
      <c r="H416" s="16"/>
      <c r="I416" s="69"/>
      <c r="J416" s="70"/>
      <c r="K416" s="71"/>
      <c r="L416" s="71"/>
      <c r="M416" s="5"/>
    </row>
    <row r="417" spans="1:13" s="3" customFormat="1">
      <c r="A417" s="1"/>
      <c r="B417" s="8"/>
      <c r="C417" s="5"/>
      <c r="D417" s="12"/>
      <c r="E417" s="9"/>
      <c r="F417" s="9"/>
      <c r="G417" s="5"/>
      <c r="H417" s="16"/>
      <c r="I417" s="69"/>
      <c r="J417" s="70"/>
      <c r="K417" s="71"/>
      <c r="L417" s="71"/>
      <c r="M417" s="5"/>
    </row>
    <row r="418" spans="1:13" s="3" customFormat="1">
      <c r="A418" s="1"/>
      <c r="B418" s="8"/>
      <c r="C418" s="5"/>
      <c r="D418" s="12"/>
      <c r="E418" s="9"/>
      <c r="F418" s="9"/>
      <c r="G418" s="5"/>
      <c r="H418" s="16"/>
      <c r="I418" s="69"/>
      <c r="J418" s="70"/>
      <c r="K418" s="71"/>
      <c r="L418" s="71"/>
      <c r="M418" s="5"/>
    </row>
    <row r="419" spans="1:13" s="3" customFormat="1">
      <c r="A419" s="1"/>
      <c r="B419" s="8"/>
      <c r="C419" s="5"/>
      <c r="D419" s="12"/>
      <c r="E419" s="9"/>
      <c r="F419" s="9"/>
      <c r="G419" s="5"/>
      <c r="H419" s="16"/>
      <c r="I419" s="69"/>
      <c r="J419" s="70"/>
      <c r="K419" s="71"/>
      <c r="L419" s="71"/>
      <c r="M419" s="5"/>
    </row>
    <row r="420" spans="1:13" s="3" customFormat="1">
      <c r="A420" s="1"/>
      <c r="B420" s="8"/>
      <c r="C420" s="5"/>
      <c r="D420" s="12"/>
      <c r="E420" s="9"/>
      <c r="F420" s="9"/>
      <c r="G420" s="5"/>
      <c r="H420" s="16"/>
      <c r="I420" s="69"/>
      <c r="J420" s="70"/>
      <c r="K420" s="71"/>
      <c r="L420" s="71"/>
      <c r="M420" s="5"/>
    </row>
    <row r="421" spans="1:13" s="3" customFormat="1">
      <c r="A421" s="1"/>
      <c r="B421" s="8"/>
      <c r="C421" s="5"/>
      <c r="D421" s="12"/>
      <c r="E421" s="9"/>
      <c r="F421" s="9"/>
      <c r="G421" s="5"/>
      <c r="H421" s="16"/>
      <c r="I421" s="69"/>
      <c r="J421" s="70"/>
      <c r="K421" s="71"/>
      <c r="L421" s="71"/>
      <c r="M421" s="5"/>
    </row>
    <row r="422" spans="1:13" s="3" customFormat="1">
      <c r="A422" s="1"/>
      <c r="B422" s="8"/>
      <c r="C422" s="5"/>
      <c r="D422" s="12"/>
      <c r="E422" s="9"/>
      <c r="F422" s="9"/>
      <c r="G422" s="5"/>
      <c r="H422" s="16"/>
      <c r="I422" s="69"/>
      <c r="J422" s="70"/>
      <c r="K422" s="71"/>
      <c r="L422" s="71"/>
      <c r="M422" s="5"/>
    </row>
    <row r="423" spans="1:13" s="3" customFormat="1">
      <c r="A423" s="1"/>
      <c r="B423" s="8"/>
      <c r="C423" s="5"/>
      <c r="D423" s="12"/>
      <c r="E423" s="9"/>
      <c r="F423" s="9"/>
      <c r="G423" s="5"/>
      <c r="H423" s="16"/>
      <c r="I423" s="69"/>
      <c r="J423" s="70"/>
      <c r="K423" s="71"/>
      <c r="L423" s="71"/>
      <c r="M423" s="5"/>
    </row>
    <row r="424" spans="1:13" s="3" customFormat="1">
      <c r="A424" s="1"/>
      <c r="B424" s="8"/>
      <c r="C424" s="5"/>
      <c r="D424" s="12"/>
      <c r="E424" s="9"/>
      <c r="F424" s="9"/>
      <c r="G424" s="5"/>
      <c r="H424" s="16"/>
      <c r="I424" s="69"/>
      <c r="J424" s="70"/>
      <c r="K424" s="71"/>
      <c r="L424" s="71"/>
      <c r="M424" s="5"/>
    </row>
    <row r="425" spans="1:13" s="3" customFormat="1">
      <c r="A425" s="1"/>
      <c r="B425" s="8"/>
      <c r="C425" s="5"/>
      <c r="D425" s="12"/>
      <c r="E425" s="9"/>
      <c r="F425" s="9"/>
      <c r="G425" s="5"/>
      <c r="H425" s="16"/>
      <c r="I425" s="69"/>
      <c r="J425" s="70"/>
      <c r="K425" s="71"/>
      <c r="L425" s="71"/>
      <c r="M425" s="5"/>
    </row>
    <row r="426" spans="1:13" s="3" customFormat="1">
      <c r="A426" s="1"/>
      <c r="B426" s="8"/>
      <c r="C426" s="5"/>
      <c r="D426" s="12"/>
      <c r="E426" s="9"/>
      <c r="F426" s="9"/>
      <c r="G426" s="5"/>
      <c r="H426" s="16"/>
      <c r="I426" s="69"/>
      <c r="J426" s="70"/>
      <c r="K426" s="71"/>
      <c r="L426" s="71"/>
      <c r="M426" s="5"/>
    </row>
    <row r="427" spans="1:13" s="3" customFormat="1">
      <c r="A427" s="1"/>
      <c r="B427" s="8"/>
      <c r="C427" s="5"/>
      <c r="D427" s="12"/>
      <c r="E427" s="9"/>
      <c r="F427" s="9"/>
      <c r="G427" s="5"/>
      <c r="H427" s="16"/>
      <c r="I427" s="69"/>
      <c r="J427" s="70"/>
      <c r="K427" s="71"/>
      <c r="L427" s="71"/>
      <c r="M427" s="5"/>
    </row>
    <row r="428" spans="1:13" s="3" customFormat="1">
      <c r="A428" s="1"/>
      <c r="B428" s="8"/>
      <c r="C428" s="5"/>
      <c r="D428" s="12"/>
      <c r="E428" s="9"/>
      <c r="F428" s="9"/>
      <c r="G428" s="5"/>
      <c r="H428" s="16"/>
      <c r="I428" s="69"/>
      <c r="J428" s="70"/>
      <c r="K428" s="71"/>
      <c r="L428" s="71"/>
      <c r="M428" s="5"/>
    </row>
    <row r="429" spans="1:13" s="3" customFormat="1">
      <c r="A429" s="1"/>
      <c r="B429" s="8"/>
      <c r="C429" s="5"/>
      <c r="D429" s="12"/>
      <c r="E429" s="9"/>
      <c r="F429" s="9"/>
      <c r="G429" s="5"/>
      <c r="H429" s="16"/>
      <c r="I429" s="69"/>
      <c r="J429" s="70"/>
      <c r="K429" s="71"/>
      <c r="L429" s="71"/>
      <c r="M429" s="5"/>
    </row>
    <row r="430" spans="1:13" s="3" customFormat="1">
      <c r="A430" s="1"/>
      <c r="B430" s="8"/>
      <c r="C430" s="5"/>
      <c r="D430" s="12"/>
      <c r="E430" s="9"/>
      <c r="F430" s="9"/>
      <c r="G430" s="5"/>
      <c r="H430" s="16"/>
      <c r="I430" s="69"/>
      <c r="J430" s="70"/>
      <c r="K430" s="71"/>
      <c r="L430" s="71"/>
      <c r="M430" s="5"/>
    </row>
    <row r="431" spans="1:13" s="3" customFormat="1">
      <c r="A431" s="1"/>
      <c r="B431" s="8"/>
      <c r="C431" s="5"/>
      <c r="D431" s="12"/>
      <c r="E431" s="9"/>
      <c r="F431" s="9"/>
      <c r="G431" s="5"/>
      <c r="H431" s="16"/>
      <c r="I431" s="69"/>
      <c r="J431" s="70"/>
      <c r="K431" s="71"/>
      <c r="L431" s="71"/>
      <c r="M431" s="5"/>
    </row>
    <row r="432" spans="1:13" s="3" customFormat="1">
      <c r="A432" s="1"/>
      <c r="B432" s="8"/>
      <c r="C432" s="5"/>
      <c r="D432" s="12"/>
      <c r="E432" s="9"/>
      <c r="F432" s="9"/>
      <c r="G432" s="5"/>
      <c r="H432" s="16"/>
      <c r="I432" s="69"/>
      <c r="J432" s="70"/>
      <c r="K432" s="71"/>
      <c r="L432" s="71"/>
      <c r="M432" s="5"/>
    </row>
    <row r="433" spans="1:13" s="3" customFormat="1">
      <c r="A433" s="1"/>
      <c r="B433" s="8"/>
      <c r="C433" s="5"/>
      <c r="D433" s="12"/>
      <c r="E433" s="9"/>
      <c r="F433" s="9"/>
      <c r="G433" s="5"/>
      <c r="H433" s="16"/>
      <c r="I433" s="69"/>
      <c r="J433" s="70"/>
      <c r="K433" s="71"/>
      <c r="L433" s="71"/>
      <c r="M433" s="5"/>
    </row>
    <row r="434" spans="1:13" s="3" customFormat="1">
      <c r="A434" s="1"/>
      <c r="B434" s="8"/>
      <c r="C434" s="5"/>
      <c r="D434" s="12"/>
      <c r="E434" s="9"/>
      <c r="F434" s="9"/>
      <c r="G434" s="5"/>
      <c r="H434" s="16"/>
      <c r="I434" s="69"/>
      <c r="J434" s="70"/>
      <c r="K434" s="71"/>
      <c r="L434" s="71"/>
      <c r="M434" s="5"/>
    </row>
    <row r="435" spans="1:13" s="3" customFormat="1">
      <c r="A435" s="1"/>
      <c r="B435" s="8"/>
      <c r="C435" s="5"/>
      <c r="D435" s="12"/>
      <c r="E435" s="9"/>
      <c r="F435" s="9"/>
      <c r="G435" s="5"/>
      <c r="H435" s="16"/>
      <c r="I435" s="69"/>
      <c r="J435" s="70"/>
      <c r="K435" s="71"/>
      <c r="L435" s="71"/>
      <c r="M435" s="5"/>
    </row>
    <row r="436" spans="1:13" s="3" customFormat="1">
      <c r="A436" s="1"/>
      <c r="B436" s="8"/>
      <c r="C436" s="5"/>
      <c r="D436" s="12"/>
      <c r="E436" s="9"/>
      <c r="F436" s="9"/>
      <c r="G436" s="5"/>
      <c r="H436" s="16"/>
      <c r="I436" s="69"/>
      <c r="J436" s="70"/>
      <c r="K436" s="71"/>
      <c r="L436" s="71"/>
      <c r="M436" s="5"/>
    </row>
    <row r="437" spans="1:13" s="3" customFormat="1">
      <c r="A437" s="1"/>
      <c r="B437" s="8"/>
      <c r="C437" s="5"/>
      <c r="D437" s="12"/>
      <c r="E437" s="9"/>
      <c r="F437" s="9"/>
      <c r="G437" s="5"/>
      <c r="H437" s="16"/>
      <c r="I437" s="69"/>
      <c r="J437" s="70"/>
      <c r="K437" s="71"/>
      <c r="L437" s="71"/>
      <c r="M437" s="5"/>
    </row>
    <row r="438" spans="1:13" s="3" customFormat="1">
      <c r="A438" s="1"/>
      <c r="B438" s="8"/>
      <c r="C438" s="5"/>
      <c r="D438" s="12"/>
      <c r="E438" s="9"/>
      <c r="F438" s="9"/>
      <c r="G438" s="5"/>
      <c r="H438" s="16"/>
      <c r="I438" s="69"/>
      <c r="J438" s="70"/>
      <c r="K438" s="71"/>
      <c r="L438" s="71"/>
      <c r="M438" s="5"/>
    </row>
    <row r="439" spans="1:13" s="3" customFormat="1">
      <c r="A439" s="1"/>
      <c r="B439" s="8"/>
      <c r="C439" s="5"/>
      <c r="D439" s="12"/>
      <c r="E439" s="9"/>
      <c r="F439" s="9"/>
      <c r="G439" s="5"/>
      <c r="H439" s="16"/>
      <c r="I439" s="69"/>
      <c r="J439" s="70"/>
      <c r="K439" s="71"/>
      <c r="L439" s="71"/>
      <c r="M439" s="5"/>
    </row>
    <row r="440" spans="1:13" s="3" customFormat="1">
      <c r="A440" s="1"/>
      <c r="B440" s="8"/>
      <c r="C440" s="5"/>
      <c r="D440" s="12"/>
      <c r="E440" s="9"/>
      <c r="F440" s="9"/>
      <c r="G440" s="5"/>
      <c r="H440" s="16"/>
      <c r="I440" s="69"/>
      <c r="J440" s="70"/>
      <c r="K440" s="71"/>
      <c r="L440" s="71"/>
      <c r="M440" s="5"/>
    </row>
    <row r="441" spans="1:13" s="3" customFormat="1">
      <c r="A441" s="1"/>
      <c r="B441" s="8"/>
      <c r="C441" s="5"/>
      <c r="D441" s="12"/>
      <c r="E441" s="9"/>
      <c r="F441" s="9"/>
      <c r="G441" s="5"/>
      <c r="H441" s="16"/>
      <c r="I441" s="69"/>
      <c r="J441" s="70"/>
      <c r="K441" s="71"/>
      <c r="L441" s="71"/>
      <c r="M441" s="5"/>
    </row>
    <row r="442" spans="1:13" s="3" customFormat="1">
      <c r="A442" s="1"/>
      <c r="B442" s="8"/>
      <c r="C442" s="5"/>
      <c r="D442" s="12"/>
      <c r="E442" s="9"/>
      <c r="F442" s="9"/>
      <c r="G442" s="5"/>
      <c r="H442" s="16"/>
      <c r="I442" s="69"/>
      <c r="J442" s="70"/>
      <c r="K442" s="71"/>
      <c r="L442" s="71"/>
      <c r="M442" s="5"/>
    </row>
    <row r="443" spans="1:13" s="3" customFormat="1">
      <c r="A443" s="1"/>
      <c r="B443" s="8"/>
      <c r="C443" s="5"/>
      <c r="D443" s="12"/>
      <c r="E443" s="9"/>
      <c r="F443" s="9"/>
      <c r="G443" s="5"/>
      <c r="H443" s="16"/>
      <c r="I443" s="69"/>
      <c r="J443" s="70"/>
      <c r="K443" s="71"/>
      <c r="L443" s="71"/>
      <c r="M443" s="5"/>
    </row>
    <row r="444" spans="1:13" s="3" customFormat="1">
      <c r="A444" s="1"/>
      <c r="B444" s="8"/>
      <c r="C444" s="5"/>
      <c r="D444" s="12"/>
      <c r="E444" s="9"/>
      <c r="F444" s="9"/>
      <c r="G444" s="5"/>
      <c r="H444" s="16"/>
      <c r="I444" s="69"/>
      <c r="J444" s="70"/>
      <c r="K444" s="71"/>
      <c r="L444" s="71"/>
      <c r="M444" s="5"/>
    </row>
    <row r="445" spans="1:13" s="3" customFormat="1">
      <c r="A445" s="1"/>
      <c r="B445" s="8"/>
      <c r="C445" s="5"/>
      <c r="D445" s="12"/>
      <c r="E445" s="9"/>
      <c r="F445" s="9"/>
      <c r="G445" s="5"/>
      <c r="H445" s="16"/>
      <c r="I445" s="69"/>
      <c r="J445" s="70"/>
      <c r="K445" s="71"/>
      <c r="L445" s="71"/>
      <c r="M445" s="5"/>
    </row>
    <row r="446" spans="1:13" s="3" customFormat="1">
      <c r="A446" s="1"/>
      <c r="B446" s="8"/>
      <c r="C446" s="5"/>
      <c r="D446" s="12"/>
      <c r="E446" s="9"/>
      <c r="F446" s="9"/>
      <c r="G446" s="5"/>
      <c r="H446" s="16"/>
      <c r="I446" s="69"/>
      <c r="J446" s="70"/>
      <c r="K446" s="71"/>
      <c r="L446" s="71"/>
      <c r="M446" s="5"/>
    </row>
    <row r="447" spans="1:13" s="3" customFormat="1">
      <c r="A447" s="1"/>
      <c r="B447" s="8"/>
      <c r="C447" s="5"/>
      <c r="D447" s="12"/>
      <c r="E447" s="9"/>
      <c r="F447" s="9"/>
      <c r="G447" s="5"/>
      <c r="H447" s="16"/>
      <c r="I447" s="69"/>
      <c r="J447" s="70"/>
      <c r="K447" s="71"/>
      <c r="L447" s="71"/>
      <c r="M447" s="5"/>
    </row>
    <row r="448" spans="1:13" s="3" customFormat="1">
      <c r="A448" s="1"/>
      <c r="B448" s="8"/>
      <c r="C448" s="5"/>
      <c r="D448" s="12"/>
      <c r="E448" s="9"/>
      <c r="F448" s="9"/>
      <c r="G448" s="5"/>
      <c r="H448" s="16"/>
      <c r="I448" s="69"/>
      <c r="J448" s="70"/>
      <c r="K448" s="71"/>
      <c r="L448" s="71"/>
      <c r="M448" s="5"/>
    </row>
    <row r="449" spans="1:13" s="3" customFormat="1">
      <c r="A449" s="1"/>
      <c r="B449" s="8"/>
      <c r="C449" s="5"/>
      <c r="D449" s="12"/>
      <c r="E449" s="9"/>
      <c r="F449" s="9"/>
      <c r="G449" s="5"/>
      <c r="H449" s="16"/>
      <c r="I449" s="69"/>
      <c r="J449" s="70"/>
      <c r="K449" s="71"/>
      <c r="L449" s="71"/>
      <c r="M449" s="5"/>
    </row>
    <row r="450" spans="1:13" s="3" customFormat="1">
      <c r="A450" s="1"/>
      <c r="B450" s="8"/>
      <c r="C450" s="5"/>
      <c r="D450" s="12"/>
      <c r="E450" s="9"/>
      <c r="F450" s="9"/>
      <c r="G450" s="5"/>
      <c r="H450" s="16"/>
      <c r="I450" s="69"/>
      <c r="J450" s="70"/>
      <c r="K450" s="71"/>
      <c r="L450" s="71"/>
      <c r="M450" s="5"/>
    </row>
    <row r="451" spans="1:13" s="3" customFormat="1">
      <c r="A451" s="1"/>
      <c r="B451" s="8"/>
      <c r="C451" s="5"/>
      <c r="D451" s="12"/>
      <c r="E451" s="9"/>
      <c r="F451" s="9"/>
      <c r="G451" s="5"/>
      <c r="H451" s="16"/>
      <c r="I451" s="69"/>
      <c r="J451" s="70"/>
      <c r="K451" s="71"/>
      <c r="L451" s="71"/>
      <c r="M451" s="5"/>
    </row>
    <row r="452" spans="1:13" s="3" customFormat="1">
      <c r="A452" s="1"/>
      <c r="B452" s="8"/>
      <c r="C452" s="5"/>
      <c r="D452" s="12"/>
      <c r="E452" s="9"/>
      <c r="F452" s="9"/>
      <c r="G452" s="5"/>
      <c r="H452" s="16"/>
      <c r="I452" s="69"/>
      <c r="J452" s="70"/>
      <c r="K452" s="71"/>
      <c r="L452" s="71"/>
      <c r="M452" s="5"/>
    </row>
    <row r="453" spans="1:13" s="3" customFormat="1">
      <c r="A453" s="1"/>
      <c r="B453" s="8"/>
      <c r="C453" s="5"/>
      <c r="D453" s="12"/>
      <c r="E453" s="9"/>
      <c r="F453" s="9"/>
      <c r="G453" s="5"/>
      <c r="H453" s="16"/>
      <c r="I453" s="69"/>
      <c r="J453" s="70"/>
      <c r="K453" s="71"/>
      <c r="L453" s="71"/>
      <c r="M453" s="5"/>
    </row>
    <row r="454" spans="1:13" s="3" customFormat="1">
      <c r="A454" s="1"/>
      <c r="B454" s="8"/>
      <c r="C454" s="5"/>
      <c r="D454" s="12"/>
      <c r="E454" s="9"/>
      <c r="F454" s="9"/>
      <c r="G454" s="5"/>
      <c r="H454" s="16"/>
      <c r="I454" s="69"/>
      <c r="J454" s="70"/>
      <c r="K454" s="71"/>
      <c r="L454" s="71"/>
      <c r="M454" s="5"/>
    </row>
    <row r="455" spans="1:13" s="3" customFormat="1">
      <c r="A455" s="1"/>
      <c r="B455" s="8"/>
      <c r="C455" s="5"/>
      <c r="D455" s="12"/>
      <c r="E455" s="9"/>
      <c r="F455" s="9"/>
      <c r="G455" s="5"/>
      <c r="H455" s="16"/>
      <c r="I455" s="69"/>
      <c r="J455" s="70"/>
      <c r="K455" s="71"/>
      <c r="L455" s="71"/>
      <c r="M455" s="5"/>
    </row>
    <row r="456" spans="1:13" s="3" customFormat="1">
      <c r="A456" s="1"/>
      <c r="B456" s="8"/>
      <c r="C456" s="5"/>
      <c r="D456" s="12"/>
      <c r="E456" s="9"/>
      <c r="F456" s="9"/>
      <c r="G456" s="5"/>
      <c r="H456" s="16"/>
      <c r="I456" s="69"/>
      <c r="J456" s="70"/>
      <c r="K456" s="71"/>
      <c r="L456" s="71"/>
      <c r="M456" s="5"/>
    </row>
    <row r="457" spans="1:13" s="3" customFormat="1">
      <c r="A457" s="1"/>
      <c r="B457" s="8"/>
      <c r="C457" s="5"/>
      <c r="D457" s="12"/>
      <c r="E457" s="9"/>
      <c r="F457" s="9"/>
      <c r="G457" s="5"/>
      <c r="H457" s="16"/>
      <c r="I457" s="69"/>
      <c r="J457" s="70"/>
      <c r="K457" s="71"/>
      <c r="L457" s="71"/>
      <c r="M457" s="5"/>
    </row>
    <row r="458" spans="1:13" s="3" customFormat="1">
      <c r="A458" s="1"/>
      <c r="B458" s="8"/>
      <c r="C458" s="5"/>
      <c r="D458" s="12"/>
      <c r="E458" s="9"/>
      <c r="F458" s="9"/>
      <c r="G458" s="5"/>
      <c r="H458" s="16"/>
      <c r="I458" s="69"/>
      <c r="J458" s="70"/>
      <c r="K458" s="71"/>
      <c r="L458" s="71"/>
      <c r="M458" s="5"/>
    </row>
    <row r="459" spans="1:13" s="3" customFormat="1">
      <c r="A459" s="1"/>
      <c r="B459" s="8"/>
      <c r="C459" s="5"/>
      <c r="D459" s="12"/>
      <c r="E459" s="9"/>
      <c r="F459" s="9"/>
      <c r="G459" s="5"/>
      <c r="H459" s="16"/>
      <c r="I459" s="69"/>
      <c r="J459" s="70"/>
      <c r="K459" s="71"/>
      <c r="L459" s="71"/>
      <c r="M459" s="5"/>
    </row>
    <row r="460" spans="1:13" s="3" customFormat="1">
      <c r="A460" s="1"/>
      <c r="B460" s="8"/>
      <c r="C460" s="5"/>
      <c r="D460" s="12"/>
      <c r="E460" s="9"/>
      <c r="F460" s="9"/>
      <c r="G460" s="5"/>
      <c r="H460" s="16"/>
      <c r="I460" s="69"/>
      <c r="J460" s="70"/>
      <c r="K460" s="71"/>
      <c r="L460" s="71"/>
      <c r="M460" s="5"/>
    </row>
    <row r="461" spans="1:13" s="3" customFormat="1">
      <c r="A461" s="1"/>
      <c r="B461" s="8"/>
      <c r="C461" s="5"/>
      <c r="D461" s="12"/>
      <c r="E461" s="9"/>
      <c r="F461" s="9"/>
      <c r="G461" s="5"/>
      <c r="H461" s="16"/>
      <c r="I461" s="69"/>
      <c r="J461" s="70"/>
      <c r="K461" s="71"/>
      <c r="L461" s="71"/>
      <c r="M461" s="5"/>
    </row>
    <row r="462" spans="1:13" s="3" customFormat="1">
      <c r="A462" s="1"/>
      <c r="B462" s="8"/>
      <c r="C462" s="5"/>
      <c r="D462" s="12"/>
      <c r="E462" s="9"/>
      <c r="F462" s="9"/>
      <c r="G462" s="5"/>
      <c r="H462" s="16"/>
      <c r="I462" s="69"/>
      <c r="J462" s="70"/>
      <c r="K462" s="71"/>
      <c r="L462" s="71"/>
      <c r="M462" s="5"/>
    </row>
    <row r="463" spans="1:13" s="3" customFormat="1">
      <c r="A463" s="1"/>
      <c r="B463" s="8"/>
      <c r="C463" s="5"/>
      <c r="D463" s="12"/>
      <c r="E463" s="9"/>
      <c r="F463" s="9"/>
      <c r="G463" s="5"/>
      <c r="H463" s="16"/>
      <c r="I463" s="69"/>
      <c r="J463" s="70"/>
      <c r="K463" s="71"/>
      <c r="L463" s="71"/>
      <c r="M463" s="5"/>
    </row>
    <row r="464" spans="1:13" s="3" customFormat="1">
      <c r="A464" s="1"/>
      <c r="B464" s="8"/>
      <c r="C464" s="5"/>
      <c r="D464" s="12"/>
      <c r="E464" s="9"/>
      <c r="F464" s="9"/>
      <c r="G464" s="5"/>
      <c r="H464" s="16"/>
      <c r="I464" s="69"/>
      <c r="J464" s="70"/>
      <c r="K464" s="71"/>
      <c r="L464" s="71"/>
      <c r="M464" s="5"/>
    </row>
    <row r="465" spans="1:13" s="3" customFormat="1">
      <c r="A465" s="1"/>
      <c r="B465" s="8"/>
      <c r="C465" s="5"/>
      <c r="D465" s="12"/>
      <c r="E465" s="9"/>
      <c r="F465" s="9"/>
      <c r="G465" s="5"/>
      <c r="H465" s="16"/>
      <c r="I465" s="69"/>
      <c r="J465" s="70"/>
      <c r="K465" s="71"/>
      <c r="L465" s="71"/>
      <c r="M465" s="5"/>
    </row>
    <row r="466" spans="1:13" s="3" customFormat="1">
      <c r="A466" s="1"/>
      <c r="B466" s="8"/>
      <c r="C466" s="5"/>
      <c r="D466" s="12"/>
      <c r="E466" s="9"/>
      <c r="F466" s="9"/>
      <c r="G466" s="5"/>
      <c r="H466" s="16"/>
      <c r="I466" s="69"/>
      <c r="J466" s="70"/>
      <c r="K466" s="71"/>
      <c r="L466" s="71"/>
      <c r="M466" s="5"/>
    </row>
    <row r="467" spans="1:13" s="3" customFormat="1">
      <c r="A467" s="1"/>
      <c r="B467" s="8"/>
      <c r="C467" s="5"/>
      <c r="D467" s="12"/>
      <c r="E467" s="9"/>
      <c r="F467" s="9"/>
      <c r="G467" s="5"/>
      <c r="H467" s="16"/>
      <c r="I467" s="69"/>
      <c r="J467" s="70"/>
      <c r="K467" s="71"/>
      <c r="L467" s="71"/>
      <c r="M467" s="5"/>
    </row>
    <row r="468" spans="1:13" s="3" customFormat="1">
      <c r="A468" s="1"/>
      <c r="B468" s="8"/>
      <c r="C468" s="5"/>
      <c r="D468" s="12"/>
      <c r="E468" s="9"/>
      <c r="F468" s="9"/>
      <c r="G468" s="5"/>
      <c r="H468" s="16"/>
      <c r="I468" s="69"/>
      <c r="J468" s="70"/>
      <c r="K468" s="71"/>
      <c r="L468" s="71"/>
      <c r="M468" s="5"/>
    </row>
    <row r="469" spans="1:13" s="3" customFormat="1">
      <c r="A469" s="1"/>
      <c r="B469" s="8"/>
      <c r="C469" s="5"/>
      <c r="D469" s="12"/>
      <c r="E469" s="9"/>
      <c r="F469" s="9"/>
      <c r="G469" s="5"/>
      <c r="H469" s="16"/>
      <c r="I469" s="69"/>
      <c r="J469" s="70"/>
      <c r="K469" s="71"/>
      <c r="L469" s="71"/>
      <c r="M469" s="5"/>
    </row>
    <row r="470" spans="1:13" s="3" customFormat="1">
      <c r="A470" s="1"/>
      <c r="B470" s="8"/>
      <c r="C470" s="5"/>
      <c r="D470" s="12"/>
      <c r="E470" s="9"/>
      <c r="F470" s="9"/>
      <c r="G470" s="5"/>
      <c r="H470" s="16"/>
      <c r="I470" s="69"/>
      <c r="J470" s="70"/>
      <c r="K470" s="71"/>
      <c r="L470" s="71"/>
      <c r="M470" s="5"/>
    </row>
    <row r="471" spans="1:13" s="3" customFormat="1">
      <c r="A471" s="1"/>
      <c r="B471" s="8"/>
      <c r="C471" s="5"/>
      <c r="D471" s="12"/>
      <c r="E471" s="9"/>
      <c r="F471" s="9"/>
      <c r="G471" s="5"/>
      <c r="H471" s="16"/>
      <c r="I471" s="69"/>
      <c r="J471" s="70"/>
      <c r="K471" s="71"/>
      <c r="L471" s="71"/>
      <c r="M471" s="5"/>
    </row>
    <row r="472" spans="1:13" s="3" customFormat="1">
      <c r="A472" s="1"/>
      <c r="B472" s="8"/>
      <c r="C472" s="5"/>
      <c r="D472" s="12"/>
      <c r="E472" s="9"/>
      <c r="F472" s="9"/>
      <c r="G472" s="5"/>
      <c r="H472" s="16"/>
      <c r="I472" s="69"/>
      <c r="J472" s="70"/>
      <c r="K472" s="71"/>
      <c r="L472" s="71"/>
      <c r="M472" s="5"/>
    </row>
    <row r="473" spans="1:13" s="3" customFormat="1">
      <c r="A473" s="1"/>
      <c r="B473" s="8"/>
      <c r="C473" s="5"/>
      <c r="D473" s="12"/>
      <c r="E473" s="9"/>
      <c r="F473" s="9"/>
      <c r="G473" s="5"/>
      <c r="H473" s="16"/>
      <c r="I473" s="69"/>
      <c r="J473" s="70"/>
      <c r="K473" s="71"/>
      <c r="L473" s="71"/>
      <c r="M473" s="5"/>
    </row>
    <row r="474" spans="1:13" s="3" customFormat="1">
      <c r="A474" s="1"/>
      <c r="B474" s="8"/>
      <c r="C474" s="5"/>
      <c r="D474" s="12"/>
      <c r="E474" s="9"/>
      <c r="F474" s="9"/>
      <c r="G474" s="5"/>
      <c r="H474" s="16"/>
      <c r="I474" s="69"/>
      <c r="J474" s="70"/>
      <c r="K474" s="71"/>
      <c r="L474" s="71"/>
      <c r="M474" s="5"/>
    </row>
    <row r="475" spans="1:13" s="3" customFormat="1">
      <c r="A475" s="1"/>
      <c r="B475" s="8"/>
      <c r="C475" s="5"/>
      <c r="D475" s="12"/>
      <c r="E475" s="9"/>
      <c r="F475" s="9"/>
      <c r="G475" s="5"/>
      <c r="H475" s="16"/>
      <c r="I475" s="69"/>
      <c r="J475" s="70"/>
      <c r="K475" s="71"/>
      <c r="L475" s="71"/>
      <c r="M475" s="5"/>
    </row>
    <row r="476" spans="1:13" s="3" customFormat="1">
      <c r="A476" s="1"/>
      <c r="B476" s="8"/>
      <c r="C476" s="5"/>
      <c r="D476" s="12"/>
      <c r="E476" s="9"/>
      <c r="F476" s="9"/>
      <c r="G476" s="5"/>
      <c r="H476" s="16"/>
      <c r="I476" s="69"/>
      <c r="J476" s="70"/>
      <c r="K476" s="71"/>
      <c r="L476" s="71"/>
      <c r="M476" s="5"/>
    </row>
    <row r="477" spans="1:13" s="3" customFormat="1">
      <c r="A477" s="1"/>
      <c r="B477" s="8"/>
      <c r="C477" s="5"/>
      <c r="D477" s="12"/>
      <c r="E477" s="9"/>
      <c r="F477" s="9"/>
      <c r="G477" s="5"/>
      <c r="H477" s="16"/>
      <c r="I477" s="69"/>
      <c r="J477" s="70"/>
      <c r="K477" s="71"/>
      <c r="L477" s="71"/>
      <c r="M477" s="5"/>
    </row>
    <row r="478" spans="1:13" s="3" customFormat="1">
      <c r="A478" s="1"/>
      <c r="B478" s="8"/>
      <c r="C478" s="5"/>
      <c r="D478" s="12"/>
      <c r="E478" s="9"/>
      <c r="F478" s="9"/>
      <c r="G478" s="5"/>
      <c r="H478" s="16"/>
      <c r="I478" s="69"/>
      <c r="J478" s="70"/>
      <c r="K478" s="71"/>
      <c r="L478" s="71"/>
      <c r="M478" s="5"/>
    </row>
    <row r="479" spans="1:13" s="3" customFormat="1">
      <c r="A479" s="1"/>
      <c r="B479" s="8"/>
      <c r="C479" s="5"/>
      <c r="D479" s="12"/>
      <c r="E479" s="9"/>
      <c r="F479" s="9"/>
      <c r="G479" s="5"/>
      <c r="H479" s="16"/>
      <c r="I479" s="69"/>
      <c r="J479" s="70"/>
      <c r="K479" s="71"/>
      <c r="L479" s="71"/>
      <c r="M479" s="5"/>
    </row>
    <row r="480" spans="1:13" s="3" customFormat="1">
      <c r="A480" s="1"/>
      <c r="B480" s="8"/>
      <c r="C480" s="5"/>
      <c r="D480" s="12"/>
      <c r="E480" s="9"/>
      <c r="F480" s="9"/>
      <c r="G480" s="5"/>
      <c r="H480" s="16"/>
      <c r="I480" s="69"/>
      <c r="J480" s="70"/>
      <c r="K480" s="71"/>
      <c r="L480" s="71"/>
      <c r="M480" s="5"/>
    </row>
    <row r="481" spans="1:13" s="3" customFormat="1">
      <c r="A481" s="1"/>
      <c r="B481" s="8"/>
      <c r="C481" s="5"/>
      <c r="D481" s="12"/>
      <c r="E481" s="9"/>
      <c r="F481" s="9"/>
      <c r="G481" s="5"/>
      <c r="H481" s="16"/>
      <c r="I481" s="69"/>
      <c r="J481" s="70"/>
      <c r="K481" s="71"/>
      <c r="L481" s="71"/>
      <c r="M481" s="5"/>
    </row>
    <row r="482" spans="1:13" s="3" customFormat="1">
      <c r="A482" s="1"/>
      <c r="B482" s="8"/>
      <c r="C482" s="5"/>
      <c r="D482" s="12"/>
      <c r="E482" s="9"/>
      <c r="F482" s="9"/>
      <c r="G482" s="5"/>
      <c r="H482" s="16"/>
      <c r="I482" s="69"/>
      <c r="J482" s="70"/>
      <c r="K482" s="71"/>
      <c r="L482" s="71"/>
      <c r="M482" s="5"/>
    </row>
    <row r="483" spans="1:13" s="3" customFormat="1">
      <c r="A483" s="1"/>
      <c r="B483" s="8"/>
      <c r="C483" s="5"/>
      <c r="D483" s="12"/>
      <c r="E483" s="9"/>
      <c r="F483" s="9"/>
      <c r="G483" s="5"/>
      <c r="H483" s="16"/>
      <c r="I483" s="69"/>
      <c r="J483" s="70"/>
      <c r="K483" s="71"/>
      <c r="L483" s="71"/>
      <c r="M483" s="5"/>
    </row>
    <row r="484" spans="1:13" s="3" customFormat="1">
      <c r="A484" s="1"/>
      <c r="B484" s="8"/>
      <c r="C484" s="5"/>
      <c r="D484" s="12"/>
      <c r="E484" s="9"/>
      <c r="F484" s="9"/>
      <c r="G484" s="5"/>
      <c r="H484" s="16"/>
      <c r="I484" s="69"/>
      <c r="J484" s="70"/>
      <c r="K484" s="71"/>
      <c r="L484" s="71"/>
      <c r="M484" s="5"/>
    </row>
    <row r="485" spans="1:13" s="3" customFormat="1">
      <c r="A485" s="1"/>
      <c r="B485" s="8"/>
      <c r="C485" s="5"/>
      <c r="D485" s="12"/>
      <c r="E485" s="9"/>
      <c r="F485" s="9"/>
      <c r="G485" s="5"/>
      <c r="H485" s="16"/>
      <c r="I485" s="69"/>
      <c r="J485" s="70"/>
      <c r="K485" s="71"/>
      <c r="L485" s="71"/>
      <c r="M485" s="5"/>
    </row>
    <row r="486" spans="1:13" s="3" customFormat="1">
      <c r="A486" s="1"/>
      <c r="B486" s="8"/>
      <c r="C486" s="5"/>
      <c r="D486" s="12"/>
      <c r="E486" s="9"/>
      <c r="F486" s="9"/>
      <c r="G486" s="5"/>
      <c r="H486" s="16"/>
      <c r="I486" s="69"/>
      <c r="J486" s="70"/>
      <c r="K486" s="71"/>
      <c r="L486" s="71"/>
      <c r="M486" s="5"/>
    </row>
    <row r="487" spans="1:13" s="3" customFormat="1">
      <c r="A487" s="1"/>
      <c r="B487" s="8"/>
      <c r="C487" s="5"/>
      <c r="D487" s="12"/>
      <c r="E487" s="9"/>
      <c r="F487" s="9"/>
      <c r="G487" s="5"/>
      <c r="H487" s="16"/>
      <c r="I487" s="69"/>
      <c r="J487" s="70"/>
      <c r="K487" s="71"/>
      <c r="L487" s="71"/>
      <c r="M487" s="5"/>
    </row>
    <row r="488" spans="1:13" s="3" customFormat="1">
      <c r="A488" s="1"/>
      <c r="B488" s="8"/>
      <c r="C488" s="5"/>
      <c r="D488" s="12"/>
      <c r="E488" s="9"/>
      <c r="F488" s="9"/>
      <c r="G488" s="5"/>
      <c r="H488" s="16"/>
      <c r="I488" s="69"/>
      <c r="J488" s="70"/>
      <c r="K488" s="71"/>
      <c r="L488" s="71"/>
      <c r="M488" s="5"/>
    </row>
    <row r="489" spans="1:13" s="3" customFormat="1">
      <c r="A489" s="1"/>
      <c r="B489" s="8"/>
      <c r="C489" s="5"/>
      <c r="D489" s="12"/>
      <c r="E489" s="9"/>
      <c r="F489" s="9"/>
      <c r="G489" s="5"/>
      <c r="H489" s="16"/>
      <c r="I489" s="69"/>
      <c r="J489" s="70"/>
      <c r="K489" s="71"/>
      <c r="L489" s="71"/>
      <c r="M489" s="5"/>
    </row>
    <row r="490" spans="1:13" s="3" customFormat="1">
      <c r="A490" s="1"/>
      <c r="B490" s="8"/>
      <c r="C490" s="5"/>
      <c r="D490" s="12"/>
      <c r="E490" s="9"/>
      <c r="F490" s="9"/>
      <c r="G490" s="5"/>
      <c r="H490" s="16"/>
      <c r="I490" s="69"/>
      <c r="J490" s="70"/>
      <c r="K490" s="71"/>
      <c r="L490" s="71"/>
      <c r="M490" s="5"/>
    </row>
    <row r="491" spans="1:13" s="3" customFormat="1">
      <c r="A491" s="1"/>
      <c r="B491" s="8"/>
      <c r="C491" s="5"/>
      <c r="D491" s="12"/>
      <c r="E491" s="9"/>
      <c r="F491" s="9"/>
      <c r="G491" s="5"/>
      <c r="H491" s="16"/>
      <c r="I491" s="69"/>
      <c r="J491" s="70"/>
      <c r="K491" s="71"/>
      <c r="L491" s="71"/>
      <c r="M491" s="5"/>
    </row>
    <row r="492" spans="1:13" s="3" customFormat="1">
      <c r="A492" s="1"/>
      <c r="B492" s="8"/>
      <c r="C492" s="5"/>
      <c r="D492" s="12"/>
      <c r="E492" s="9"/>
      <c r="F492" s="9"/>
      <c r="G492" s="5"/>
      <c r="H492" s="16"/>
      <c r="I492" s="69"/>
      <c r="J492" s="70"/>
      <c r="K492" s="71"/>
      <c r="L492" s="71"/>
      <c r="M492" s="5"/>
    </row>
    <row r="493" spans="1:13" s="3" customFormat="1">
      <c r="A493" s="1"/>
      <c r="B493" s="8"/>
      <c r="C493" s="5"/>
      <c r="D493" s="12"/>
      <c r="E493" s="9"/>
      <c r="F493" s="9"/>
      <c r="G493" s="5"/>
      <c r="H493" s="16"/>
      <c r="I493" s="69"/>
      <c r="J493" s="70"/>
      <c r="K493" s="71"/>
      <c r="L493" s="71"/>
      <c r="M493" s="5"/>
    </row>
    <row r="494" spans="1:13" s="3" customFormat="1">
      <c r="A494" s="1"/>
      <c r="B494" s="8"/>
      <c r="C494" s="5"/>
      <c r="D494" s="12"/>
      <c r="E494" s="9"/>
      <c r="F494" s="9"/>
      <c r="G494" s="5"/>
      <c r="H494" s="16"/>
      <c r="I494" s="69"/>
      <c r="J494" s="70"/>
      <c r="K494" s="71"/>
      <c r="L494" s="71"/>
      <c r="M494" s="5"/>
    </row>
    <row r="495" spans="1:13" s="3" customFormat="1">
      <c r="A495" s="1"/>
      <c r="B495" s="8"/>
      <c r="C495" s="5"/>
      <c r="D495" s="12"/>
      <c r="E495" s="9"/>
      <c r="F495" s="9"/>
      <c r="G495" s="5"/>
      <c r="H495" s="16"/>
      <c r="I495" s="69"/>
      <c r="J495" s="70"/>
      <c r="K495" s="71"/>
      <c r="L495" s="71"/>
      <c r="M495" s="5"/>
    </row>
    <row r="496" spans="1:13" s="3" customFormat="1">
      <c r="A496" s="1"/>
      <c r="B496" s="8"/>
      <c r="C496" s="5"/>
      <c r="D496" s="12"/>
      <c r="E496" s="9"/>
      <c r="F496" s="9"/>
      <c r="G496" s="5"/>
      <c r="H496" s="16"/>
      <c r="I496" s="69"/>
      <c r="J496" s="70"/>
      <c r="K496" s="71"/>
      <c r="L496" s="71"/>
      <c r="M496" s="5"/>
    </row>
    <row r="497" spans="1:13" s="3" customFormat="1">
      <c r="A497" s="1"/>
      <c r="B497" s="8"/>
      <c r="C497" s="5"/>
      <c r="D497" s="12"/>
      <c r="E497" s="9"/>
      <c r="F497" s="9"/>
      <c r="G497" s="5"/>
      <c r="H497" s="16"/>
      <c r="I497" s="69"/>
      <c r="J497" s="70"/>
      <c r="K497" s="71"/>
      <c r="L497" s="71"/>
      <c r="M497" s="5"/>
    </row>
    <row r="498" spans="1:13" s="3" customFormat="1">
      <c r="A498" s="1"/>
      <c r="B498" s="8"/>
      <c r="C498" s="5"/>
      <c r="D498" s="12"/>
      <c r="E498" s="9"/>
      <c r="F498" s="9"/>
      <c r="G498" s="5"/>
      <c r="H498" s="16"/>
      <c r="I498" s="69"/>
      <c r="J498" s="70"/>
      <c r="K498" s="71"/>
      <c r="L498" s="71"/>
      <c r="M498" s="5"/>
    </row>
    <row r="499" spans="1:13" s="3" customFormat="1">
      <c r="A499" s="1"/>
      <c r="B499" s="8"/>
      <c r="C499" s="5"/>
      <c r="D499" s="12"/>
      <c r="E499" s="9"/>
      <c r="F499" s="9"/>
      <c r="G499" s="5"/>
      <c r="H499" s="16"/>
      <c r="I499" s="69"/>
      <c r="J499" s="70"/>
      <c r="K499" s="71"/>
      <c r="L499" s="71"/>
      <c r="M499" s="5"/>
    </row>
    <row r="500" spans="1:13" s="3" customFormat="1">
      <c r="A500" s="1"/>
      <c r="B500" s="8"/>
      <c r="C500" s="5"/>
      <c r="D500" s="12"/>
      <c r="E500" s="9"/>
      <c r="F500" s="9"/>
      <c r="G500" s="5"/>
      <c r="H500" s="16"/>
      <c r="I500" s="69"/>
      <c r="J500" s="70"/>
      <c r="K500" s="71"/>
      <c r="L500" s="71"/>
      <c r="M500" s="5"/>
    </row>
    <row r="501" spans="1:13" s="3" customFormat="1">
      <c r="A501" s="1"/>
      <c r="B501" s="8"/>
      <c r="C501" s="5"/>
      <c r="D501" s="12"/>
      <c r="E501" s="9"/>
      <c r="F501" s="9"/>
      <c r="G501" s="5"/>
      <c r="H501" s="16"/>
      <c r="I501" s="69"/>
      <c r="J501" s="70"/>
      <c r="K501" s="71"/>
      <c r="L501" s="71"/>
      <c r="M501" s="5"/>
    </row>
    <row r="502" spans="1:13" s="3" customFormat="1">
      <c r="A502" s="1"/>
      <c r="B502" s="8"/>
      <c r="C502" s="5"/>
      <c r="D502" s="12"/>
      <c r="E502" s="9"/>
      <c r="F502" s="9"/>
      <c r="G502" s="5"/>
      <c r="H502" s="16"/>
      <c r="I502" s="69"/>
      <c r="J502" s="70"/>
      <c r="K502" s="71"/>
      <c r="L502" s="71"/>
      <c r="M502" s="5"/>
    </row>
    <row r="503" spans="1:13" s="3" customFormat="1">
      <c r="A503" s="1"/>
      <c r="B503" s="8"/>
      <c r="C503" s="5"/>
      <c r="D503" s="12"/>
      <c r="E503" s="9"/>
      <c r="F503" s="9"/>
      <c r="G503" s="5"/>
      <c r="H503" s="16"/>
      <c r="I503" s="69"/>
      <c r="J503" s="70"/>
      <c r="K503" s="71"/>
      <c r="L503" s="71"/>
      <c r="M503" s="5"/>
    </row>
    <row r="504" spans="1:13" s="3" customFormat="1">
      <c r="A504" s="1"/>
      <c r="B504" s="8"/>
      <c r="C504" s="5"/>
      <c r="D504" s="12"/>
      <c r="E504" s="9"/>
      <c r="F504" s="9"/>
      <c r="G504" s="5"/>
      <c r="H504" s="16"/>
      <c r="I504" s="69"/>
      <c r="J504" s="70"/>
      <c r="K504" s="71"/>
      <c r="L504" s="71"/>
      <c r="M504" s="5"/>
    </row>
    <row r="505" spans="1:13" s="3" customFormat="1">
      <c r="A505" s="1"/>
      <c r="B505" s="8"/>
      <c r="C505" s="5"/>
      <c r="D505" s="12"/>
      <c r="E505" s="9"/>
      <c r="F505" s="9"/>
      <c r="G505" s="5"/>
      <c r="H505" s="16"/>
      <c r="I505" s="69"/>
      <c r="J505" s="70"/>
      <c r="K505" s="71"/>
      <c r="L505" s="71"/>
      <c r="M505" s="5"/>
    </row>
    <row r="506" spans="1:13" s="3" customFormat="1">
      <c r="A506" s="1"/>
      <c r="B506" s="8"/>
      <c r="C506" s="5"/>
      <c r="D506" s="12"/>
      <c r="E506" s="9"/>
      <c r="F506" s="9"/>
      <c r="G506" s="5"/>
      <c r="H506" s="16"/>
      <c r="I506" s="69"/>
      <c r="J506" s="70"/>
      <c r="K506" s="71"/>
      <c r="L506" s="71"/>
      <c r="M506" s="5"/>
    </row>
    <row r="507" spans="1:13" s="3" customFormat="1">
      <c r="A507" s="1"/>
      <c r="B507" s="8"/>
      <c r="C507" s="5"/>
      <c r="D507" s="12"/>
      <c r="E507" s="9"/>
      <c r="F507" s="9"/>
      <c r="G507" s="5"/>
      <c r="H507" s="16"/>
      <c r="I507" s="69"/>
      <c r="J507" s="70"/>
      <c r="K507" s="71"/>
      <c r="L507" s="71"/>
      <c r="M507" s="5"/>
    </row>
    <row r="508" spans="1:13" s="3" customFormat="1">
      <c r="A508" s="1"/>
      <c r="B508" s="8"/>
      <c r="C508" s="5"/>
      <c r="D508" s="12"/>
      <c r="E508" s="9"/>
      <c r="F508" s="9"/>
      <c r="G508" s="5"/>
      <c r="H508" s="16"/>
      <c r="I508" s="69"/>
      <c r="J508" s="70"/>
      <c r="K508" s="71"/>
      <c r="L508" s="71"/>
      <c r="M508" s="5"/>
    </row>
    <row r="509" spans="1:13" s="3" customFormat="1">
      <c r="A509" s="1"/>
      <c r="B509" s="8"/>
      <c r="C509" s="5"/>
      <c r="D509" s="12"/>
      <c r="E509" s="9"/>
      <c r="F509" s="9"/>
      <c r="G509" s="5"/>
      <c r="H509" s="16"/>
      <c r="I509" s="69"/>
      <c r="J509" s="70"/>
      <c r="K509" s="71"/>
      <c r="L509" s="71"/>
      <c r="M509" s="5"/>
    </row>
    <row r="510" spans="1:13" s="3" customFormat="1">
      <c r="A510" s="1"/>
      <c r="B510" s="8"/>
      <c r="C510" s="5"/>
      <c r="D510" s="12"/>
      <c r="E510" s="9"/>
      <c r="F510" s="9"/>
      <c r="G510" s="5"/>
      <c r="H510" s="16"/>
      <c r="I510" s="69"/>
      <c r="J510" s="70"/>
      <c r="K510" s="71"/>
      <c r="L510" s="71"/>
      <c r="M510" s="5"/>
    </row>
    <row r="511" spans="1:13" s="3" customFormat="1">
      <c r="A511" s="1"/>
      <c r="B511" s="8"/>
      <c r="C511" s="5"/>
      <c r="D511" s="12"/>
      <c r="E511" s="9"/>
      <c r="F511" s="9"/>
      <c r="G511" s="5"/>
      <c r="H511" s="16"/>
      <c r="I511" s="69"/>
      <c r="J511" s="70"/>
      <c r="K511" s="71"/>
      <c r="L511" s="71"/>
      <c r="M511" s="5"/>
    </row>
    <row r="512" spans="1:13" s="3" customFormat="1">
      <c r="A512" s="1"/>
      <c r="B512" s="8"/>
      <c r="C512" s="5"/>
      <c r="D512" s="12"/>
      <c r="E512" s="9"/>
      <c r="F512" s="9"/>
      <c r="G512" s="5"/>
      <c r="H512" s="16"/>
      <c r="I512" s="69"/>
      <c r="J512" s="70"/>
      <c r="K512" s="71"/>
      <c r="L512" s="71"/>
      <c r="M512" s="5"/>
    </row>
    <row r="513" spans="1:13" s="3" customFormat="1">
      <c r="A513" s="1"/>
      <c r="B513" s="8"/>
      <c r="C513" s="5"/>
      <c r="D513" s="12"/>
      <c r="E513" s="9"/>
      <c r="F513" s="9"/>
      <c r="G513" s="5"/>
      <c r="H513" s="16"/>
      <c r="I513" s="69"/>
      <c r="J513" s="70"/>
      <c r="K513" s="71"/>
      <c r="L513" s="71"/>
      <c r="M513" s="5"/>
    </row>
    <row r="514" spans="1:13" s="3" customFormat="1">
      <c r="A514" s="1"/>
      <c r="B514" s="8"/>
      <c r="C514" s="5"/>
      <c r="D514" s="12"/>
      <c r="E514" s="9"/>
      <c r="F514" s="9"/>
      <c r="G514" s="5"/>
      <c r="H514" s="16"/>
      <c r="I514" s="69"/>
      <c r="J514" s="70"/>
      <c r="K514" s="71"/>
      <c r="L514" s="71"/>
      <c r="M514" s="5"/>
    </row>
    <row r="515" spans="1:13" s="3" customFormat="1">
      <c r="A515" s="1"/>
      <c r="B515" s="8"/>
      <c r="C515" s="5"/>
      <c r="D515" s="12"/>
      <c r="E515" s="9"/>
      <c r="F515" s="9"/>
      <c r="G515" s="5"/>
      <c r="H515" s="16"/>
      <c r="I515" s="69"/>
      <c r="J515" s="70"/>
      <c r="K515" s="71"/>
      <c r="L515" s="71"/>
      <c r="M515" s="5"/>
    </row>
    <row r="516" spans="1:13" s="3" customFormat="1">
      <c r="A516" s="1"/>
      <c r="B516" s="8"/>
      <c r="C516" s="5"/>
      <c r="D516" s="12"/>
      <c r="E516" s="9"/>
      <c r="F516" s="9"/>
      <c r="G516" s="5"/>
      <c r="H516" s="16"/>
      <c r="I516" s="69"/>
      <c r="J516" s="70"/>
      <c r="K516" s="71"/>
      <c r="L516" s="71"/>
      <c r="M516" s="5"/>
    </row>
    <row r="517" spans="1:13" s="3" customFormat="1">
      <c r="A517" s="1"/>
      <c r="B517" s="8"/>
      <c r="C517" s="5"/>
      <c r="D517" s="12"/>
      <c r="E517" s="9"/>
      <c r="F517" s="9"/>
      <c r="G517" s="5"/>
      <c r="H517" s="16"/>
      <c r="I517" s="69"/>
      <c r="J517" s="70"/>
      <c r="K517" s="71"/>
      <c r="L517" s="71"/>
      <c r="M517" s="5"/>
    </row>
    <row r="518" spans="1:13" s="3" customFormat="1">
      <c r="A518" s="1"/>
      <c r="B518" s="8"/>
      <c r="C518" s="5"/>
      <c r="D518" s="12"/>
      <c r="E518" s="9"/>
      <c r="F518" s="9"/>
      <c r="G518" s="5"/>
      <c r="H518" s="16"/>
      <c r="I518" s="69"/>
      <c r="J518" s="70"/>
      <c r="K518" s="71"/>
      <c r="L518" s="71"/>
      <c r="M518" s="5"/>
    </row>
    <row r="519" spans="1:13" s="3" customFormat="1">
      <c r="A519" s="1"/>
      <c r="B519" s="8"/>
      <c r="C519" s="5"/>
      <c r="D519" s="12"/>
      <c r="E519" s="9"/>
      <c r="F519" s="9"/>
      <c r="G519" s="5"/>
      <c r="H519" s="16"/>
      <c r="I519" s="69"/>
      <c r="J519" s="70"/>
      <c r="K519" s="71"/>
      <c r="L519" s="71"/>
      <c r="M519" s="5"/>
    </row>
    <row r="520" spans="1:13" s="3" customFormat="1">
      <c r="A520" s="1"/>
      <c r="B520" s="8"/>
      <c r="C520" s="5"/>
      <c r="D520" s="12"/>
      <c r="E520" s="9"/>
      <c r="F520" s="9"/>
      <c r="G520" s="5"/>
      <c r="H520" s="16"/>
      <c r="I520" s="69"/>
      <c r="J520" s="70"/>
      <c r="K520" s="71"/>
      <c r="L520" s="71"/>
      <c r="M520" s="5"/>
    </row>
    <row r="521" spans="1:13" s="3" customFormat="1">
      <c r="A521" s="1"/>
      <c r="B521" s="8"/>
      <c r="C521" s="5"/>
      <c r="D521" s="12"/>
      <c r="E521" s="9"/>
      <c r="F521" s="9"/>
      <c r="G521" s="5"/>
      <c r="H521" s="16"/>
      <c r="I521" s="69"/>
      <c r="J521" s="70"/>
      <c r="K521" s="71"/>
      <c r="L521" s="71"/>
      <c r="M521" s="5"/>
    </row>
    <row r="522" spans="1:13" s="3" customFormat="1">
      <c r="A522" s="1"/>
      <c r="B522" s="8"/>
      <c r="C522" s="5"/>
      <c r="D522" s="12"/>
      <c r="E522" s="9"/>
      <c r="F522" s="9"/>
      <c r="G522" s="5"/>
      <c r="H522" s="16"/>
      <c r="I522" s="69"/>
      <c r="J522" s="70"/>
      <c r="K522" s="71"/>
      <c r="L522" s="71"/>
      <c r="M522" s="5"/>
    </row>
    <row r="523" spans="1:13" s="3" customFormat="1">
      <c r="A523" s="1"/>
      <c r="B523" s="8"/>
      <c r="C523" s="5"/>
      <c r="D523" s="12"/>
      <c r="E523" s="9"/>
      <c r="F523" s="9"/>
      <c r="G523" s="5"/>
      <c r="H523" s="16"/>
      <c r="I523" s="69"/>
      <c r="J523" s="70"/>
      <c r="K523" s="71"/>
      <c r="L523" s="71"/>
      <c r="M523" s="5"/>
    </row>
    <row r="524" spans="1:13" s="3" customFormat="1">
      <c r="A524" s="1"/>
      <c r="B524" s="8"/>
      <c r="C524" s="5"/>
      <c r="D524" s="12"/>
      <c r="E524" s="9"/>
      <c r="F524" s="9"/>
      <c r="G524" s="5"/>
      <c r="H524" s="16"/>
      <c r="I524" s="69"/>
      <c r="J524" s="70"/>
      <c r="K524" s="71"/>
      <c r="L524" s="71"/>
      <c r="M524" s="5"/>
    </row>
    <row r="525" spans="1:13" s="3" customFormat="1">
      <c r="A525" s="1"/>
      <c r="B525" s="8"/>
      <c r="C525" s="5"/>
      <c r="D525" s="12"/>
      <c r="E525" s="9"/>
      <c r="F525" s="9"/>
      <c r="G525" s="5"/>
      <c r="H525" s="16"/>
      <c r="I525" s="69"/>
      <c r="J525" s="70"/>
      <c r="K525" s="71"/>
      <c r="L525" s="71"/>
      <c r="M525" s="5"/>
    </row>
    <row r="526" spans="1:13" s="3" customFormat="1">
      <c r="A526" s="1"/>
      <c r="B526" s="8"/>
      <c r="C526" s="5"/>
      <c r="D526" s="12"/>
      <c r="E526" s="9"/>
      <c r="F526" s="9"/>
      <c r="G526" s="5"/>
      <c r="H526" s="16"/>
      <c r="I526" s="69"/>
      <c r="J526" s="70"/>
      <c r="K526" s="71"/>
      <c r="L526" s="71"/>
      <c r="M526" s="5"/>
    </row>
    <row r="527" spans="1:13" s="3" customFormat="1">
      <c r="A527" s="1"/>
      <c r="B527" s="8"/>
      <c r="C527" s="5"/>
      <c r="D527" s="12"/>
      <c r="E527" s="9"/>
      <c r="F527" s="9"/>
      <c r="G527" s="5"/>
      <c r="H527" s="16"/>
      <c r="I527" s="69"/>
      <c r="J527" s="70"/>
      <c r="K527" s="71"/>
      <c r="L527" s="71"/>
      <c r="M527" s="5"/>
    </row>
    <row r="528" spans="1:13" s="3" customFormat="1">
      <c r="A528" s="1"/>
      <c r="B528" s="8"/>
      <c r="C528" s="5"/>
      <c r="D528" s="12"/>
      <c r="E528" s="9"/>
      <c r="F528" s="9"/>
      <c r="G528" s="5"/>
      <c r="H528" s="16"/>
      <c r="I528" s="69"/>
      <c r="J528" s="70"/>
      <c r="K528" s="71"/>
      <c r="L528" s="71"/>
      <c r="M528" s="5"/>
    </row>
    <row r="529" spans="1:13" s="3" customFormat="1">
      <c r="A529" s="1"/>
      <c r="B529" s="8"/>
      <c r="C529" s="5"/>
      <c r="D529" s="12"/>
      <c r="E529" s="9"/>
      <c r="F529" s="9"/>
      <c r="G529" s="5"/>
      <c r="H529" s="16"/>
      <c r="I529" s="69"/>
      <c r="J529" s="70"/>
      <c r="K529" s="71"/>
      <c r="L529" s="71"/>
      <c r="M529" s="5"/>
    </row>
    <row r="530" spans="1:13" s="3" customFormat="1">
      <c r="A530" s="1"/>
      <c r="B530" s="8"/>
      <c r="C530" s="5"/>
      <c r="D530" s="12"/>
      <c r="E530" s="9"/>
      <c r="F530" s="9"/>
      <c r="G530" s="5"/>
      <c r="H530" s="16"/>
      <c r="I530" s="69"/>
      <c r="J530" s="70"/>
      <c r="K530" s="71"/>
      <c r="L530" s="71"/>
      <c r="M530" s="5"/>
    </row>
    <row r="531" spans="1:13" s="3" customFormat="1">
      <c r="A531" s="1"/>
      <c r="B531" s="8"/>
      <c r="C531" s="5"/>
      <c r="D531" s="12"/>
      <c r="E531" s="9"/>
      <c r="F531" s="9"/>
      <c r="G531" s="5"/>
      <c r="H531" s="16"/>
      <c r="I531" s="69"/>
      <c r="J531" s="70"/>
      <c r="K531" s="71"/>
      <c r="L531" s="71"/>
      <c r="M531" s="5"/>
    </row>
    <row r="532" spans="1:13" s="3" customFormat="1">
      <c r="A532" s="1"/>
      <c r="B532" s="8"/>
      <c r="C532" s="5"/>
      <c r="D532" s="12"/>
      <c r="E532" s="9"/>
      <c r="F532" s="9"/>
      <c r="G532" s="5"/>
      <c r="H532" s="16"/>
      <c r="I532" s="69"/>
      <c r="J532" s="70"/>
      <c r="K532" s="71"/>
      <c r="L532" s="71"/>
      <c r="M532" s="5"/>
    </row>
    <row r="533" spans="1:13" s="3" customFormat="1">
      <c r="A533" s="1"/>
      <c r="B533" s="8"/>
      <c r="C533" s="5"/>
      <c r="D533" s="12"/>
      <c r="E533" s="9"/>
      <c r="F533" s="9"/>
      <c r="G533" s="5"/>
      <c r="H533" s="16"/>
      <c r="I533" s="69"/>
      <c r="J533" s="70"/>
      <c r="K533" s="71"/>
      <c r="L533" s="71"/>
      <c r="M533" s="5"/>
    </row>
    <row r="534" spans="1:13" s="3" customFormat="1">
      <c r="A534" s="1"/>
      <c r="B534" s="8"/>
      <c r="C534" s="5"/>
      <c r="D534" s="12"/>
      <c r="E534" s="9"/>
      <c r="F534" s="9"/>
      <c r="G534" s="5"/>
      <c r="H534" s="16"/>
      <c r="I534" s="69"/>
      <c r="J534" s="70"/>
      <c r="K534" s="71"/>
      <c r="L534" s="71"/>
      <c r="M534" s="5"/>
    </row>
    <row r="535" spans="1:13" s="3" customFormat="1">
      <c r="A535" s="1"/>
      <c r="B535" s="8"/>
      <c r="C535" s="5"/>
      <c r="D535" s="12"/>
      <c r="E535" s="9"/>
      <c r="F535" s="9"/>
      <c r="G535" s="5"/>
      <c r="H535" s="16"/>
      <c r="I535" s="69"/>
      <c r="J535" s="70"/>
      <c r="K535" s="71"/>
      <c r="L535" s="71"/>
      <c r="M535" s="5"/>
    </row>
    <row r="536" spans="1:13" s="3" customFormat="1">
      <c r="A536" s="1"/>
      <c r="B536" s="8"/>
      <c r="C536" s="5"/>
      <c r="D536" s="12"/>
      <c r="E536" s="9"/>
      <c r="F536" s="9"/>
      <c r="G536" s="5"/>
      <c r="H536" s="16"/>
      <c r="I536" s="69"/>
      <c r="J536" s="70"/>
      <c r="K536" s="71"/>
      <c r="L536" s="71"/>
      <c r="M536" s="5"/>
    </row>
    <row r="537" spans="1:13" s="3" customFormat="1">
      <c r="A537" s="1"/>
      <c r="B537" s="8"/>
      <c r="C537" s="5"/>
      <c r="D537" s="12"/>
      <c r="E537" s="9"/>
      <c r="F537" s="9"/>
      <c r="G537" s="5"/>
      <c r="H537" s="16"/>
      <c r="I537" s="69"/>
      <c r="J537" s="70"/>
      <c r="K537" s="71"/>
      <c r="L537" s="71"/>
      <c r="M537" s="5"/>
    </row>
    <row r="538" spans="1:13" s="3" customFormat="1">
      <c r="A538" s="1"/>
      <c r="B538" s="8"/>
      <c r="C538" s="5"/>
      <c r="D538" s="12"/>
      <c r="E538" s="9"/>
      <c r="F538" s="9"/>
      <c r="G538" s="5"/>
      <c r="H538" s="16"/>
      <c r="I538" s="69"/>
      <c r="J538" s="70"/>
      <c r="K538" s="71"/>
      <c r="L538" s="71"/>
      <c r="M538" s="5"/>
    </row>
    <row r="539" spans="1:13" s="3" customFormat="1">
      <c r="A539" s="1"/>
      <c r="B539" s="8"/>
      <c r="C539" s="5"/>
      <c r="D539" s="12"/>
      <c r="E539" s="9"/>
      <c r="F539" s="9"/>
      <c r="G539" s="5"/>
      <c r="H539" s="16"/>
      <c r="I539" s="69"/>
      <c r="J539" s="70"/>
      <c r="K539" s="71"/>
      <c r="L539" s="71"/>
      <c r="M539" s="5"/>
    </row>
    <row r="540" spans="1:13" s="3" customFormat="1">
      <c r="A540" s="1"/>
      <c r="B540" s="8"/>
      <c r="C540" s="5"/>
      <c r="D540" s="12"/>
      <c r="E540" s="9"/>
      <c r="F540" s="9"/>
      <c r="G540" s="5"/>
      <c r="H540" s="16"/>
      <c r="I540" s="69"/>
      <c r="J540" s="70"/>
      <c r="K540" s="71"/>
      <c r="L540" s="71"/>
      <c r="M540" s="5"/>
    </row>
    <row r="541" spans="1:13" s="3" customFormat="1">
      <c r="A541" s="1"/>
      <c r="B541" s="8"/>
      <c r="C541" s="5"/>
      <c r="D541" s="12"/>
      <c r="E541" s="9"/>
      <c r="F541" s="9"/>
      <c r="G541" s="5"/>
      <c r="H541" s="16"/>
      <c r="I541" s="69"/>
      <c r="J541" s="70"/>
      <c r="K541" s="71"/>
      <c r="L541" s="71"/>
      <c r="M541" s="5"/>
    </row>
    <row r="542" spans="1:13" s="3" customFormat="1">
      <c r="A542" s="1"/>
      <c r="B542" s="8"/>
      <c r="C542" s="5"/>
      <c r="D542" s="12"/>
      <c r="E542" s="9"/>
      <c r="F542" s="9"/>
      <c r="G542" s="5"/>
      <c r="H542" s="16"/>
      <c r="I542" s="69"/>
      <c r="J542" s="70"/>
      <c r="K542" s="71"/>
      <c r="L542" s="71"/>
      <c r="M542" s="5"/>
    </row>
    <row r="543" spans="1:13" s="3" customFormat="1">
      <c r="A543" s="1"/>
      <c r="B543" s="8"/>
      <c r="C543" s="5"/>
      <c r="D543" s="12"/>
      <c r="E543" s="9"/>
      <c r="F543" s="9"/>
      <c r="G543" s="5"/>
      <c r="H543" s="16"/>
      <c r="I543" s="69"/>
      <c r="J543" s="70"/>
      <c r="K543" s="71"/>
      <c r="L543" s="71"/>
      <c r="M543" s="5"/>
    </row>
    <row r="544" spans="1:13" s="3" customFormat="1">
      <c r="A544" s="1"/>
      <c r="B544" s="8"/>
      <c r="C544" s="5"/>
      <c r="D544" s="12"/>
      <c r="E544" s="9"/>
      <c r="F544" s="9"/>
      <c r="G544" s="5"/>
      <c r="H544" s="16"/>
      <c r="I544" s="69"/>
      <c r="J544" s="70"/>
      <c r="K544" s="71"/>
      <c r="L544" s="71"/>
      <c r="M544" s="5"/>
    </row>
    <row r="545" spans="1:13" s="3" customFormat="1">
      <c r="A545" s="1"/>
      <c r="B545" s="8"/>
      <c r="C545" s="5"/>
      <c r="D545" s="12"/>
      <c r="E545" s="9"/>
      <c r="F545" s="9"/>
      <c r="G545" s="5"/>
      <c r="H545" s="16"/>
      <c r="I545" s="69"/>
      <c r="J545" s="70"/>
      <c r="K545" s="71"/>
      <c r="L545" s="71"/>
      <c r="M545" s="5"/>
    </row>
    <row r="546" spans="1:13" s="3" customFormat="1">
      <c r="A546" s="1"/>
      <c r="B546" s="8"/>
      <c r="C546" s="5"/>
      <c r="D546" s="12"/>
      <c r="E546" s="9"/>
      <c r="F546" s="9"/>
      <c r="G546" s="5"/>
      <c r="H546" s="16"/>
      <c r="I546" s="69"/>
      <c r="J546" s="70"/>
      <c r="K546" s="71"/>
      <c r="L546" s="71"/>
      <c r="M546" s="5"/>
    </row>
    <row r="547" spans="1:13" s="3" customFormat="1">
      <c r="A547" s="1"/>
      <c r="B547" s="8"/>
      <c r="C547" s="5"/>
      <c r="D547" s="12"/>
      <c r="E547" s="9"/>
      <c r="F547" s="9"/>
      <c r="G547" s="5"/>
      <c r="H547" s="16"/>
      <c r="I547" s="69"/>
      <c r="J547" s="70"/>
      <c r="K547" s="71"/>
      <c r="L547" s="71"/>
      <c r="M547" s="5"/>
    </row>
    <row r="548" spans="1:13" s="3" customFormat="1">
      <c r="A548" s="1"/>
      <c r="B548" s="8"/>
      <c r="C548" s="5"/>
      <c r="D548" s="12"/>
      <c r="E548" s="9"/>
      <c r="F548" s="9"/>
      <c r="G548" s="5"/>
      <c r="H548" s="16"/>
      <c r="I548" s="69"/>
      <c r="J548" s="70"/>
      <c r="K548" s="71"/>
      <c r="L548" s="71"/>
      <c r="M548" s="5"/>
    </row>
    <row r="549" spans="1:13" s="3" customFormat="1">
      <c r="A549" s="1"/>
      <c r="B549" s="8"/>
      <c r="C549" s="5"/>
      <c r="D549" s="12"/>
      <c r="E549" s="9"/>
      <c r="F549" s="9"/>
      <c r="G549" s="5"/>
      <c r="H549" s="16"/>
      <c r="I549" s="69"/>
      <c r="J549" s="70"/>
      <c r="K549" s="71"/>
      <c r="L549" s="71"/>
      <c r="M549" s="5"/>
    </row>
    <row r="550" spans="1:13" s="3" customFormat="1">
      <c r="A550" s="1"/>
      <c r="B550" s="8"/>
      <c r="C550" s="5"/>
      <c r="D550" s="12"/>
      <c r="E550" s="9"/>
      <c r="F550" s="9"/>
      <c r="G550" s="5"/>
      <c r="H550" s="16"/>
      <c r="I550" s="69"/>
      <c r="J550" s="70"/>
      <c r="K550" s="71"/>
      <c r="L550" s="71"/>
      <c r="M550" s="5"/>
    </row>
    <row r="551" spans="1:13" s="3" customFormat="1">
      <c r="A551" s="1"/>
      <c r="B551" s="8"/>
      <c r="C551" s="5"/>
      <c r="D551" s="12"/>
      <c r="E551" s="9"/>
      <c r="F551" s="9"/>
      <c r="G551" s="5"/>
      <c r="H551" s="16"/>
      <c r="I551" s="69"/>
      <c r="J551" s="70"/>
      <c r="K551" s="71"/>
      <c r="L551" s="71"/>
      <c r="M551" s="5"/>
    </row>
    <row r="552" spans="1:13" s="3" customFormat="1">
      <c r="A552" s="1"/>
      <c r="B552" s="8"/>
      <c r="C552" s="5"/>
      <c r="D552" s="12"/>
      <c r="E552" s="9"/>
      <c r="F552" s="9"/>
      <c r="G552" s="5"/>
      <c r="H552" s="16"/>
      <c r="I552" s="69"/>
      <c r="J552" s="70"/>
      <c r="K552" s="71"/>
      <c r="L552" s="71"/>
      <c r="M552" s="5"/>
    </row>
    <row r="553" spans="1:13" s="3" customFormat="1">
      <c r="A553" s="1"/>
      <c r="B553" s="8"/>
      <c r="C553" s="5"/>
      <c r="D553" s="12"/>
      <c r="E553" s="9"/>
      <c r="F553" s="9"/>
      <c r="G553" s="5"/>
      <c r="H553" s="16"/>
      <c r="I553" s="69"/>
      <c r="J553" s="70"/>
      <c r="K553" s="71"/>
      <c r="L553" s="71"/>
      <c r="M553" s="5"/>
    </row>
    <row r="554" spans="1:13" s="3" customFormat="1">
      <c r="A554" s="1"/>
      <c r="B554" s="8"/>
      <c r="C554" s="5"/>
      <c r="D554" s="12"/>
      <c r="E554" s="9"/>
      <c r="F554" s="9"/>
      <c r="G554" s="5"/>
      <c r="H554" s="16"/>
      <c r="I554" s="69"/>
      <c r="J554" s="70"/>
      <c r="K554" s="71"/>
      <c r="L554" s="71"/>
      <c r="M554" s="5"/>
    </row>
    <row r="555" spans="1:13" s="3" customFormat="1">
      <c r="A555" s="1"/>
      <c r="B555" s="8"/>
      <c r="C555" s="5"/>
      <c r="D555" s="12"/>
      <c r="E555" s="9"/>
      <c r="F555" s="9"/>
      <c r="G555" s="5"/>
      <c r="H555" s="16"/>
      <c r="I555" s="69"/>
      <c r="J555" s="70"/>
      <c r="K555" s="71"/>
      <c r="L555" s="71"/>
      <c r="M555" s="5"/>
    </row>
    <row r="556" spans="1:13" s="3" customFormat="1">
      <c r="A556" s="1"/>
      <c r="B556" s="8"/>
      <c r="C556" s="5"/>
      <c r="D556" s="12"/>
      <c r="E556" s="9"/>
      <c r="F556" s="9"/>
      <c r="G556" s="5"/>
      <c r="H556" s="16"/>
      <c r="I556" s="69"/>
      <c r="J556" s="70"/>
      <c r="K556" s="71"/>
      <c r="L556" s="71"/>
      <c r="M556" s="5"/>
    </row>
    <row r="557" spans="1:13" s="3" customFormat="1">
      <c r="A557" s="1"/>
      <c r="B557" s="8"/>
      <c r="C557" s="5"/>
      <c r="D557" s="12"/>
      <c r="E557" s="9"/>
      <c r="F557" s="9"/>
      <c r="G557" s="5"/>
      <c r="H557" s="16"/>
      <c r="I557" s="69"/>
      <c r="J557" s="70"/>
      <c r="K557" s="71"/>
      <c r="L557" s="71"/>
      <c r="M557" s="5"/>
    </row>
    <row r="558" spans="1:13" s="3" customFormat="1">
      <c r="A558" s="1"/>
      <c r="B558" s="8"/>
      <c r="C558" s="5"/>
      <c r="D558" s="12"/>
      <c r="E558" s="9"/>
      <c r="F558" s="9"/>
      <c r="G558" s="5"/>
      <c r="H558" s="16"/>
      <c r="I558" s="69"/>
      <c r="J558" s="70"/>
      <c r="K558" s="71"/>
      <c r="L558" s="71"/>
      <c r="M558" s="5"/>
    </row>
    <row r="559" spans="1:13" s="3" customFormat="1">
      <c r="A559" s="1"/>
      <c r="B559" s="8"/>
      <c r="C559" s="5"/>
      <c r="D559" s="12"/>
      <c r="E559" s="9"/>
      <c r="F559" s="9"/>
      <c r="G559" s="5"/>
      <c r="H559" s="16"/>
      <c r="I559" s="69"/>
      <c r="J559" s="70"/>
      <c r="K559" s="71"/>
      <c r="L559" s="71"/>
      <c r="M559" s="5"/>
    </row>
    <row r="560" spans="1:13" s="3" customFormat="1">
      <c r="A560" s="1"/>
      <c r="B560" s="8"/>
      <c r="C560" s="5"/>
      <c r="D560" s="12"/>
      <c r="E560" s="9"/>
      <c r="F560" s="9"/>
      <c r="G560" s="5"/>
      <c r="H560" s="16"/>
      <c r="I560" s="69"/>
      <c r="J560" s="70"/>
      <c r="K560" s="71"/>
      <c r="L560" s="71"/>
      <c r="M560" s="5"/>
    </row>
    <row r="561" spans="1:13" s="3" customFormat="1">
      <c r="A561" s="1"/>
      <c r="B561" s="8"/>
      <c r="C561" s="5"/>
      <c r="D561" s="12"/>
      <c r="E561" s="9"/>
      <c r="F561" s="9"/>
      <c r="G561" s="5"/>
      <c r="H561" s="16"/>
      <c r="I561" s="69"/>
      <c r="J561" s="70"/>
      <c r="K561" s="71"/>
      <c r="L561" s="71"/>
      <c r="M561" s="5"/>
    </row>
    <row r="562" spans="1:13" s="3" customFormat="1">
      <c r="A562" s="1"/>
      <c r="B562" s="8"/>
      <c r="C562" s="5"/>
      <c r="D562" s="12"/>
      <c r="E562" s="9"/>
      <c r="F562" s="9"/>
      <c r="G562" s="5"/>
      <c r="H562" s="16"/>
      <c r="I562" s="69"/>
      <c r="J562" s="70"/>
      <c r="K562" s="71"/>
      <c r="L562" s="71"/>
      <c r="M562" s="5"/>
    </row>
    <row r="563" spans="1:13" s="3" customFormat="1">
      <c r="A563" s="1"/>
      <c r="B563" s="8"/>
      <c r="C563" s="5"/>
      <c r="D563" s="12"/>
      <c r="E563" s="9"/>
      <c r="F563" s="9"/>
      <c r="G563" s="5"/>
      <c r="H563" s="16"/>
      <c r="I563" s="69"/>
      <c r="J563" s="70"/>
      <c r="K563" s="71"/>
      <c r="L563" s="71"/>
      <c r="M563" s="5"/>
    </row>
    <row r="564" spans="1:13" s="3" customFormat="1">
      <c r="A564" s="1"/>
      <c r="B564" s="8"/>
      <c r="C564" s="5"/>
      <c r="D564" s="12"/>
      <c r="E564" s="9"/>
      <c r="F564" s="9"/>
      <c r="G564" s="5"/>
      <c r="H564" s="16"/>
      <c r="I564" s="69"/>
      <c r="J564" s="70"/>
      <c r="K564" s="71"/>
      <c r="L564" s="71"/>
      <c r="M564" s="5"/>
    </row>
    <row r="565" spans="1:13" s="3" customFormat="1">
      <c r="A565" s="1"/>
      <c r="B565" s="8"/>
      <c r="C565" s="5"/>
      <c r="D565" s="12"/>
      <c r="E565" s="9"/>
      <c r="F565" s="9"/>
      <c r="G565" s="5"/>
      <c r="H565" s="16"/>
      <c r="I565" s="69"/>
      <c r="J565" s="70"/>
      <c r="K565" s="71"/>
      <c r="L565" s="71"/>
      <c r="M565" s="5"/>
    </row>
    <row r="566" spans="1:13" s="3" customFormat="1">
      <c r="A566" s="1"/>
      <c r="B566" s="8"/>
      <c r="C566" s="5"/>
      <c r="D566" s="12"/>
      <c r="E566" s="9"/>
      <c r="F566" s="9"/>
      <c r="G566" s="5"/>
      <c r="H566" s="16"/>
      <c r="I566" s="69"/>
      <c r="J566" s="70"/>
      <c r="K566" s="71"/>
      <c r="L566" s="71"/>
      <c r="M566" s="5"/>
    </row>
    <row r="567" spans="1:13" s="3" customFormat="1">
      <c r="A567" s="1"/>
      <c r="B567" s="8"/>
      <c r="C567" s="5"/>
      <c r="D567" s="12"/>
      <c r="E567" s="9"/>
      <c r="F567" s="9"/>
      <c r="G567" s="5"/>
      <c r="H567" s="16"/>
      <c r="I567" s="69"/>
      <c r="J567" s="70"/>
      <c r="K567" s="71"/>
      <c r="L567" s="71"/>
      <c r="M567" s="5"/>
    </row>
    <row r="568" spans="1:13" s="3" customFormat="1">
      <c r="A568" s="1"/>
      <c r="B568" s="8"/>
      <c r="C568" s="5"/>
      <c r="D568" s="12"/>
      <c r="E568" s="9"/>
      <c r="F568" s="9"/>
      <c r="G568" s="5"/>
      <c r="H568" s="16"/>
      <c r="I568" s="69"/>
      <c r="J568" s="70"/>
      <c r="K568" s="71"/>
      <c r="L568" s="71"/>
      <c r="M568" s="5"/>
    </row>
    <row r="569" spans="1:13" s="3" customFormat="1">
      <c r="A569" s="1"/>
      <c r="B569" s="8"/>
      <c r="C569" s="5"/>
      <c r="D569" s="12"/>
      <c r="E569" s="9"/>
      <c r="F569" s="9"/>
      <c r="G569" s="5"/>
      <c r="H569" s="16"/>
      <c r="I569" s="69"/>
      <c r="J569" s="70"/>
      <c r="K569" s="71"/>
      <c r="L569" s="71"/>
      <c r="M569" s="5"/>
    </row>
    <row r="570" spans="1:13" s="3" customFormat="1">
      <c r="A570" s="1"/>
      <c r="B570" s="8"/>
      <c r="C570" s="5"/>
      <c r="D570" s="12"/>
      <c r="E570" s="9"/>
      <c r="F570" s="9"/>
      <c r="G570" s="5"/>
      <c r="H570" s="16"/>
      <c r="I570" s="69"/>
      <c r="J570" s="70"/>
      <c r="K570" s="71"/>
      <c r="L570" s="71"/>
      <c r="M570" s="5"/>
    </row>
    <row r="571" spans="1:13" s="3" customFormat="1">
      <c r="A571" s="1"/>
      <c r="B571" s="8"/>
      <c r="C571" s="5"/>
      <c r="D571" s="12"/>
      <c r="E571" s="9"/>
      <c r="F571" s="9"/>
      <c r="G571" s="5"/>
      <c r="H571" s="16"/>
      <c r="I571" s="69"/>
      <c r="J571" s="70"/>
      <c r="K571" s="71"/>
      <c r="L571" s="71"/>
      <c r="M571" s="5"/>
    </row>
    <row r="572" spans="1:13" s="3" customFormat="1">
      <c r="A572" s="1"/>
      <c r="B572" s="8"/>
      <c r="C572" s="5"/>
      <c r="D572" s="12"/>
      <c r="E572" s="9"/>
      <c r="F572" s="9"/>
      <c r="G572" s="5"/>
      <c r="H572" s="16"/>
      <c r="I572" s="69"/>
      <c r="J572" s="70"/>
      <c r="K572" s="71"/>
      <c r="L572" s="71"/>
      <c r="M572" s="5"/>
    </row>
    <row r="573" spans="1:13" s="3" customFormat="1">
      <c r="A573" s="1"/>
      <c r="B573" s="8"/>
      <c r="C573" s="5"/>
      <c r="D573" s="12"/>
      <c r="E573" s="9"/>
      <c r="F573" s="9"/>
      <c r="G573" s="5"/>
      <c r="H573" s="16"/>
      <c r="I573" s="69"/>
      <c r="J573" s="70"/>
      <c r="K573" s="71"/>
      <c r="L573" s="71"/>
      <c r="M573" s="5"/>
    </row>
    <row r="574" spans="1:13" s="3" customFormat="1">
      <c r="A574" s="1"/>
      <c r="B574" s="8"/>
      <c r="C574" s="5"/>
      <c r="D574" s="12"/>
      <c r="E574" s="9"/>
      <c r="F574" s="9"/>
      <c r="G574" s="5"/>
      <c r="H574" s="16"/>
      <c r="I574" s="69"/>
      <c r="J574" s="70"/>
      <c r="K574" s="71"/>
      <c r="L574" s="71"/>
      <c r="M574" s="5"/>
    </row>
    <row r="575" spans="1:13" s="3" customFormat="1">
      <c r="A575" s="1"/>
      <c r="B575" s="8"/>
      <c r="C575" s="5"/>
      <c r="D575" s="12"/>
      <c r="E575" s="9"/>
      <c r="F575" s="9"/>
      <c r="G575" s="5"/>
      <c r="H575" s="16"/>
      <c r="I575" s="69"/>
      <c r="J575" s="70"/>
      <c r="K575" s="71"/>
      <c r="L575" s="71"/>
      <c r="M575" s="5"/>
    </row>
    <row r="576" spans="1:13" s="3" customFormat="1">
      <c r="A576" s="1"/>
      <c r="B576" s="8"/>
      <c r="C576" s="5"/>
      <c r="D576" s="12"/>
      <c r="E576" s="9"/>
      <c r="F576" s="9"/>
      <c r="G576" s="5"/>
      <c r="H576" s="16"/>
      <c r="I576" s="69"/>
      <c r="J576" s="70"/>
      <c r="K576" s="71"/>
      <c r="L576" s="71"/>
      <c r="M576" s="5"/>
    </row>
    <row r="577" spans="1:13" s="3" customFormat="1">
      <c r="A577" s="1"/>
      <c r="B577" s="8"/>
      <c r="C577" s="5"/>
      <c r="D577" s="12"/>
      <c r="E577" s="9"/>
      <c r="F577" s="9"/>
      <c r="G577" s="5"/>
      <c r="H577" s="16"/>
      <c r="I577" s="69"/>
      <c r="J577" s="70"/>
      <c r="K577" s="71"/>
      <c r="L577" s="71"/>
      <c r="M577" s="5"/>
    </row>
    <row r="578" spans="1:13" s="3" customFormat="1">
      <c r="A578" s="1"/>
      <c r="B578" s="8"/>
      <c r="C578" s="5"/>
      <c r="D578" s="12"/>
      <c r="E578" s="9"/>
      <c r="F578" s="9"/>
      <c r="G578" s="5"/>
      <c r="H578" s="16"/>
      <c r="I578" s="69"/>
      <c r="J578" s="70"/>
      <c r="K578" s="71"/>
      <c r="L578" s="71"/>
      <c r="M578" s="5"/>
    </row>
    <row r="579" spans="1:13" s="3" customFormat="1">
      <c r="A579" s="1"/>
      <c r="B579" s="8"/>
      <c r="C579" s="5"/>
      <c r="D579" s="12"/>
      <c r="E579" s="9"/>
      <c r="F579" s="9"/>
      <c r="G579" s="5"/>
      <c r="H579" s="16"/>
      <c r="I579" s="69"/>
      <c r="J579" s="70"/>
      <c r="K579" s="71"/>
      <c r="L579" s="71"/>
      <c r="M579" s="5"/>
    </row>
    <row r="580" spans="1:13" s="3" customFormat="1">
      <c r="A580" s="1"/>
      <c r="B580" s="8"/>
      <c r="C580" s="5"/>
      <c r="D580" s="12"/>
      <c r="E580" s="9"/>
      <c r="F580" s="9"/>
      <c r="G580" s="5"/>
      <c r="H580" s="16"/>
      <c r="I580" s="69"/>
      <c r="J580" s="70"/>
      <c r="K580" s="71"/>
      <c r="L580" s="71"/>
      <c r="M580" s="5"/>
    </row>
    <row r="581" spans="1:13" s="3" customFormat="1">
      <c r="A581" s="1"/>
      <c r="B581" s="8"/>
      <c r="C581" s="5"/>
      <c r="D581" s="12"/>
      <c r="E581" s="9"/>
      <c r="F581" s="9"/>
      <c r="G581" s="5"/>
      <c r="H581" s="16"/>
      <c r="I581" s="69"/>
      <c r="J581" s="70"/>
      <c r="K581" s="71"/>
      <c r="L581" s="71"/>
      <c r="M581" s="5"/>
    </row>
    <row r="582" spans="1:13" s="3" customFormat="1">
      <c r="A582" s="1"/>
      <c r="B582" s="8"/>
      <c r="C582" s="5"/>
      <c r="D582" s="12"/>
      <c r="E582" s="9"/>
      <c r="F582" s="9"/>
      <c r="G582" s="5"/>
      <c r="H582" s="16"/>
      <c r="I582" s="69"/>
      <c r="J582" s="70"/>
      <c r="K582" s="71"/>
      <c r="L582" s="71"/>
      <c r="M582" s="5"/>
    </row>
    <row r="583" spans="1:13" s="3" customFormat="1">
      <c r="A583" s="1"/>
      <c r="B583" s="8"/>
      <c r="C583" s="5"/>
      <c r="D583" s="12"/>
      <c r="E583" s="9"/>
      <c r="F583" s="9"/>
      <c r="G583" s="5"/>
      <c r="H583" s="16"/>
      <c r="I583" s="69"/>
      <c r="J583" s="70"/>
      <c r="K583" s="71"/>
      <c r="L583" s="71"/>
      <c r="M583" s="5"/>
    </row>
    <row r="584" spans="1:13" s="3" customFormat="1">
      <c r="A584" s="1"/>
      <c r="B584" s="8"/>
      <c r="C584" s="5"/>
      <c r="D584" s="12"/>
      <c r="E584" s="9"/>
      <c r="F584" s="9"/>
      <c r="G584" s="5"/>
      <c r="H584" s="16"/>
      <c r="I584" s="69"/>
      <c r="J584" s="70"/>
      <c r="K584" s="71"/>
      <c r="L584" s="71"/>
      <c r="M584" s="5"/>
    </row>
    <row r="585" spans="1:13" s="3" customFormat="1">
      <c r="A585" s="1"/>
      <c r="B585" s="8"/>
      <c r="C585" s="5"/>
      <c r="D585" s="12"/>
      <c r="E585" s="9"/>
      <c r="F585" s="9"/>
      <c r="G585" s="5"/>
      <c r="H585" s="16"/>
      <c r="I585" s="69"/>
      <c r="J585" s="70"/>
      <c r="K585" s="71"/>
      <c r="L585" s="71"/>
      <c r="M585" s="5"/>
    </row>
    <row r="586" spans="1:13" s="3" customFormat="1">
      <c r="A586" s="1"/>
      <c r="B586" s="8"/>
      <c r="C586" s="5"/>
      <c r="D586" s="12"/>
      <c r="E586" s="9"/>
      <c r="F586" s="9"/>
      <c r="G586" s="5"/>
      <c r="H586" s="16"/>
      <c r="I586" s="69"/>
      <c r="J586" s="70"/>
      <c r="K586" s="71"/>
      <c r="L586" s="71"/>
      <c r="M586" s="5"/>
    </row>
    <row r="587" spans="1:13" s="3" customFormat="1">
      <c r="A587" s="1"/>
      <c r="B587" s="8"/>
      <c r="C587" s="5"/>
      <c r="D587" s="12"/>
      <c r="E587" s="9"/>
      <c r="F587" s="9"/>
      <c r="G587" s="5"/>
      <c r="H587" s="16"/>
      <c r="I587" s="69"/>
      <c r="J587" s="70"/>
      <c r="K587" s="71"/>
      <c r="L587" s="71"/>
      <c r="M587" s="5"/>
    </row>
    <row r="588" spans="1:13" s="3" customFormat="1">
      <c r="A588" s="1"/>
      <c r="B588" s="8"/>
      <c r="C588" s="5"/>
      <c r="D588" s="12"/>
      <c r="E588" s="9"/>
      <c r="F588" s="9"/>
      <c r="G588" s="5"/>
      <c r="H588" s="16"/>
      <c r="I588" s="69"/>
      <c r="J588" s="70"/>
      <c r="K588" s="71"/>
      <c r="L588" s="71"/>
      <c r="M588" s="5"/>
    </row>
    <row r="589" spans="1:13" s="3" customFormat="1">
      <c r="A589" s="1"/>
      <c r="B589" s="8"/>
      <c r="C589" s="5"/>
      <c r="D589" s="12"/>
      <c r="E589" s="9"/>
      <c r="F589" s="9"/>
      <c r="G589" s="5"/>
      <c r="H589" s="16"/>
      <c r="I589" s="69"/>
      <c r="J589" s="70"/>
      <c r="K589" s="71"/>
      <c r="L589" s="71"/>
      <c r="M589" s="5"/>
    </row>
    <row r="590" spans="1:13" s="3" customFormat="1">
      <c r="A590" s="1"/>
      <c r="B590" s="8"/>
      <c r="C590" s="5"/>
      <c r="D590" s="12"/>
      <c r="E590" s="9"/>
      <c r="F590" s="9"/>
      <c r="G590" s="5"/>
      <c r="H590" s="16"/>
      <c r="I590" s="69"/>
      <c r="J590" s="70"/>
      <c r="K590" s="71"/>
      <c r="L590" s="71"/>
      <c r="M590" s="5"/>
    </row>
    <row r="591" spans="1:13" s="3" customFormat="1">
      <c r="A591" s="1"/>
      <c r="B591" s="8"/>
      <c r="C591" s="5"/>
      <c r="D591" s="12"/>
      <c r="E591" s="9"/>
      <c r="F591" s="9"/>
      <c r="G591" s="5"/>
      <c r="H591" s="16"/>
      <c r="I591" s="69"/>
      <c r="J591" s="70"/>
      <c r="K591" s="71"/>
      <c r="L591" s="71"/>
      <c r="M591" s="5"/>
    </row>
    <row r="592" spans="1:13" s="3" customFormat="1">
      <c r="A592" s="1"/>
      <c r="B592" s="8"/>
      <c r="C592" s="5"/>
      <c r="D592" s="12"/>
      <c r="E592" s="9"/>
      <c r="F592" s="9"/>
      <c r="G592" s="5"/>
      <c r="H592" s="16"/>
      <c r="I592" s="69"/>
      <c r="J592" s="70"/>
      <c r="K592" s="71"/>
      <c r="L592" s="71"/>
      <c r="M592" s="5"/>
    </row>
    <row r="593" spans="1:13" s="3" customFormat="1">
      <c r="A593" s="1"/>
      <c r="B593" s="8"/>
      <c r="C593" s="5"/>
      <c r="D593" s="12"/>
      <c r="E593" s="9"/>
      <c r="F593" s="9"/>
      <c r="G593" s="5"/>
      <c r="H593" s="16"/>
      <c r="I593" s="69"/>
      <c r="J593" s="70"/>
      <c r="K593" s="71"/>
      <c r="L593" s="71"/>
      <c r="M593" s="5"/>
    </row>
    <row r="594" spans="1:13" s="3" customFormat="1">
      <c r="A594" s="1"/>
      <c r="B594" s="8"/>
      <c r="C594" s="5"/>
      <c r="D594" s="12"/>
      <c r="E594" s="9"/>
      <c r="F594" s="9"/>
      <c r="G594" s="5"/>
      <c r="H594" s="16"/>
      <c r="I594" s="69"/>
      <c r="J594" s="70"/>
      <c r="K594" s="71"/>
      <c r="L594" s="71"/>
      <c r="M594" s="5"/>
    </row>
    <row r="595" spans="1:13" s="3" customFormat="1">
      <c r="A595" s="1"/>
      <c r="B595" s="8"/>
      <c r="C595" s="5"/>
      <c r="D595" s="12"/>
      <c r="E595" s="9"/>
      <c r="F595" s="9"/>
      <c r="G595" s="5"/>
      <c r="H595" s="16"/>
      <c r="I595" s="69"/>
      <c r="J595" s="70"/>
      <c r="K595" s="71"/>
      <c r="L595" s="71"/>
      <c r="M595" s="5"/>
    </row>
    <row r="596" spans="1:13" s="3" customFormat="1">
      <c r="A596" s="1"/>
      <c r="B596" s="8"/>
      <c r="C596" s="5"/>
      <c r="D596" s="12"/>
      <c r="E596" s="9"/>
      <c r="F596" s="9"/>
      <c r="G596" s="5"/>
      <c r="H596" s="16"/>
      <c r="I596" s="69"/>
      <c r="J596" s="70"/>
      <c r="K596" s="71"/>
      <c r="L596" s="71"/>
      <c r="M596" s="5"/>
    </row>
    <row r="597" spans="1:13" s="3" customFormat="1">
      <c r="A597" s="1"/>
      <c r="B597" s="8"/>
      <c r="C597" s="5"/>
      <c r="D597" s="12"/>
      <c r="E597" s="9"/>
      <c r="F597" s="9"/>
      <c r="G597" s="5"/>
      <c r="H597" s="16"/>
      <c r="I597" s="69"/>
      <c r="J597" s="70"/>
      <c r="K597" s="71"/>
      <c r="L597" s="71"/>
      <c r="M597" s="5"/>
    </row>
    <row r="598" spans="1:13" s="3" customFormat="1">
      <c r="A598" s="1"/>
      <c r="B598" s="8"/>
      <c r="C598" s="5"/>
      <c r="D598" s="12"/>
      <c r="E598" s="9"/>
      <c r="F598" s="9"/>
      <c r="G598" s="5"/>
      <c r="H598" s="16"/>
      <c r="I598" s="69"/>
      <c r="J598" s="70"/>
      <c r="K598" s="71"/>
      <c r="L598" s="71"/>
      <c r="M598" s="5"/>
    </row>
    <row r="599" spans="1:13" s="3" customFormat="1">
      <c r="A599" s="1"/>
      <c r="B599" s="8"/>
      <c r="C599" s="5"/>
      <c r="D599" s="12"/>
      <c r="E599" s="9"/>
      <c r="F599" s="9"/>
      <c r="G599" s="5"/>
      <c r="H599" s="16"/>
      <c r="I599" s="69"/>
      <c r="J599" s="70"/>
      <c r="K599" s="71"/>
      <c r="L599" s="71"/>
      <c r="M599" s="5"/>
    </row>
    <row r="600" spans="1:13" s="3" customFormat="1">
      <c r="A600" s="1"/>
      <c r="B600" s="8"/>
      <c r="C600" s="5"/>
      <c r="D600" s="12"/>
      <c r="E600" s="9"/>
      <c r="F600" s="9"/>
      <c r="G600" s="5"/>
      <c r="H600" s="16"/>
      <c r="I600" s="69"/>
      <c r="J600" s="70"/>
      <c r="K600" s="71"/>
      <c r="L600" s="71"/>
      <c r="M600" s="5"/>
    </row>
    <row r="601" spans="1:13" s="3" customFormat="1">
      <c r="A601" s="1"/>
      <c r="B601" s="8"/>
      <c r="C601" s="5"/>
      <c r="D601" s="12"/>
      <c r="E601" s="9"/>
      <c r="F601" s="9"/>
      <c r="G601" s="5"/>
      <c r="H601" s="16"/>
      <c r="I601" s="69"/>
      <c r="J601" s="70"/>
      <c r="K601" s="71"/>
      <c r="L601" s="71"/>
      <c r="M601" s="5"/>
    </row>
    <row r="602" spans="1:13" s="3" customFormat="1">
      <c r="A602" s="1"/>
      <c r="B602" s="8"/>
      <c r="C602" s="5"/>
      <c r="D602" s="12"/>
      <c r="E602" s="9"/>
      <c r="F602" s="9"/>
      <c r="G602" s="5"/>
      <c r="H602" s="16"/>
      <c r="I602" s="69"/>
      <c r="J602" s="70"/>
      <c r="K602" s="71"/>
      <c r="L602" s="71"/>
      <c r="M602" s="5"/>
    </row>
    <row r="603" spans="1:13" s="3" customFormat="1">
      <c r="A603" s="1"/>
      <c r="B603" s="8"/>
      <c r="C603" s="5"/>
      <c r="D603" s="12"/>
      <c r="E603" s="9"/>
      <c r="F603" s="9"/>
      <c r="G603" s="5"/>
      <c r="H603" s="16"/>
      <c r="I603" s="69"/>
      <c r="J603" s="70"/>
      <c r="K603" s="71"/>
      <c r="L603" s="71"/>
      <c r="M603" s="5"/>
    </row>
    <row r="604" spans="1:13" s="3" customFormat="1">
      <c r="A604" s="1"/>
      <c r="B604" s="8"/>
      <c r="C604" s="5"/>
      <c r="D604" s="12"/>
      <c r="E604" s="9"/>
      <c r="F604" s="9"/>
      <c r="G604" s="5"/>
      <c r="H604" s="16"/>
      <c r="I604" s="69"/>
      <c r="J604" s="70"/>
      <c r="K604" s="71"/>
      <c r="L604" s="71"/>
      <c r="M604" s="5"/>
    </row>
    <row r="605" spans="1:13" s="3" customFormat="1">
      <c r="A605" s="1"/>
      <c r="B605" s="8"/>
      <c r="C605" s="5"/>
      <c r="D605" s="12"/>
      <c r="E605" s="9"/>
      <c r="F605" s="9"/>
      <c r="G605" s="5"/>
      <c r="H605" s="16"/>
      <c r="I605" s="69"/>
      <c r="J605" s="70"/>
      <c r="K605" s="71"/>
      <c r="L605" s="71"/>
      <c r="M605" s="5"/>
    </row>
    <row r="606" spans="1:13" s="3" customFormat="1">
      <c r="A606" s="1"/>
      <c r="B606" s="8"/>
      <c r="C606" s="5"/>
      <c r="D606" s="12"/>
      <c r="E606" s="9"/>
      <c r="F606" s="9"/>
      <c r="G606" s="5"/>
      <c r="H606" s="16"/>
      <c r="I606" s="69"/>
      <c r="J606" s="70"/>
      <c r="K606" s="71"/>
      <c r="L606" s="71"/>
      <c r="M606" s="5"/>
    </row>
    <row r="607" spans="1:13" s="3" customFormat="1">
      <c r="A607" s="1"/>
      <c r="B607" s="8"/>
      <c r="C607" s="5"/>
      <c r="D607" s="12"/>
      <c r="E607" s="9"/>
      <c r="F607" s="9"/>
      <c r="G607" s="5"/>
      <c r="H607" s="16"/>
      <c r="I607" s="69"/>
      <c r="J607" s="70"/>
      <c r="K607" s="71"/>
      <c r="L607" s="71"/>
      <c r="M607" s="5"/>
    </row>
    <row r="608" spans="1:13" s="3" customFormat="1">
      <c r="A608" s="1"/>
      <c r="B608" s="8"/>
      <c r="C608" s="5"/>
      <c r="D608" s="12"/>
      <c r="E608" s="9"/>
      <c r="F608" s="9"/>
      <c r="G608" s="5"/>
      <c r="H608" s="16"/>
      <c r="I608" s="69"/>
      <c r="J608" s="70"/>
      <c r="K608" s="71"/>
      <c r="L608" s="71"/>
      <c r="M608" s="5"/>
    </row>
    <row r="609" spans="1:13" s="3" customFormat="1">
      <c r="A609" s="1"/>
      <c r="B609" s="8"/>
      <c r="C609" s="5"/>
      <c r="D609" s="12"/>
      <c r="E609" s="9"/>
      <c r="F609" s="9"/>
      <c r="G609" s="5"/>
      <c r="H609" s="16"/>
      <c r="I609" s="69"/>
      <c r="J609" s="70"/>
      <c r="K609" s="71"/>
      <c r="L609" s="71"/>
      <c r="M609" s="5"/>
    </row>
    <row r="610" spans="1:13" s="3" customFormat="1">
      <c r="A610" s="1"/>
      <c r="B610" s="8"/>
      <c r="C610" s="5"/>
      <c r="D610" s="12"/>
      <c r="E610" s="9"/>
      <c r="F610" s="9"/>
      <c r="G610" s="5"/>
      <c r="H610" s="16"/>
      <c r="I610" s="69"/>
      <c r="J610" s="70"/>
      <c r="K610" s="71"/>
      <c r="L610" s="71"/>
      <c r="M610" s="5"/>
    </row>
    <row r="611" spans="1:13" s="3" customFormat="1">
      <c r="A611" s="1"/>
      <c r="B611" s="8"/>
      <c r="C611" s="5"/>
      <c r="D611" s="12"/>
      <c r="E611" s="9"/>
      <c r="F611" s="9"/>
      <c r="G611" s="5"/>
      <c r="H611" s="16"/>
      <c r="I611" s="69"/>
      <c r="J611" s="70"/>
      <c r="K611" s="71"/>
      <c r="L611" s="71"/>
      <c r="M611" s="5"/>
    </row>
    <row r="612" spans="1:13" s="3" customFormat="1">
      <c r="A612" s="1"/>
      <c r="B612" s="8"/>
      <c r="C612" s="5"/>
      <c r="D612" s="12"/>
      <c r="E612" s="9"/>
      <c r="F612" s="9"/>
      <c r="G612" s="5"/>
      <c r="H612" s="16"/>
      <c r="I612" s="69"/>
      <c r="J612" s="70"/>
      <c r="K612" s="71"/>
      <c r="L612" s="71"/>
      <c r="M612" s="5"/>
    </row>
    <row r="613" spans="1:13" s="3" customFormat="1">
      <c r="A613" s="1"/>
      <c r="B613" s="8"/>
      <c r="C613" s="5"/>
      <c r="D613" s="12"/>
      <c r="E613" s="9"/>
      <c r="F613" s="9"/>
      <c r="G613" s="5"/>
      <c r="H613" s="16"/>
      <c r="I613" s="69"/>
      <c r="J613" s="70"/>
      <c r="K613" s="71"/>
      <c r="L613" s="71"/>
      <c r="M613" s="5"/>
    </row>
    <row r="614" spans="1:13" s="3" customFormat="1">
      <c r="A614" s="1"/>
      <c r="B614" s="8"/>
      <c r="C614" s="5"/>
      <c r="D614" s="12"/>
      <c r="E614" s="9"/>
      <c r="F614" s="9"/>
      <c r="G614" s="5"/>
      <c r="H614" s="16"/>
      <c r="I614" s="69"/>
      <c r="J614" s="70"/>
      <c r="K614" s="71"/>
      <c r="L614" s="71"/>
      <c r="M614" s="5"/>
    </row>
    <row r="615" spans="1:13" s="3" customFormat="1">
      <c r="A615" s="1"/>
      <c r="B615" s="8"/>
      <c r="C615" s="5"/>
      <c r="D615" s="12"/>
      <c r="E615" s="9"/>
      <c r="F615" s="9"/>
      <c r="G615" s="5"/>
      <c r="H615" s="16"/>
      <c r="I615" s="69"/>
      <c r="J615" s="70"/>
      <c r="K615" s="71"/>
      <c r="L615" s="71"/>
      <c r="M615" s="5"/>
    </row>
    <row r="616" spans="1:13" s="3" customFormat="1">
      <c r="A616" s="1"/>
      <c r="B616" s="8"/>
      <c r="C616" s="5"/>
      <c r="D616" s="12"/>
      <c r="E616" s="9"/>
      <c r="F616" s="9"/>
      <c r="G616" s="5"/>
      <c r="H616" s="16"/>
      <c r="I616" s="69"/>
      <c r="J616" s="70"/>
      <c r="K616" s="71"/>
      <c r="L616" s="71"/>
      <c r="M616" s="5"/>
    </row>
    <row r="617" spans="1:13" s="3" customFormat="1">
      <c r="A617" s="1"/>
      <c r="B617" s="8"/>
      <c r="C617" s="5"/>
      <c r="D617" s="12"/>
      <c r="E617" s="9"/>
      <c r="F617" s="9"/>
      <c r="G617" s="5"/>
      <c r="H617" s="16"/>
      <c r="I617" s="69"/>
      <c r="J617" s="70"/>
      <c r="K617" s="71"/>
      <c r="L617" s="71"/>
      <c r="M617" s="5"/>
    </row>
    <row r="618" spans="1:13" s="3" customFormat="1">
      <c r="A618" s="1"/>
      <c r="B618" s="8"/>
      <c r="C618" s="5"/>
      <c r="D618" s="12"/>
      <c r="E618" s="9"/>
      <c r="F618" s="9"/>
      <c r="G618" s="5"/>
      <c r="H618" s="16"/>
      <c r="I618" s="69"/>
      <c r="J618" s="70"/>
      <c r="K618" s="71"/>
      <c r="L618" s="71"/>
      <c r="M618" s="5"/>
    </row>
    <row r="619" spans="1:13" s="3" customFormat="1">
      <c r="A619" s="1"/>
      <c r="B619" s="8"/>
      <c r="C619" s="5"/>
      <c r="D619" s="12"/>
      <c r="E619" s="9"/>
      <c r="F619" s="9"/>
      <c r="G619" s="5"/>
      <c r="H619" s="16"/>
      <c r="I619" s="69"/>
      <c r="J619" s="70"/>
      <c r="K619" s="71"/>
      <c r="L619" s="71"/>
      <c r="M619" s="5"/>
    </row>
    <row r="620" spans="1:13" s="3" customFormat="1">
      <c r="A620" s="1"/>
      <c r="B620" s="8"/>
      <c r="C620" s="5"/>
      <c r="D620" s="12"/>
      <c r="E620" s="9"/>
      <c r="F620" s="9"/>
      <c r="G620" s="5"/>
      <c r="H620" s="16"/>
      <c r="I620" s="69"/>
      <c r="J620" s="70"/>
      <c r="K620" s="71"/>
      <c r="L620" s="71"/>
      <c r="M620" s="5"/>
    </row>
    <row r="621" spans="1:13" s="3" customFormat="1">
      <c r="A621" s="1"/>
      <c r="B621" s="8"/>
      <c r="C621" s="5"/>
      <c r="D621" s="12"/>
      <c r="E621" s="9"/>
      <c r="F621" s="9"/>
      <c r="G621" s="5"/>
      <c r="H621" s="16"/>
      <c r="I621" s="69"/>
      <c r="J621" s="70"/>
      <c r="K621" s="71"/>
      <c r="L621" s="71"/>
      <c r="M621" s="5"/>
    </row>
    <row r="622" spans="1:13" s="3" customFormat="1">
      <c r="A622" s="1"/>
      <c r="B622" s="8"/>
      <c r="C622" s="5"/>
      <c r="D622" s="12"/>
      <c r="E622" s="9"/>
      <c r="F622" s="9"/>
      <c r="G622" s="5"/>
      <c r="H622" s="16"/>
      <c r="I622" s="69"/>
      <c r="J622" s="70"/>
      <c r="K622" s="71"/>
      <c r="L622" s="71"/>
      <c r="M622" s="5"/>
    </row>
    <row r="623" spans="1:13" s="3" customFormat="1">
      <c r="A623" s="1"/>
      <c r="B623" s="8"/>
      <c r="C623" s="5"/>
      <c r="D623" s="12"/>
      <c r="E623" s="9"/>
      <c r="F623" s="9"/>
      <c r="G623" s="5"/>
      <c r="H623" s="16"/>
      <c r="I623" s="69"/>
      <c r="J623" s="70"/>
      <c r="K623" s="71"/>
      <c r="L623" s="71"/>
      <c r="M623" s="5"/>
    </row>
    <row r="624" spans="1:13" s="3" customFormat="1">
      <c r="A624" s="1"/>
      <c r="B624" s="8"/>
      <c r="C624" s="5"/>
      <c r="D624" s="12"/>
      <c r="E624" s="9"/>
      <c r="F624" s="9"/>
      <c r="G624" s="5"/>
      <c r="H624" s="16"/>
      <c r="I624" s="69"/>
      <c r="J624" s="70"/>
      <c r="K624" s="71"/>
      <c r="L624" s="71"/>
      <c r="M624" s="5"/>
    </row>
    <row r="625" spans="1:13" s="3" customFormat="1">
      <c r="A625" s="1"/>
      <c r="B625" s="8"/>
      <c r="C625" s="5"/>
      <c r="D625" s="12"/>
      <c r="E625" s="9"/>
      <c r="F625" s="9"/>
      <c r="G625" s="5"/>
      <c r="H625" s="16"/>
      <c r="I625" s="69"/>
      <c r="J625" s="70"/>
      <c r="K625" s="71"/>
      <c r="L625" s="71"/>
      <c r="M625" s="5"/>
    </row>
    <row r="626" spans="1:13" s="3" customFormat="1">
      <c r="A626" s="1"/>
      <c r="B626" s="8"/>
      <c r="C626" s="5"/>
      <c r="D626" s="12"/>
      <c r="E626" s="9"/>
      <c r="F626" s="9"/>
      <c r="G626" s="5"/>
      <c r="H626" s="16"/>
      <c r="I626" s="69"/>
      <c r="J626" s="70"/>
      <c r="K626" s="71"/>
      <c r="L626" s="71"/>
      <c r="M626" s="5"/>
    </row>
    <row r="627" spans="1:13" s="3" customFormat="1">
      <c r="A627" s="1"/>
      <c r="B627" s="8"/>
      <c r="C627" s="5"/>
      <c r="D627" s="12"/>
      <c r="E627" s="9"/>
      <c r="F627" s="9"/>
      <c r="G627" s="5"/>
      <c r="H627" s="16"/>
      <c r="I627" s="69"/>
      <c r="J627" s="70"/>
      <c r="K627" s="71"/>
      <c r="L627" s="71"/>
      <c r="M627" s="5"/>
    </row>
    <row r="628" spans="1:13" s="3" customFormat="1">
      <c r="A628" s="1"/>
      <c r="B628" s="8"/>
      <c r="C628" s="5"/>
      <c r="D628" s="12"/>
      <c r="E628" s="9"/>
      <c r="F628" s="9"/>
      <c r="G628" s="5"/>
      <c r="H628" s="16"/>
      <c r="I628" s="69"/>
      <c r="J628" s="70"/>
      <c r="K628" s="71"/>
      <c r="L628" s="71"/>
      <c r="M628" s="5"/>
    </row>
    <row r="629" spans="1:13" s="3" customFormat="1">
      <c r="A629" s="1"/>
      <c r="B629" s="8"/>
      <c r="C629" s="5"/>
      <c r="D629" s="12"/>
      <c r="E629" s="9"/>
      <c r="F629" s="9"/>
      <c r="G629" s="5"/>
      <c r="H629" s="16"/>
      <c r="I629" s="69"/>
      <c r="J629" s="70"/>
      <c r="K629" s="71"/>
      <c r="L629" s="71"/>
      <c r="M629" s="5"/>
    </row>
    <row r="630" spans="1:13" s="3" customFormat="1">
      <c r="A630" s="1"/>
      <c r="B630" s="8"/>
      <c r="C630" s="5"/>
      <c r="D630" s="12"/>
      <c r="E630" s="9"/>
      <c r="F630" s="9"/>
      <c r="G630" s="5"/>
      <c r="H630" s="16"/>
      <c r="I630" s="69"/>
      <c r="J630" s="70"/>
      <c r="K630" s="71"/>
      <c r="L630" s="71"/>
      <c r="M630" s="5"/>
    </row>
    <row r="631" spans="1:13" s="3" customFormat="1">
      <c r="A631" s="1"/>
      <c r="B631" s="8"/>
      <c r="C631" s="5"/>
      <c r="D631" s="12"/>
      <c r="E631" s="9"/>
      <c r="F631" s="9"/>
      <c r="G631" s="5"/>
      <c r="H631" s="16"/>
      <c r="I631" s="69"/>
      <c r="J631" s="70"/>
      <c r="K631" s="71"/>
      <c r="L631" s="71"/>
      <c r="M631" s="5"/>
    </row>
    <row r="632" spans="1:13" s="3" customFormat="1">
      <c r="A632" s="1"/>
      <c r="B632" s="8"/>
      <c r="C632" s="5"/>
      <c r="D632" s="12"/>
      <c r="E632" s="9"/>
      <c r="F632" s="9"/>
      <c r="G632" s="5"/>
      <c r="H632" s="16"/>
      <c r="I632" s="69"/>
      <c r="J632" s="70"/>
      <c r="K632" s="71"/>
      <c r="L632" s="71"/>
      <c r="M632" s="5"/>
    </row>
    <row r="633" spans="1:13" s="3" customFormat="1">
      <c r="A633" s="1"/>
      <c r="B633" s="8"/>
      <c r="C633" s="5"/>
      <c r="D633" s="12"/>
      <c r="E633" s="9"/>
      <c r="F633" s="9"/>
      <c r="G633" s="5"/>
      <c r="H633" s="16"/>
      <c r="I633" s="69"/>
      <c r="J633" s="70"/>
      <c r="K633" s="71"/>
      <c r="L633" s="71"/>
      <c r="M633" s="5"/>
    </row>
    <row r="634" spans="1:13" s="3" customFormat="1">
      <c r="A634" s="1"/>
      <c r="B634" s="8"/>
      <c r="C634" s="5"/>
      <c r="D634" s="12"/>
      <c r="E634" s="9"/>
      <c r="F634" s="9"/>
      <c r="G634" s="5"/>
      <c r="H634" s="16"/>
      <c r="I634" s="69"/>
      <c r="J634" s="70"/>
      <c r="K634" s="71"/>
      <c r="L634" s="71"/>
      <c r="M634" s="5"/>
    </row>
    <row r="635" spans="1:13" s="3" customFormat="1">
      <c r="A635" s="1"/>
      <c r="B635" s="8"/>
      <c r="C635" s="5"/>
      <c r="D635" s="12"/>
      <c r="E635" s="9"/>
      <c r="F635" s="9"/>
      <c r="G635" s="5"/>
      <c r="H635" s="16"/>
      <c r="I635" s="69"/>
      <c r="J635" s="70"/>
      <c r="K635" s="71"/>
      <c r="L635" s="71"/>
      <c r="M635" s="5"/>
    </row>
    <row r="636" spans="1:13" s="3" customFormat="1">
      <c r="A636" s="1"/>
      <c r="B636" s="8"/>
      <c r="C636" s="5"/>
      <c r="D636" s="12"/>
      <c r="E636" s="9"/>
      <c r="F636" s="9"/>
      <c r="G636" s="5"/>
      <c r="H636" s="16"/>
      <c r="I636" s="69"/>
      <c r="J636" s="70"/>
      <c r="K636" s="71"/>
      <c r="L636" s="71"/>
      <c r="M636" s="5"/>
    </row>
    <row r="637" spans="1:13" s="3" customFormat="1">
      <c r="A637" s="1"/>
      <c r="B637" s="8"/>
      <c r="C637" s="5"/>
      <c r="D637" s="12"/>
      <c r="E637" s="9"/>
      <c r="F637" s="9"/>
      <c r="G637" s="5"/>
      <c r="H637" s="16"/>
      <c r="I637" s="69"/>
      <c r="J637" s="70"/>
      <c r="K637" s="71"/>
      <c r="L637" s="71"/>
      <c r="M637" s="5"/>
    </row>
    <row r="638" spans="1:13" s="3" customFormat="1">
      <c r="A638" s="1"/>
      <c r="B638" s="8"/>
      <c r="C638" s="5"/>
      <c r="D638" s="12"/>
      <c r="E638" s="9"/>
      <c r="F638" s="9"/>
      <c r="G638" s="5"/>
      <c r="H638" s="16"/>
      <c r="I638" s="69"/>
      <c r="J638" s="70"/>
      <c r="K638" s="71"/>
      <c r="L638" s="71"/>
      <c r="M638" s="5"/>
    </row>
    <row r="639" spans="1:13" s="3" customFormat="1">
      <c r="A639" s="1"/>
      <c r="B639" s="8"/>
      <c r="C639" s="5"/>
      <c r="D639" s="12"/>
      <c r="E639" s="9"/>
      <c r="F639" s="9"/>
      <c r="G639" s="5"/>
      <c r="H639" s="16"/>
      <c r="I639" s="69"/>
      <c r="J639" s="70"/>
      <c r="K639" s="71"/>
      <c r="L639" s="71"/>
      <c r="M639" s="5"/>
    </row>
    <row r="640" spans="1:13" s="3" customFormat="1">
      <c r="A640" s="1"/>
      <c r="B640" s="8"/>
      <c r="C640" s="5"/>
      <c r="D640" s="12"/>
      <c r="E640" s="9"/>
      <c r="F640" s="9"/>
      <c r="G640" s="5"/>
      <c r="H640" s="16"/>
      <c r="I640" s="69"/>
      <c r="J640" s="70"/>
      <c r="K640" s="71"/>
      <c r="L640" s="71"/>
      <c r="M640" s="5"/>
    </row>
    <row r="641" spans="1:13" s="3" customFormat="1">
      <c r="A641" s="1"/>
      <c r="B641" s="8"/>
      <c r="C641" s="5"/>
      <c r="D641" s="12"/>
      <c r="E641" s="9"/>
      <c r="F641" s="9"/>
      <c r="G641" s="5"/>
      <c r="H641" s="16"/>
      <c r="I641" s="69"/>
      <c r="J641" s="70"/>
      <c r="K641" s="71"/>
      <c r="L641" s="71"/>
      <c r="M641" s="5"/>
    </row>
    <row r="642" spans="1:13" s="3" customFormat="1">
      <c r="A642" s="1"/>
      <c r="B642" s="8"/>
      <c r="C642" s="5"/>
      <c r="D642" s="12"/>
      <c r="E642" s="9"/>
      <c r="F642" s="9"/>
      <c r="G642" s="5"/>
      <c r="H642" s="16"/>
      <c r="I642" s="69"/>
      <c r="J642" s="70"/>
      <c r="K642" s="71"/>
      <c r="L642" s="71"/>
      <c r="M642" s="5"/>
    </row>
    <row r="643" spans="1:13" s="3" customFormat="1">
      <c r="A643" s="1"/>
      <c r="B643" s="8"/>
      <c r="C643" s="5"/>
      <c r="D643" s="12"/>
      <c r="E643" s="9"/>
      <c r="F643" s="9"/>
      <c r="G643" s="5"/>
      <c r="H643" s="16"/>
      <c r="I643" s="69"/>
      <c r="J643" s="70"/>
      <c r="K643" s="71"/>
      <c r="L643" s="71"/>
      <c r="M643" s="5"/>
    </row>
    <row r="644" spans="1:13" s="3" customFormat="1">
      <c r="A644" s="1"/>
      <c r="B644" s="8"/>
      <c r="C644" s="5"/>
      <c r="D644" s="12"/>
      <c r="E644" s="9"/>
      <c r="F644" s="9"/>
      <c r="G644" s="5"/>
      <c r="H644" s="16"/>
      <c r="I644" s="69"/>
      <c r="J644" s="70"/>
      <c r="K644" s="71"/>
      <c r="L644" s="71"/>
      <c r="M644" s="5"/>
    </row>
    <row r="645" spans="1:13" s="3" customFormat="1">
      <c r="A645" s="1"/>
      <c r="B645" s="8"/>
      <c r="C645" s="5"/>
      <c r="D645" s="12"/>
      <c r="E645" s="9"/>
      <c r="F645" s="9"/>
      <c r="G645" s="5"/>
      <c r="H645" s="16"/>
      <c r="I645" s="69"/>
      <c r="J645" s="70"/>
      <c r="K645" s="71"/>
      <c r="L645" s="71"/>
      <c r="M645" s="5"/>
    </row>
    <row r="646" spans="1:13" s="3" customFormat="1">
      <c r="A646" s="1"/>
      <c r="B646" s="8"/>
      <c r="C646" s="5"/>
      <c r="D646" s="12"/>
      <c r="E646" s="9"/>
      <c r="F646" s="9"/>
      <c r="G646" s="5"/>
      <c r="H646" s="16"/>
      <c r="I646" s="69"/>
      <c r="J646" s="70"/>
      <c r="K646" s="71"/>
      <c r="L646" s="71"/>
      <c r="M646" s="5"/>
    </row>
    <row r="647" spans="1:13" s="3" customFormat="1">
      <c r="A647" s="1"/>
      <c r="B647" s="8"/>
      <c r="C647" s="5"/>
      <c r="D647" s="12"/>
      <c r="E647" s="9"/>
      <c r="F647" s="9"/>
      <c r="G647" s="5"/>
      <c r="H647" s="16"/>
      <c r="I647" s="69"/>
      <c r="J647" s="70"/>
      <c r="K647" s="71"/>
      <c r="L647" s="71"/>
      <c r="M647" s="5"/>
    </row>
    <row r="648" spans="1:13" s="3" customFormat="1">
      <c r="A648" s="1"/>
      <c r="B648" s="8"/>
      <c r="C648" s="5"/>
      <c r="D648" s="12"/>
      <c r="E648" s="9"/>
      <c r="F648" s="9"/>
      <c r="G648" s="5"/>
      <c r="H648" s="16"/>
      <c r="I648" s="69"/>
      <c r="J648" s="70"/>
      <c r="K648" s="71"/>
      <c r="L648" s="71"/>
      <c r="M648" s="5"/>
    </row>
    <row r="649" spans="1:13" s="3" customFormat="1">
      <c r="A649" s="1"/>
      <c r="B649" s="8"/>
      <c r="C649" s="5"/>
      <c r="D649" s="12"/>
      <c r="E649" s="9"/>
      <c r="F649" s="9"/>
      <c r="G649" s="5"/>
      <c r="H649" s="16"/>
      <c r="I649" s="69"/>
      <c r="J649" s="70"/>
      <c r="K649" s="71"/>
      <c r="L649" s="71"/>
      <c r="M649" s="5"/>
    </row>
    <row r="650" spans="1:13" s="3" customFormat="1">
      <c r="A650" s="1"/>
      <c r="B650" s="8"/>
      <c r="C650" s="5"/>
      <c r="D650" s="12"/>
      <c r="E650" s="9"/>
      <c r="F650" s="9"/>
      <c r="G650" s="5"/>
      <c r="H650" s="16"/>
      <c r="I650" s="69"/>
      <c r="J650" s="70"/>
      <c r="K650" s="71"/>
      <c r="L650" s="71"/>
      <c r="M650" s="5"/>
    </row>
    <row r="651" spans="1:13" s="3" customFormat="1">
      <c r="A651" s="1"/>
      <c r="B651" s="8"/>
      <c r="C651" s="5"/>
      <c r="D651" s="12"/>
      <c r="E651" s="9"/>
      <c r="F651" s="9"/>
      <c r="G651" s="5"/>
      <c r="H651" s="16"/>
      <c r="I651" s="69"/>
      <c r="J651" s="70"/>
      <c r="K651" s="71"/>
      <c r="L651" s="71"/>
      <c r="M651" s="5"/>
    </row>
    <row r="652" spans="1:13" s="3" customFormat="1">
      <c r="A652" s="1"/>
      <c r="B652" s="8"/>
      <c r="C652" s="5"/>
      <c r="D652" s="12"/>
      <c r="E652" s="9"/>
      <c r="F652" s="9"/>
      <c r="G652" s="5"/>
      <c r="H652" s="16"/>
      <c r="I652" s="69"/>
      <c r="J652" s="70"/>
      <c r="K652" s="71"/>
      <c r="L652" s="71"/>
      <c r="M652" s="5"/>
    </row>
    <row r="653" spans="1:13" s="3" customFormat="1">
      <c r="A653" s="1"/>
      <c r="B653" s="8"/>
      <c r="C653" s="5"/>
      <c r="D653" s="12"/>
      <c r="E653" s="9"/>
      <c r="F653" s="9"/>
      <c r="G653" s="5"/>
      <c r="H653" s="16"/>
      <c r="I653" s="69"/>
      <c r="J653" s="70"/>
      <c r="K653" s="71"/>
      <c r="L653" s="71"/>
      <c r="M653" s="5"/>
    </row>
    <row r="654" spans="1:13" s="3" customFormat="1">
      <c r="A654" s="1"/>
      <c r="B654" s="8"/>
      <c r="C654" s="5"/>
      <c r="D654" s="12"/>
      <c r="E654" s="9"/>
      <c r="F654" s="9"/>
      <c r="G654" s="5"/>
      <c r="H654" s="16"/>
      <c r="I654" s="69"/>
      <c r="J654" s="70"/>
      <c r="K654" s="71"/>
      <c r="L654" s="71"/>
      <c r="M654" s="5"/>
    </row>
    <row r="655" spans="1:13" s="3" customFormat="1">
      <c r="A655" s="1"/>
      <c r="B655" s="8"/>
      <c r="C655" s="5"/>
      <c r="D655" s="12"/>
      <c r="E655" s="9"/>
      <c r="F655" s="9"/>
      <c r="G655" s="5"/>
      <c r="H655" s="16"/>
      <c r="I655" s="69"/>
      <c r="J655" s="70"/>
      <c r="K655" s="71"/>
      <c r="L655" s="71"/>
      <c r="M655" s="5"/>
    </row>
    <row r="656" spans="1:13" s="3" customFormat="1">
      <c r="A656" s="1"/>
      <c r="B656" s="8"/>
      <c r="C656" s="5"/>
      <c r="D656" s="12"/>
      <c r="E656" s="9"/>
      <c r="F656" s="9"/>
      <c r="G656" s="5"/>
      <c r="H656" s="16"/>
      <c r="I656" s="69"/>
      <c r="J656" s="70"/>
      <c r="K656" s="71"/>
      <c r="L656" s="71"/>
      <c r="M656" s="5"/>
    </row>
    <row r="657" spans="1:13" s="3" customFormat="1">
      <c r="A657" s="1"/>
      <c r="B657" s="8"/>
      <c r="C657" s="5"/>
      <c r="D657" s="12"/>
      <c r="E657" s="9"/>
      <c r="F657" s="9"/>
      <c r="G657" s="5"/>
      <c r="H657" s="16"/>
      <c r="I657" s="69"/>
      <c r="J657" s="70"/>
      <c r="K657" s="71"/>
      <c r="L657" s="71"/>
      <c r="M657" s="5"/>
    </row>
    <row r="658" spans="1:13" s="3" customFormat="1">
      <c r="A658" s="1"/>
      <c r="B658" s="8"/>
      <c r="C658" s="5"/>
      <c r="D658" s="12"/>
      <c r="E658" s="9"/>
      <c r="F658" s="9"/>
      <c r="G658" s="5"/>
      <c r="H658" s="16"/>
      <c r="I658" s="69"/>
      <c r="J658" s="70"/>
      <c r="K658" s="71"/>
      <c r="L658" s="71"/>
      <c r="M658" s="5"/>
    </row>
    <row r="659" spans="1:13" s="3" customFormat="1">
      <c r="A659" s="1"/>
      <c r="B659" s="8"/>
      <c r="C659" s="5"/>
      <c r="D659" s="12"/>
      <c r="E659" s="9"/>
      <c r="F659" s="9"/>
      <c r="G659" s="5"/>
      <c r="H659" s="16"/>
      <c r="I659" s="69"/>
      <c r="J659" s="70"/>
      <c r="K659" s="71"/>
      <c r="L659" s="71"/>
      <c r="M659" s="5"/>
    </row>
    <row r="660" spans="1:13" s="3" customFormat="1">
      <c r="A660" s="1"/>
      <c r="B660" s="8"/>
      <c r="C660" s="5"/>
      <c r="D660" s="12"/>
      <c r="E660" s="9"/>
      <c r="F660" s="9"/>
      <c r="G660" s="5"/>
      <c r="H660" s="16"/>
      <c r="I660" s="69"/>
      <c r="J660" s="70"/>
      <c r="K660" s="71"/>
      <c r="L660" s="71"/>
      <c r="M660" s="5"/>
    </row>
    <row r="661" spans="1:13" s="3" customFormat="1">
      <c r="A661" s="1"/>
      <c r="B661" s="8"/>
      <c r="C661" s="5"/>
      <c r="D661" s="12"/>
      <c r="E661" s="9"/>
      <c r="F661" s="9"/>
      <c r="G661" s="5"/>
      <c r="H661" s="16"/>
      <c r="I661" s="69"/>
      <c r="J661" s="70"/>
      <c r="K661" s="71"/>
      <c r="L661" s="71"/>
      <c r="M661" s="5"/>
    </row>
    <row r="662" spans="1:13" s="3" customFormat="1">
      <c r="A662" s="1"/>
      <c r="B662" s="8"/>
      <c r="C662" s="5"/>
      <c r="D662" s="12"/>
      <c r="E662" s="9"/>
      <c r="F662" s="9"/>
      <c r="G662" s="5"/>
      <c r="H662" s="16"/>
      <c r="I662" s="69"/>
      <c r="J662" s="70"/>
      <c r="K662" s="71"/>
      <c r="L662" s="71"/>
      <c r="M662" s="5"/>
    </row>
    <row r="663" spans="1:13" s="3" customFormat="1">
      <c r="A663" s="1"/>
      <c r="B663" s="8"/>
      <c r="C663" s="5"/>
      <c r="D663" s="12"/>
      <c r="E663" s="9"/>
      <c r="F663" s="9"/>
      <c r="G663" s="5"/>
      <c r="H663" s="16"/>
      <c r="I663" s="69"/>
      <c r="J663" s="70"/>
      <c r="K663" s="71"/>
      <c r="L663" s="71"/>
      <c r="M663" s="5"/>
    </row>
    <row r="664" spans="1:13" s="3" customFormat="1">
      <c r="A664" s="1"/>
      <c r="B664" s="8"/>
      <c r="C664" s="5"/>
      <c r="D664" s="12"/>
      <c r="E664" s="9"/>
      <c r="F664" s="9"/>
      <c r="G664" s="5"/>
      <c r="H664" s="16"/>
      <c r="I664" s="69"/>
      <c r="J664" s="70"/>
      <c r="K664" s="71"/>
      <c r="L664" s="71"/>
      <c r="M664" s="5"/>
    </row>
    <row r="665" spans="1:13" s="3" customFormat="1">
      <c r="A665" s="1"/>
      <c r="B665" s="8"/>
      <c r="C665" s="5"/>
      <c r="D665" s="12"/>
      <c r="E665" s="9"/>
      <c r="F665" s="9"/>
      <c r="G665" s="5"/>
      <c r="H665" s="16"/>
      <c r="I665" s="69"/>
      <c r="J665" s="70"/>
      <c r="K665" s="71"/>
      <c r="L665" s="71"/>
      <c r="M665" s="5"/>
    </row>
    <row r="666" spans="1:13" s="3" customFormat="1">
      <c r="A666" s="1"/>
      <c r="B666" s="8"/>
      <c r="C666" s="5"/>
      <c r="D666" s="12"/>
      <c r="E666" s="9"/>
      <c r="F666" s="9"/>
      <c r="G666" s="5"/>
      <c r="H666" s="16"/>
      <c r="I666" s="69"/>
      <c r="J666" s="70"/>
      <c r="K666" s="71"/>
      <c r="L666" s="71"/>
      <c r="M666" s="5"/>
    </row>
    <row r="667" spans="1:13" s="3" customFormat="1">
      <c r="A667" s="1"/>
      <c r="B667" s="8"/>
      <c r="C667" s="5"/>
      <c r="D667" s="12"/>
      <c r="E667" s="9"/>
      <c r="F667" s="9"/>
      <c r="G667" s="5"/>
      <c r="H667" s="16"/>
      <c r="I667" s="69"/>
      <c r="J667" s="70"/>
      <c r="K667" s="71"/>
      <c r="L667" s="71"/>
      <c r="M667" s="5"/>
    </row>
    <row r="668" spans="1:13" s="3" customFormat="1">
      <c r="A668" s="1"/>
      <c r="B668" s="8"/>
      <c r="C668" s="5"/>
      <c r="D668" s="12"/>
      <c r="E668" s="9"/>
      <c r="F668" s="9"/>
      <c r="G668" s="5"/>
      <c r="H668" s="16"/>
      <c r="I668" s="69"/>
      <c r="J668" s="70"/>
      <c r="K668" s="71"/>
      <c r="L668" s="71"/>
      <c r="M668" s="5"/>
    </row>
    <row r="669" spans="1:13" s="3" customFormat="1">
      <c r="A669" s="1"/>
      <c r="B669" s="8"/>
      <c r="C669" s="5"/>
      <c r="D669" s="12"/>
      <c r="E669" s="9"/>
      <c r="F669" s="9"/>
      <c r="G669" s="5"/>
      <c r="H669" s="16"/>
      <c r="I669" s="69"/>
      <c r="J669" s="70"/>
      <c r="K669" s="71"/>
      <c r="L669" s="71"/>
      <c r="M669" s="5"/>
    </row>
    <row r="670" spans="1:13" s="3" customFormat="1">
      <c r="A670" s="1"/>
      <c r="B670" s="8"/>
      <c r="C670" s="5"/>
      <c r="D670" s="12"/>
      <c r="E670" s="9"/>
      <c r="F670" s="9"/>
      <c r="G670" s="5"/>
      <c r="H670" s="16"/>
      <c r="I670" s="69"/>
      <c r="J670" s="70"/>
      <c r="K670" s="71"/>
      <c r="L670" s="71"/>
      <c r="M670" s="5"/>
    </row>
    <row r="671" spans="1:13" s="3" customFormat="1">
      <c r="A671" s="1"/>
      <c r="B671" s="8"/>
      <c r="C671" s="5"/>
      <c r="D671" s="12"/>
      <c r="E671" s="9"/>
      <c r="F671" s="9"/>
      <c r="G671" s="5"/>
      <c r="H671" s="16"/>
      <c r="I671" s="69"/>
      <c r="J671" s="70"/>
      <c r="K671" s="71"/>
      <c r="L671" s="71"/>
      <c r="M671" s="5"/>
    </row>
    <row r="672" spans="1:13" s="3" customFormat="1">
      <c r="A672" s="1"/>
      <c r="B672" s="8"/>
      <c r="C672" s="5"/>
      <c r="D672" s="12"/>
      <c r="E672" s="9"/>
      <c r="F672" s="9"/>
      <c r="G672" s="5"/>
      <c r="H672" s="16"/>
      <c r="I672" s="69"/>
      <c r="J672" s="70"/>
      <c r="K672" s="71"/>
      <c r="L672" s="71"/>
      <c r="M672" s="5"/>
    </row>
    <row r="673" spans="1:13" s="3" customFormat="1">
      <c r="A673" s="1"/>
      <c r="B673" s="8"/>
      <c r="C673" s="5"/>
      <c r="D673" s="12"/>
      <c r="E673" s="9"/>
      <c r="F673" s="9"/>
      <c r="G673" s="5"/>
      <c r="H673" s="16"/>
      <c r="I673" s="69"/>
      <c r="J673" s="70"/>
      <c r="K673" s="71"/>
      <c r="L673" s="71"/>
      <c r="M673" s="5"/>
    </row>
    <row r="674" spans="1:13" s="3" customFormat="1">
      <c r="A674" s="1"/>
      <c r="B674" s="8"/>
      <c r="C674" s="5"/>
      <c r="D674" s="12"/>
      <c r="E674" s="9"/>
      <c r="F674" s="9"/>
      <c r="G674" s="5"/>
      <c r="H674" s="16"/>
      <c r="I674" s="69"/>
      <c r="J674" s="70"/>
      <c r="K674" s="71"/>
      <c r="L674" s="71"/>
      <c r="M674" s="5"/>
    </row>
    <row r="675" spans="1:13" s="3" customFormat="1">
      <c r="A675" s="1"/>
      <c r="B675" s="8"/>
      <c r="C675" s="5"/>
      <c r="D675" s="12"/>
      <c r="E675" s="9"/>
      <c r="F675" s="9"/>
      <c r="G675" s="5"/>
      <c r="H675" s="16"/>
      <c r="I675" s="69"/>
      <c r="J675" s="70"/>
      <c r="K675" s="71"/>
      <c r="L675" s="71"/>
      <c r="M675" s="5"/>
    </row>
    <row r="676" spans="1:13" s="3" customFormat="1">
      <c r="A676" s="1"/>
      <c r="B676" s="8"/>
      <c r="C676" s="5"/>
      <c r="D676" s="12"/>
      <c r="E676" s="9"/>
      <c r="F676" s="9"/>
      <c r="G676" s="5"/>
      <c r="H676" s="16"/>
      <c r="I676" s="69"/>
      <c r="J676" s="70"/>
      <c r="K676" s="71"/>
      <c r="L676" s="71"/>
      <c r="M676" s="5"/>
    </row>
    <row r="677" spans="1:13" s="3" customFormat="1">
      <c r="A677" s="1"/>
      <c r="B677" s="8"/>
      <c r="C677" s="5"/>
      <c r="D677" s="12"/>
      <c r="E677" s="9"/>
      <c r="F677" s="9"/>
      <c r="G677" s="5"/>
      <c r="H677" s="16"/>
      <c r="I677" s="69"/>
      <c r="J677" s="70"/>
      <c r="K677" s="71"/>
      <c r="L677" s="71"/>
      <c r="M677" s="5"/>
    </row>
    <row r="678" spans="1:13" s="3" customFormat="1">
      <c r="A678" s="1"/>
      <c r="B678" s="8"/>
      <c r="C678" s="5"/>
      <c r="D678" s="12"/>
      <c r="E678" s="9"/>
      <c r="F678" s="9"/>
      <c r="G678" s="5"/>
      <c r="H678" s="16"/>
      <c r="I678" s="69"/>
      <c r="J678" s="70"/>
      <c r="K678" s="71"/>
      <c r="L678" s="71"/>
      <c r="M678" s="5"/>
    </row>
    <row r="679" spans="1:13" s="3" customFormat="1">
      <c r="A679" s="1"/>
      <c r="B679" s="8"/>
      <c r="C679" s="5"/>
      <c r="D679" s="12"/>
      <c r="E679" s="9"/>
      <c r="F679" s="9"/>
      <c r="G679" s="5"/>
      <c r="H679" s="16"/>
      <c r="I679" s="69"/>
      <c r="J679" s="70"/>
      <c r="K679" s="71"/>
      <c r="L679" s="71"/>
      <c r="M679" s="5"/>
    </row>
    <row r="680" spans="1:13" s="3" customFormat="1">
      <c r="A680" s="1"/>
      <c r="B680" s="8"/>
      <c r="C680" s="5"/>
      <c r="D680" s="12"/>
      <c r="E680" s="9"/>
      <c r="F680" s="9"/>
      <c r="G680" s="5"/>
      <c r="H680" s="16"/>
      <c r="I680" s="69"/>
      <c r="J680" s="70"/>
      <c r="K680" s="71"/>
      <c r="L680" s="71"/>
      <c r="M680" s="5"/>
    </row>
    <row r="681" spans="1:13" s="3" customFormat="1">
      <c r="A681" s="1"/>
      <c r="B681" s="8"/>
      <c r="C681" s="5"/>
      <c r="D681" s="12"/>
      <c r="E681" s="9"/>
      <c r="F681" s="9"/>
      <c r="G681" s="5"/>
      <c r="H681" s="16"/>
      <c r="I681" s="69"/>
      <c r="J681" s="70"/>
      <c r="K681" s="71"/>
      <c r="L681" s="71"/>
      <c r="M681" s="5"/>
    </row>
    <row r="682" spans="1:13" s="3" customFormat="1">
      <c r="A682" s="1"/>
      <c r="B682" s="8"/>
      <c r="C682" s="5"/>
      <c r="D682" s="12"/>
      <c r="E682" s="9"/>
      <c r="F682" s="9"/>
      <c r="G682" s="5"/>
      <c r="H682" s="16"/>
      <c r="I682" s="69"/>
      <c r="J682" s="70"/>
      <c r="K682" s="71"/>
      <c r="L682" s="71"/>
      <c r="M682" s="5"/>
    </row>
    <row r="683" spans="1:13" s="3" customFormat="1">
      <c r="A683" s="1"/>
      <c r="B683" s="8"/>
      <c r="C683" s="5"/>
      <c r="D683" s="12"/>
      <c r="E683" s="9"/>
      <c r="F683" s="9"/>
      <c r="G683" s="5"/>
      <c r="H683" s="16"/>
      <c r="I683" s="69"/>
      <c r="J683" s="70"/>
      <c r="K683" s="71"/>
      <c r="L683" s="71"/>
      <c r="M683" s="5"/>
    </row>
    <row r="684" spans="1:13" s="3" customFormat="1">
      <c r="A684" s="1"/>
      <c r="B684" s="8"/>
      <c r="C684" s="5"/>
      <c r="D684" s="12"/>
      <c r="E684" s="9"/>
      <c r="F684" s="9"/>
      <c r="G684" s="5"/>
      <c r="H684" s="16"/>
      <c r="I684" s="69"/>
      <c r="J684" s="70"/>
      <c r="K684" s="71"/>
      <c r="L684" s="71"/>
      <c r="M684" s="5"/>
    </row>
    <row r="685" spans="1:13" s="3" customFormat="1">
      <c r="A685" s="1"/>
      <c r="B685" s="8"/>
      <c r="C685" s="5"/>
      <c r="D685" s="12"/>
      <c r="E685" s="9"/>
      <c r="F685" s="9"/>
      <c r="G685" s="5"/>
      <c r="H685" s="16"/>
      <c r="I685" s="69"/>
      <c r="J685" s="70"/>
      <c r="K685" s="71"/>
      <c r="L685" s="71"/>
      <c r="M685" s="5"/>
    </row>
    <row r="686" spans="1:13" s="3" customFormat="1">
      <c r="A686" s="1"/>
      <c r="B686" s="8"/>
      <c r="C686" s="5"/>
      <c r="D686" s="12"/>
      <c r="E686" s="9"/>
      <c r="F686" s="9"/>
      <c r="G686" s="5"/>
      <c r="H686" s="16"/>
      <c r="I686" s="69"/>
      <c r="J686" s="70"/>
      <c r="K686" s="71"/>
      <c r="L686" s="71"/>
      <c r="M686" s="5"/>
    </row>
    <row r="687" spans="1:13" s="3" customFormat="1">
      <c r="A687" s="1"/>
      <c r="B687" s="8"/>
      <c r="C687" s="5"/>
      <c r="D687" s="12"/>
      <c r="E687" s="9"/>
      <c r="F687" s="9"/>
      <c r="G687" s="5"/>
      <c r="H687" s="16"/>
      <c r="I687" s="69"/>
      <c r="J687" s="70"/>
      <c r="K687" s="71"/>
      <c r="L687" s="71"/>
      <c r="M687" s="5"/>
    </row>
    <row r="688" spans="1:13" s="3" customFormat="1">
      <c r="A688" s="1"/>
      <c r="B688" s="8"/>
      <c r="C688" s="5"/>
      <c r="D688" s="12"/>
      <c r="E688" s="9"/>
      <c r="F688" s="9"/>
      <c r="G688" s="5"/>
      <c r="H688" s="16"/>
      <c r="I688" s="69"/>
      <c r="J688" s="70"/>
      <c r="K688" s="71"/>
      <c r="L688" s="71"/>
      <c r="M688" s="5"/>
    </row>
    <row r="689" spans="1:13" s="3" customFormat="1">
      <c r="A689" s="1"/>
      <c r="B689" s="8"/>
      <c r="C689" s="5"/>
      <c r="D689" s="12"/>
      <c r="E689" s="9"/>
      <c r="F689" s="9"/>
      <c r="G689" s="5"/>
      <c r="H689" s="16"/>
      <c r="I689" s="69"/>
      <c r="J689" s="70"/>
      <c r="K689" s="71"/>
      <c r="L689" s="71"/>
      <c r="M689" s="5"/>
    </row>
    <row r="690" spans="1:13" s="3" customFormat="1">
      <c r="A690" s="1"/>
      <c r="B690" s="8"/>
      <c r="C690" s="5"/>
      <c r="D690" s="12"/>
      <c r="E690" s="9"/>
      <c r="F690" s="9"/>
      <c r="G690" s="5"/>
      <c r="H690" s="16"/>
      <c r="I690" s="69"/>
      <c r="J690" s="70"/>
      <c r="K690" s="71"/>
      <c r="L690" s="71"/>
      <c r="M690" s="5"/>
    </row>
    <row r="691" spans="1:13" s="3" customFormat="1">
      <c r="A691" s="1"/>
      <c r="B691" s="8"/>
      <c r="C691" s="5"/>
      <c r="D691" s="12"/>
      <c r="E691" s="9"/>
      <c r="F691" s="9"/>
      <c r="G691" s="5"/>
      <c r="H691" s="16"/>
      <c r="I691" s="69"/>
      <c r="J691" s="70"/>
      <c r="K691" s="71"/>
      <c r="L691" s="71"/>
      <c r="M691" s="5"/>
    </row>
    <row r="692" spans="1:13" s="3" customFormat="1">
      <c r="A692" s="1"/>
      <c r="B692" s="8"/>
      <c r="C692" s="5"/>
      <c r="D692" s="12"/>
      <c r="E692" s="9"/>
      <c r="F692" s="9"/>
      <c r="G692" s="5"/>
      <c r="H692" s="16"/>
      <c r="I692" s="69"/>
      <c r="J692" s="70"/>
      <c r="K692" s="71"/>
      <c r="L692" s="71"/>
      <c r="M692" s="5"/>
    </row>
    <row r="693" spans="1:13" s="3" customFormat="1">
      <c r="A693" s="1"/>
      <c r="B693" s="8"/>
      <c r="C693" s="5"/>
      <c r="D693" s="12"/>
      <c r="E693" s="9"/>
      <c r="F693" s="9"/>
      <c r="G693" s="5"/>
      <c r="H693" s="16"/>
      <c r="I693" s="69"/>
      <c r="J693" s="70"/>
      <c r="K693" s="71"/>
      <c r="L693" s="71"/>
      <c r="M693" s="5"/>
    </row>
    <row r="694" spans="1:13" s="3" customFormat="1">
      <c r="A694" s="1"/>
      <c r="B694" s="8"/>
      <c r="C694" s="5"/>
      <c r="D694" s="12"/>
      <c r="E694" s="9"/>
      <c r="F694" s="9"/>
      <c r="G694" s="5"/>
      <c r="H694" s="16"/>
      <c r="I694" s="69"/>
      <c r="J694" s="70"/>
      <c r="K694" s="71"/>
      <c r="L694" s="71"/>
      <c r="M694" s="5"/>
    </row>
    <row r="695" spans="1:13" s="3" customFormat="1">
      <c r="A695" s="1"/>
      <c r="B695" s="8"/>
      <c r="C695" s="5"/>
      <c r="D695" s="12"/>
      <c r="E695" s="9"/>
      <c r="F695" s="9"/>
      <c r="G695" s="5"/>
      <c r="H695" s="16"/>
      <c r="I695" s="69"/>
      <c r="J695" s="70"/>
      <c r="K695" s="71"/>
      <c r="L695" s="71"/>
      <c r="M695" s="5"/>
    </row>
    <row r="696" spans="1:13" s="3" customFormat="1">
      <c r="A696" s="1"/>
      <c r="B696" s="8"/>
      <c r="C696" s="5"/>
      <c r="D696" s="12"/>
      <c r="E696" s="9"/>
      <c r="F696" s="9"/>
      <c r="G696" s="5"/>
      <c r="H696" s="16"/>
      <c r="I696" s="69"/>
      <c r="J696" s="70"/>
      <c r="K696" s="71"/>
      <c r="L696" s="71"/>
      <c r="M696" s="5"/>
    </row>
    <row r="697" spans="1:13" s="3" customFormat="1">
      <c r="A697" s="1"/>
      <c r="B697" s="8"/>
      <c r="C697" s="5"/>
      <c r="D697" s="12"/>
      <c r="E697" s="9"/>
      <c r="F697" s="9"/>
      <c r="G697" s="5"/>
      <c r="H697" s="16"/>
      <c r="I697" s="69"/>
      <c r="J697" s="70"/>
      <c r="K697" s="71"/>
      <c r="L697" s="71"/>
      <c r="M697" s="5"/>
    </row>
    <row r="698" spans="1:13" s="3" customFormat="1">
      <c r="A698" s="1"/>
      <c r="B698" s="8"/>
      <c r="C698" s="5"/>
      <c r="D698" s="12"/>
      <c r="E698" s="9"/>
      <c r="F698" s="9"/>
      <c r="G698" s="5"/>
      <c r="H698" s="16"/>
      <c r="I698" s="69"/>
      <c r="J698" s="70"/>
      <c r="K698" s="71"/>
      <c r="L698" s="71"/>
      <c r="M698" s="5"/>
    </row>
    <row r="699" spans="1:13" s="3" customFormat="1">
      <c r="A699" s="1"/>
      <c r="B699" s="8"/>
      <c r="C699" s="5"/>
      <c r="D699" s="12"/>
      <c r="E699" s="9"/>
      <c r="F699" s="9"/>
      <c r="G699" s="5"/>
      <c r="H699" s="16"/>
      <c r="I699" s="69"/>
      <c r="J699" s="70"/>
      <c r="K699" s="71"/>
      <c r="L699" s="71"/>
      <c r="M699" s="5"/>
    </row>
    <row r="700" spans="1:13" s="3" customFormat="1">
      <c r="A700" s="1"/>
      <c r="B700" s="8"/>
      <c r="C700" s="5"/>
      <c r="D700" s="12"/>
      <c r="E700" s="9"/>
      <c r="F700" s="9"/>
      <c r="G700" s="5"/>
      <c r="H700" s="16"/>
      <c r="I700" s="69"/>
      <c r="J700" s="70"/>
      <c r="K700" s="71"/>
      <c r="L700" s="71"/>
      <c r="M700" s="5"/>
    </row>
    <row r="701" spans="1:13" s="3" customFormat="1">
      <c r="A701" s="1"/>
      <c r="B701" s="8"/>
      <c r="C701" s="5"/>
      <c r="D701" s="12"/>
      <c r="E701" s="9"/>
      <c r="F701" s="9"/>
      <c r="G701" s="5"/>
      <c r="H701" s="16"/>
      <c r="I701" s="69"/>
      <c r="J701" s="70"/>
      <c r="K701" s="71"/>
      <c r="L701" s="71"/>
      <c r="M701" s="5"/>
    </row>
    <row r="702" spans="1:13" s="3" customFormat="1">
      <c r="A702" s="1"/>
      <c r="B702" s="8"/>
      <c r="C702" s="5"/>
      <c r="D702" s="12"/>
      <c r="E702" s="9"/>
      <c r="F702" s="9"/>
      <c r="G702" s="5"/>
      <c r="H702" s="16"/>
      <c r="I702" s="69"/>
      <c r="J702" s="70"/>
      <c r="K702" s="71"/>
      <c r="L702" s="71"/>
      <c r="M702" s="5"/>
    </row>
    <row r="703" spans="1:13" s="3" customFormat="1">
      <c r="A703" s="1"/>
      <c r="B703" s="8"/>
      <c r="C703" s="5"/>
      <c r="D703" s="12"/>
      <c r="E703" s="9"/>
      <c r="F703" s="9"/>
      <c r="G703" s="5"/>
      <c r="H703" s="16"/>
      <c r="I703" s="69"/>
      <c r="J703" s="70"/>
      <c r="K703" s="71"/>
      <c r="L703" s="71"/>
      <c r="M703" s="5"/>
    </row>
    <row r="704" spans="1:13" s="3" customFormat="1">
      <c r="A704" s="1"/>
      <c r="B704" s="8"/>
      <c r="C704" s="5"/>
      <c r="D704" s="12"/>
      <c r="E704" s="9"/>
      <c r="F704" s="9"/>
      <c r="G704" s="5"/>
      <c r="H704" s="16"/>
      <c r="I704" s="69"/>
      <c r="J704" s="70"/>
      <c r="K704" s="71"/>
      <c r="L704" s="71"/>
      <c r="M704" s="5"/>
    </row>
    <row r="705" spans="1:13" s="3" customFormat="1">
      <c r="A705" s="1"/>
      <c r="B705" s="8"/>
      <c r="C705" s="5"/>
      <c r="D705" s="12"/>
      <c r="E705" s="9"/>
      <c r="F705" s="9"/>
      <c r="G705" s="5"/>
      <c r="H705" s="16"/>
      <c r="I705" s="69"/>
      <c r="J705" s="70"/>
      <c r="K705" s="71"/>
      <c r="L705" s="71"/>
      <c r="M705" s="5"/>
    </row>
    <row r="706" spans="1:13" s="3" customFormat="1">
      <c r="A706" s="1"/>
      <c r="B706" s="8"/>
      <c r="C706" s="5"/>
      <c r="D706" s="12"/>
      <c r="E706" s="9"/>
      <c r="F706" s="9"/>
      <c r="G706" s="5"/>
      <c r="H706" s="16"/>
      <c r="I706" s="69"/>
      <c r="J706" s="70"/>
      <c r="K706" s="71"/>
      <c r="L706" s="71"/>
      <c r="M706" s="5"/>
    </row>
    <row r="707" spans="1:13" s="3" customFormat="1">
      <c r="A707" s="1"/>
      <c r="B707" s="8"/>
      <c r="C707" s="5"/>
      <c r="D707" s="12"/>
      <c r="E707" s="9"/>
      <c r="F707" s="9"/>
      <c r="G707" s="5"/>
      <c r="H707" s="16"/>
      <c r="I707" s="69"/>
      <c r="J707" s="70"/>
      <c r="K707" s="71"/>
      <c r="L707" s="71"/>
      <c r="M707" s="5"/>
    </row>
    <row r="708" spans="1:13" s="3" customFormat="1">
      <c r="A708" s="1"/>
      <c r="B708" s="8"/>
      <c r="C708" s="5"/>
      <c r="D708" s="12"/>
      <c r="E708" s="9"/>
      <c r="F708" s="9"/>
      <c r="G708" s="5"/>
      <c r="H708" s="16"/>
      <c r="I708" s="69"/>
      <c r="J708" s="70"/>
      <c r="K708" s="71"/>
      <c r="L708" s="71"/>
      <c r="M708" s="5"/>
    </row>
    <row r="709" spans="1:13" s="3" customFormat="1">
      <c r="A709" s="1"/>
      <c r="B709" s="8"/>
      <c r="C709" s="5"/>
      <c r="D709" s="12"/>
      <c r="E709" s="9"/>
      <c r="F709" s="9"/>
      <c r="G709" s="5"/>
      <c r="H709" s="16"/>
      <c r="I709" s="69"/>
      <c r="J709" s="70"/>
      <c r="K709" s="71"/>
      <c r="L709" s="71"/>
      <c r="M709" s="5"/>
    </row>
    <row r="710" spans="1:13" s="3" customFormat="1">
      <c r="A710" s="1"/>
      <c r="B710" s="8"/>
      <c r="C710" s="5"/>
      <c r="D710" s="12"/>
      <c r="E710" s="9"/>
      <c r="F710" s="9"/>
      <c r="G710" s="5"/>
      <c r="H710" s="16"/>
      <c r="I710" s="69"/>
      <c r="J710" s="70"/>
      <c r="K710" s="71"/>
      <c r="L710" s="71"/>
      <c r="M710" s="5"/>
    </row>
    <row r="711" spans="1:13" s="3" customFormat="1">
      <c r="A711" s="1"/>
      <c r="B711" s="8"/>
      <c r="C711" s="5"/>
      <c r="D711" s="12"/>
      <c r="E711" s="9"/>
      <c r="F711" s="9"/>
      <c r="G711" s="5"/>
      <c r="H711" s="16"/>
      <c r="I711" s="69"/>
      <c r="J711" s="70"/>
      <c r="K711" s="71"/>
      <c r="L711" s="71"/>
      <c r="M711" s="5"/>
    </row>
    <row r="712" spans="1:13" s="3" customFormat="1">
      <c r="A712" s="1"/>
      <c r="B712" s="8"/>
      <c r="C712" s="5"/>
      <c r="D712" s="12"/>
      <c r="E712" s="9"/>
      <c r="F712" s="9"/>
      <c r="G712" s="5"/>
      <c r="H712" s="16"/>
      <c r="I712" s="69"/>
      <c r="J712" s="70"/>
      <c r="K712" s="71"/>
      <c r="L712" s="71"/>
      <c r="M712" s="5"/>
    </row>
    <row r="713" spans="1:13" s="3" customFormat="1">
      <c r="A713" s="1"/>
      <c r="B713" s="8"/>
      <c r="C713" s="5"/>
      <c r="D713" s="12"/>
      <c r="E713" s="9"/>
      <c r="F713" s="9"/>
      <c r="G713" s="5"/>
      <c r="H713" s="16"/>
      <c r="I713" s="69"/>
      <c r="J713" s="70"/>
      <c r="K713" s="71"/>
      <c r="L713" s="71"/>
      <c r="M713" s="5"/>
    </row>
    <row r="714" spans="1:13" s="3" customFormat="1">
      <c r="A714" s="1"/>
      <c r="B714" s="8"/>
      <c r="C714" s="5"/>
      <c r="D714" s="12"/>
      <c r="E714" s="9"/>
      <c r="F714" s="9"/>
      <c r="G714" s="5"/>
      <c r="H714" s="16"/>
      <c r="I714" s="69"/>
      <c r="J714" s="70"/>
      <c r="K714" s="71"/>
      <c r="L714" s="71"/>
      <c r="M714" s="5"/>
    </row>
    <row r="715" spans="1:13" s="3" customFormat="1">
      <c r="A715" s="1"/>
      <c r="B715" s="8"/>
      <c r="C715" s="5"/>
      <c r="D715" s="12"/>
      <c r="E715" s="9"/>
      <c r="F715" s="9"/>
      <c r="G715" s="5"/>
      <c r="H715" s="16"/>
      <c r="I715" s="69"/>
      <c r="J715" s="70"/>
      <c r="K715" s="71"/>
      <c r="L715" s="71"/>
      <c r="M715" s="5"/>
    </row>
    <row r="716" spans="1:13" s="3" customFormat="1">
      <c r="A716" s="1"/>
      <c r="B716" s="8"/>
      <c r="C716" s="5"/>
      <c r="D716" s="12"/>
      <c r="E716" s="9"/>
      <c r="F716" s="9"/>
      <c r="G716" s="5"/>
      <c r="H716" s="16"/>
      <c r="I716" s="69"/>
      <c r="J716" s="70"/>
      <c r="K716" s="71"/>
      <c r="L716" s="71"/>
      <c r="M716" s="5"/>
    </row>
    <row r="717" spans="1:13" s="3" customFormat="1">
      <c r="A717" s="1"/>
      <c r="B717" s="8"/>
      <c r="C717" s="5"/>
      <c r="D717" s="12"/>
      <c r="E717" s="9"/>
      <c r="F717" s="9"/>
      <c r="G717" s="5"/>
      <c r="H717" s="16"/>
      <c r="I717" s="69"/>
      <c r="J717" s="70"/>
      <c r="K717" s="71"/>
      <c r="L717" s="71"/>
      <c r="M717" s="5"/>
    </row>
    <row r="718" spans="1:13" s="3" customFormat="1">
      <c r="A718" s="1"/>
      <c r="B718" s="8"/>
      <c r="C718" s="5"/>
      <c r="D718" s="12"/>
      <c r="E718" s="9"/>
      <c r="F718" s="9"/>
      <c r="G718" s="5"/>
      <c r="H718" s="16"/>
      <c r="I718" s="69"/>
      <c r="J718" s="70"/>
      <c r="K718" s="71"/>
      <c r="L718" s="71"/>
      <c r="M718" s="5"/>
    </row>
    <row r="719" spans="1:13" s="3" customFormat="1">
      <c r="A719" s="1"/>
      <c r="B719" s="8"/>
      <c r="C719" s="5"/>
      <c r="D719" s="12"/>
      <c r="E719" s="9"/>
      <c r="F719" s="9"/>
      <c r="G719" s="5"/>
      <c r="H719" s="16"/>
      <c r="I719" s="69"/>
      <c r="J719" s="70"/>
      <c r="K719" s="71"/>
      <c r="L719" s="71"/>
      <c r="M719" s="5"/>
    </row>
    <row r="720" spans="1:13" s="3" customFormat="1">
      <c r="A720" s="1"/>
      <c r="B720" s="8"/>
      <c r="C720" s="5"/>
      <c r="D720" s="12"/>
      <c r="E720" s="9"/>
      <c r="F720" s="9"/>
      <c r="G720" s="5"/>
      <c r="H720" s="16"/>
      <c r="I720" s="69"/>
      <c r="J720" s="70"/>
      <c r="K720" s="71"/>
      <c r="L720" s="71"/>
      <c r="M720" s="5"/>
    </row>
    <row r="721" spans="1:13" s="3" customFormat="1">
      <c r="A721" s="1"/>
      <c r="B721" s="8"/>
      <c r="C721" s="5"/>
      <c r="D721" s="12"/>
      <c r="E721" s="9"/>
      <c r="F721" s="9"/>
      <c r="G721" s="5"/>
      <c r="H721" s="16"/>
      <c r="I721" s="69"/>
      <c r="J721" s="70"/>
      <c r="K721" s="71"/>
      <c r="L721" s="71"/>
      <c r="M721" s="5"/>
    </row>
    <row r="722" spans="1:13" s="3" customFormat="1">
      <c r="A722" s="1"/>
      <c r="B722" s="8"/>
      <c r="C722" s="5"/>
      <c r="D722" s="12"/>
      <c r="E722" s="9"/>
      <c r="F722" s="9"/>
      <c r="G722" s="5"/>
      <c r="H722" s="16"/>
      <c r="I722" s="69"/>
      <c r="J722" s="70"/>
      <c r="K722" s="71"/>
      <c r="L722" s="71"/>
      <c r="M722" s="5"/>
    </row>
    <row r="723" spans="1:13" s="3" customFormat="1">
      <c r="A723" s="1"/>
      <c r="B723" s="8"/>
      <c r="C723" s="5"/>
      <c r="D723" s="12"/>
      <c r="E723" s="9"/>
      <c r="F723" s="9"/>
      <c r="G723" s="5"/>
      <c r="H723" s="16"/>
      <c r="I723" s="69"/>
      <c r="J723" s="70"/>
      <c r="K723" s="71"/>
      <c r="L723" s="71"/>
      <c r="M723" s="5"/>
    </row>
    <row r="724" spans="1:13" s="3" customFormat="1">
      <c r="A724" s="1"/>
      <c r="B724" s="8"/>
      <c r="C724" s="5"/>
      <c r="D724" s="12"/>
      <c r="E724" s="9"/>
      <c r="F724" s="9"/>
      <c r="G724" s="5"/>
      <c r="H724" s="16"/>
      <c r="I724" s="69"/>
      <c r="J724" s="70"/>
      <c r="K724" s="71"/>
      <c r="L724" s="71"/>
      <c r="M724" s="5"/>
    </row>
    <row r="725" spans="1:13" s="3" customFormat="1">
      <c r="A725" s="1"/>
      <c r="B725" s="8"/>
      <c r="C725" s="5"/>
      <c r="D725" s="12"/>
      <c r="E725" s="9"/>
      <c r="F725" s="9"/>
      <c r="G725" s="5"/>
      <c r="H725" s="16"/>
      <c r="I725" s="69"/>
      <c r="J725" s="70"/>
      <c r="K725" s="71"/>
      <c r="L725" s="71"/>
      <c r="M725" s="5"/>
    </row>
    <row r="726" spans="1:13" s="3" customFormat="1">
      <c r="A726" s="1"/>
      <c r="B726" s="8"/>
      <c r="C726" s="5"/>
      <c r="D726" s="12"/>
      <c r="E726" s="9"/>
      <c r="F726" s="9"/>
      <c r="G726" s="5"/>
      <c r="H726" s="16"/>
      <c r="I726" s="69"/>
      <c r="J726" s="70"/>
      <c r="K726" s="71"/>
      <c r="L726" s="71"/>
      <c r="M726" s="5"/>
    </row>
    <row r="727" spans="1:13" s="3" customFormat="1">
      <c r="A727" s="1"/>
      <c r="B727" s="8"/>
      <c r="C727" s="5"/>
      <c r="D727" s="12"/>
      <c r="E727" s="9"/>
      <c r="F727" s="9"/>
      <c r="G727" s="5"/>
      <c r="H727" s="16"/>
      <c r="I727" s="69"/>
      <c r="J727" s="70"/>
      <c r="K727" s="71"/>
      <c r="L727" s="71"/>
      <c r="M727" s="5"/>
    </row>
    <row r="728" spans="1:13" s="3" customFormat="1">
      <c r="A728" s="1"/>
      <c r="B728" s="8"/>
      <c r="C728" s="5"/>
      <c r="D728" s="12"/>
      <c r="E728" s="9"/>
      <c r="F728" s="9"/>
      <c r="G728" s="5"/>
      <c r="H728" s="16"/>
      <c r="I728" s="69"/>
      <c r="J728" s="70"/>
      <c r="K728" s="71"/>
      <c r="L728" s="71"/>
      <c r="M728" s="5"/>
    </row>
    <row r="729" spans="1:13" s="3" customFormat="1">
      <c r="A729" s="1"/>
      <c r="B729" s="8"/>
      <c r="C729" s="5"/>
      <c r="D729" s="12"/>
      <c r="E729" s="9"/>
      <c r="F729" s="9"/>
      <c r="G729" s="5"/>
      <c r="H729" s="16"/>
      <c r="I729" s="69"/>
      <c r="J729" s="70"/>
      <c r="K729" s="71"/>
      <c r="L729" s="71"/>
      <c r="M729" s="5"/>
    </row>
    <row r="730" spans="1:13" s="3" customFormat="1">
      <c r="A730" s="1"/>
      <c r="B730" s="8"/>
      <c r="C730" s="5"/>
      <c r="D730" s="12"/>
      <c r="E730" s="9"/>
      <c r="F730" s="9"/>
      <c r="G730" s="5"/>
      <c r="H730" s="16"/>
      <c r="I730" s="69"/>
      <c r="J730" s="70"/>
      <c r="K730" s="71"/>
      <c r="L730" s="71"/>
      <c r="M730" s="5"/>
    </row>
    <row r="731" spans="1:13" s="3" customFormat="1">
      <c r="A731" s="1"/>
      <c r="B731" s="8"/>
      <c r="C731" s="5"/>
      <c r="D731" s="12"/>
      <c r="E731" s="9"/>
      <c r="F731" s="9"/>
      <c r="G731" s="5"/>
      <c r="H731" s="16"/>
      <c r="I731" s="69"/>
      <c r="J731" s="70"/>
      <c r="K731" s="71"/>
      <c r="L731" s="71"/>
      <c r="M731" s="5"/>
    </row>
    <row r="732" spans="1:13" s="3" customFormat="1">
      <c r="A732" s="1"/>
      <c r="B732" s="8"/>
      <c r="C732" s="5"/>
      <c r="D732" s="12"/>
      <c r="E732" s="9"/>
      <c r="F732" s="9"/>
      <c r="G732" s="5"/>
      <c r="H732" s="16"/>
      <c r="I732" s="69"/>
      <c r="J732" s="70"/>
      <c r="K732" s="71"/>
      <c r="L732" s="71"/>
      <c r="M732" s="5"/>
    </row>
    <row r="733" spans="1:13" s="3" customFormat="1">
      <c r="A733" s="1"/>
      <c r="B733" s="8"/>
      <c r="C733" s="5"/>
      <c r="D733" s="12"/>
      <c r="E733" s="9"/>
      <c r="F733" s="9"/>
      <c r="G733" s="5"/>
      <c r="H733" s="16"/>
      <c r="I733" s="69"/>
      <c r="J733" s="70"/>
      <c r="K733" s="71"/>
      <c r="L733" s="71"/>
      <c r="M733" s="5"/>
    </row>
    <row r="734" spans="1:13" s="3" customFormat="1">
      <c r="A734" s="1"/>
      <c r="B734" s="8"/>
      <c r="C734" s="5"/>
      <c r="D734" s="12"/>
      <c r="E734" s="9"/>
      <c r="F734" s="9"/>
      <c r="G734" s="5"/>
      <c r="H734" s="16"/>
      <c r="I734" s="69"/>
      <c r="J734" s="70"/>
      <c r="K734" s="71"/>
      <c r="L734" s="71"/>
      <c r="M734" s="5"/>
    </row>
    <row r="735" spans="1:13" s="3" customFormat="1">
      <c r="A735" s="1"/>
      <c r="B735" s="8"/>
      <c r="C735" s="5"/>
      <c r="D735" s="12"/>
      <c r="E735" s="9"/>
      <c r="F735" s="9"/>
      <c r="G735" s="5"/>
      <c r="H735" s="16"/>
      <c r="I735" s="69"/>
      <c r="J735" s="70"/>
      <c r="K735" s="71"/>
      <c r="L735" s="71"/>
      <c r="M735" s="5"/>
    </row>
    <row r="736" spans="1:13" s="3" customFormat="1">
      <c r="A736" s="1"/>
      <c r="B736" s="8"/>
      <c r="C736" s="5"/>
      <c r="D736" s="12"/>
      <c r="E736" s="9"/>
      <c r="F736" s="9"/>
      <c r="G736" s="5"/>
      <c r="H736" s="16"/>
      <c r="I736" s="69"/>
      <c r="J736" s="70"/>
      <c r="K736" s="71"/>
      <c r="L736" s="71"/>
      <c r="M736" s="5"/>
    </row>
    <row r="737" spans="1:13" s="3" customFormat="1">
      <c r="A737" s="1"/>
      <c r="B737" s="8"/>
      <c r="C737" s="5"/>
      <c r="D737" s="12"/>
      <c r="E737" s="9"/>
      <c r="F737" s="9"/>
      <c r="G737" s="5"/>
      <c r="H737" s="16"/>
      <c r="I737" s="69"/>
      <c r="J737" s="70"/>
      <c r="K737" s="71"/>
      <c r="L737" s="71"/>
      <c r="M737" s="5"/>
    </row>
    <row r="738" spans="1:13" s="3" customFormat="1">
      <c r="A738" s="1"/>
      <c r="B738" s="8"/>
      <c r="C738" s="5"/>
      <c r="D738" s="12"/>
      <c r="E738" s="9"/>
      <c r="F738" s="9"/>
      <c r="G738" s="5"/>
      <c r="H738" s="16"/>
      <c r="I738" s="69"/>
      <c r="J738" s="70"/>
      <c r="K738" s="71"/>
      <c r="L738" s="71"/>
      <c r="M738" s="5"/>
    </row>
    <row r="739" spans="1:13" s="3" customFormat="1">
      <c r="A739" s="1"/>
      <c r="B739" s="8"/>
      <c r="C739" s="5"/>
      <c r="D739" s="12"/>
      <c r="E739" s="9"/>
      <c r="F739" s="9"/>
      <c r="G739" s="5"/>
      <c r="H739" s="16"/>
      <c r="I739" s="69"/>
      <c r="J739" s="70"/>
      <c r="K739" s="71"/>
      <c r="L739" s="71"/>
      <c r="M739" s="5"/>
    </row>
    <row r="740" spans="1:13" s="3" customFormat="1">
      <c r="A740" s="1"/>
      <c r="B740" s="8"/>
      <c r="C740" s="5"/>
      <c r="D740" s="12"/>
      <c r="E740" s="9"/>
      <c r="F740" s="9"/>
      <c r="G740" s="5"/>
      <c r="H740" s="16"/>
      <c r="I740" s="69"/>
      <c r="J740" s="70"/>
      <c r="K740" s="71"/>
      <c r="L740" s="71"/>
      <c r="M740" s="5"/>
    </row>
    <row r="741" spans="1:13" s="3" customFormat="1">
      <c r="A741" s="1"/>
      <c r="B741" s="8"/>
      <c r="C741" s="5"/>
      <c r="D741" s="12"/>
      <c r="E741" s="9"/>
      <c r="F741" s="9"/>
      <c r="G741" s="5"/>
      <c r="H741" s="16"/>
      <c r="I741" s="69"/>
      <c r="J741" s="70"/>
      <c r="K741" s="71"/>
      <c r="L741" s="71"/>
      <c r="M741" s="5"/>
    </row>
    <row r="742" spans="1:13" s="3" customFormat="1">
      <c r="A742" s="1"/>
      <c r="B742" s="8"/>
      <c r="C742" s="5"/>
      <c r="D742" s="12"/>
      <c r="E742" s="9"/>
      <c r="F742" s="9"/>
      <c r="G742" s="5"/>
      <c r="H742" s="16"/>
      <c r="I742" s="69"/>
      <c r="J742" s="70"/>
      <c r="K742" s="71"/>
      <c r="L742" s="71"/>
      <c r="M742" s="5"/>
    </row>
    <row r="743" spans="1:13" s="3" customFormat="1">
      <c r="A743" s="1"/>
      <c r="B743" s="8"/>
      <c r="C743" s="5"/>
      <c r="D743" s="12"/>
      <c r="E743" s="9"/>
      <c r="F743" s="9"/>
      <c r="G743" s="5"/>
      <c r="H743" s="16"/>
      <c r="I743" s="69"/>
      <c r="J743" s="70"/>
      <c r="K743" s="71"/>
      <c r="L743" s="71"/>
      <c r="M743" s="5"/>
    </row>
    <row r="744" spans="1:13" s="3" customFormat="1">
      <c r="A744" s="1"/>
      <c r="B744" s="8"/>
      <c r="C744" s="5"/>
      <c r="D744" s="12"/>
      <c r="E744" s="9"/>
      <c r="F744" s="9"/>
      <c r="G744" s="5"/>
      <c r="H744" s="16"/>
      <c r="I744" s="69"/>
      <c r="J744" s="70"/>
      <c r="K744" s="71"/>
      <c r="L744" s="71"/>
      <c r="M744" s="5"/>
    </row>
    <row r="745" spans="1:13" s="3" customFormat="1">
      <c r="A745" s="1"/>
      <c r="B745" s="8"/>
      <c r="C745" s="5"/>
      <c r="D745" s="12"/>
      <c r="E745" s="9"/>
      <c r="F745" s="9"/>
      <c r="G745" s="5"/>
      <c r="H745" s="16"/>
      <c r="I745" s="69"/>
      <c r="J745" s="70"/>
      <c r="K745" s="71"/>
      <c r="L745" s="71"/>
      <c r="M745" s="5"/>
    </row>
    <row r="746" spans="1:13" s="3" customFormat="1">
      <c r="A746" s="1"/>
      <c r="B746" s="8"/>
      <c r="C746" s="5"/>
      <c r="D746" s="12"/>
      <c r="E746" s="9"/>
      <c r="F746" s="9"/>
      <c r="G746" s="5"/>
      <c r="H746" s="16"/>
      <c r="I746" s="69"/>
      <c r="J746" s="70"/>
      <c r="K746" s="71"/>
      <c r="L746" s="71"/>
      <c r="M746" s="5"/>
    </row>
    <row r="747" spans="1:13" s="3" customFormat="1">
      <c r="A747" s="1"/>
      <c r="B747" s="8"/>
      <c r="C747" s="5"/>
      <c r="D747" s="12"/>
      <c r="E747" s="9"/>
      <c r="F747" s="9"/>
      <c r="G747" s="5"/>
      <c r="H747" s="16"/>
      <c r="I747" s="69"/>
      <c r="J747" s="70"/>
      <c r="K747" s="71"/>
      <c r="L747" s="71"/>
      <c r="M747" s="5"/>
    </row>
    <row r="748" spans="1:13" s="3" customFormat="1">
      <c r="A748" s="1"/>
      <c r="B748" s="8"/>
      <c r="C748" s="5"/>
      <c r="D748" s="12"/>
      <c r="E748" s="9"/>
      <c r="F748" s="9"/>
      <c r="G748" s="5"/>
      <c r="H748" s="16"/>
      <c r="I748" s="69"/>
      <c r="J748" s="70"/>
      <c r="K748" s="71"/>
      <c r="L748" s="71"/>
      <c r="M748" s="5"/>
    </row>
    <row r="749" spans="1:13" s="3" customFormat="1">
      <c r="A749" s="1"/>
      <c r="B749" s="8"/>
      <c r="C749" s="5"/>
      <c r="D749" s="12"/>
      <c r="E749" s="9"/>
      <c r="F749" s="9"/>
      <c r="G749" s="5"/>
      <c r="H749" s="16"/>
      <c r="I749" s="69"/>
      <c r="J749" s="70"/>
      <c r="K749" s="71"/>
      <c r="L749" s="71"/>
      <c r="M749" s="5"/>
    </row>
    <row r="750" spans="1:13" s="3" customFormat="1">
      <c r="A750" s="1"/>
      <c r="B750" s="8"/>
      <c r="C750" s="5"/>
      <c r="D750" s="12"/>
      <c r="E750" s="9"/>
      <c r="F750" s="9"/>
      <c r="G750" s="5"/>
      <c r="H750" s="16"/>
      <c r="I750" s="69"/>
      <c r="J750" s="70"/>
      <c r="K750" s="71"/>
      <c r="L750" s="71"/>
      <c r="M750" s="5"/>
    </row>
    <row r="751" spans="1:13" s="3" customFormat="1">
      <c r="A751" s="1"/>
      <c r="B751" s="8"/>
      <c r="C751" s="5"/>
      <c r="D751" s="12"/>
      <c r="E751" s="9"/>
      <c r="F751" s="9"/>
      <c r="G751" s="5"/>
      <c r="H751" s="16"/>
      <c r="I751" s="69"/>
      <c r="J751" s="70"/>
      <c r="K751" s="71"/>
      <c r="L751" s="71"/>
      <c r="M751" s="5"/>
    </row>
    <row r="752" spans="1:13" s="3" customFormat="1">
      <c r="A752" s="1"/>
      <c r="B752" s="8"/>
      <c r="C752" s="5"/>
      <c r="D752" s="12"/>
      <c r="E752" s="9"/>
      <c r="F752" s="9"/>
      <c r="G752" s="5"/>
      <c r="H752" s="16"/>
      <c r="I752" s="69"/>
      <c r="J752" s="70"/>
      <c r="K752" s="71"/>
      <c r="L752" s="71"/>
      <c r="M752" s="5"/>
    </row>
    <row r="753" spans="1:13" s="3" customFormat="1">
      <c r="A753" s="1"/>
      <c r="B753" s="8"/>
      <c r="C753" s="5"/>
      <c r="D753" s="12"/>
      <c r="E753" s="9"/>
      <c r="F753" s="9"/>
      <c r="G753" s="5"/>
      <c r="H753" s="16"/>
      <c r="I753" s="69"/>
      <c r="J753" s="70"/>
      <c r="K753" s="71"/>
      <c r="L753" s="71"/>
      <c r="M753" s="5"/>
    </row>
    <row r="754" spans="1:13" s="3" customFormat="1">
      <c r="A754" s="1"/>
      <c r="B754" s="8"/>
      <c r="C754" s="5"/>
      <c r="D754" s="12"/>
      <c r="E754" s="9"/>
      <c r="F754" s="9"/>
      <c r="G754" s="5"/>
      <c r="H754" s="16"/>
      <c r="I754" s="69"/>
      <c r="J754" s="70"/>
      <c r="K754" s="71"/>
      <c r="L754" s="71"/>
      <c r="M754" s="5"/>
    </row>
    <row r="755" spans="1:13" s="3" customFormat="1">
      <c r="A755" s="1"/>
      <c r="B755" s="8"/>
      <c r="C755" s="5"/>
      <c r="D755" s="12"/>
      <c r="E755" s="9"/>
      <c r="F755" s="9"/>
      <c r="G755" s="5"/>
      <c r="H755" s="16"/>
      <c r="I755" s="69"/>
      <c r="J755" s="70"/>
      <c r="K755" s="71"/>
      <c r="L755" s="71"/>
      <c r="M755" s="5"/>
    </row>
    <row r="756" spans="1:13" s="3" customFormat="1">
      <c r="A756" s="1"/>
      <c r="B756" s="8"/>
      <c r="C756" s="5"/>
      <c r="D756" s="12"/>
      <c r="E756" s="9"/>
      <c r="F756" s="9"/>
      <c r="G756" s="5"/>
      <c r="H756" s="16"/>
      <c r="I756" s="69"/>
      <c r="J756" s="70"/>
      <c r="K756" s="71"/>
      <c r="L756" s="71"/>
      <c r="M756" s="5"/>
    </row>
    <row r="757" spans="1:13" s="3" customFormat="1">
      <c r="A757" s="1"/>
      <c r="B757" s="8"/>
      <c r="C757" s="5"/>
      <c r="D757" s="12"/>
      <c r="E757" s="9"/>
      <c r="F757" s="9"/>
      <c r="G757" s="5"/>
      <c r="H757" s="16"/>
      <c r="I757" s="69"/>
      <c r="J757" s="70"/>
      <c r="K757" s="71"/>
      <c r="L757" s="71"/>
      <c r="M757" s="5"/>
    </row>
    <row r="758" spans="1:13" s="3" customFormat="1">
      <c r="A758" s="1"/>
      <c r="B758" s="8"/>
      <c r="C758" s="5"/>
      <c r="D758" s="12"/>
      <c r="E758" s="9"/>
      <c r="F758" s="9"/>
      <c r="G758" s="5"/>
      <c r="H758" s="16"/>
      <c r="I758" s="69"/>
      <c r="J758" s="70"/>
      <c r="K758" s="71"/>
      <c r="L758" s="71"/>
      <c r="M758" s="5"/>
    </row>
    <row r="759" spans="1:13" s="3" customFormat="1">
      <c r="A759" s="1"/>
      <c r="B759" s="8"/>
      <c r="C759" s="5"/>
      <c r="D759" s="12"/>
      <c r="E759" s="9"/>
      <c r="F759" s="9"/>
      <c r="G759" s="5"/>
      <c r="H759" s="16"/>
      <c r="I759" s="69"/>
      <c r="J759" s="70"/>
      <c r="K759" s="71"/>
      <c r="L759" s="71"/>
      <c r="M759" s="5"/>
    </row>
    <row r="760" spans="1:13" s="3" customFormat="1">
      <c r="A760" s="1"/>
      <c r="B760" s="8"/>
      <c r="C760" s="5"/>
      <c r="D760" s="12"/>
      <c r="E760" s="9"/>
      <c r="F760" s="9"/>
      <c r="G760" s="5"/>
      <c r="H760" s="16"/>
      <c r="I760" s="69"/>
      <c r="J760" s="70"/>
      <c r="K760" s="71"/>
      <c r="L760" s="71"/>
      <c r="M760" s="5"/>
    </row>
    <row r="761" spans="1:13" s="3" customFormat="1">
      <c r="A761" s="1"/>
      <c r="B761" s="8"/>
      <c r="C761" s="5"/>
      <c r="D761" s="12"/>
      <c r="E761" s="9"/>
      <c r="F761" s="9"/>
      <c r="G761" s="5"/>
      <c r="H761" s="16"/>
      <c r="I761" s="69"/>
      <c r="J761" s="70"/>
      <c r="K761" s="71"/>
      <c r="L761" s="71"/>
      <c r="M761" s="5"/>
    </row>
    <row r="762" spans="1:13" s="3" customFormat="1">
      <c r="A762" s="1"/>
      <c r="B762" s="8"/>
      <c r="C762" s="5"/>
      <c r="D762" s="12"/>
      <c r="E762" s="9"/>
      <c r="F762" s="9"/>
      <c r="G762" s="5"/>
      <c r="H762" s="16"/>
      <c r="I762" s="69"/>
      <c r="J762" s="70"/>
      <c r="K762" s="71"/>
      <c r="L762" s="71"/>
      <c r="M762" s="5"/>
    </row>
    <row r="763" spans="1:13" s="3" customFormat="1">
      <c r="A763" s="1"/>
      <c r="B763" s="8"/>
      <c r="C763" s="5"/>
      <c r="D763" s="12"/>
      <c r="E763" s="9"/>
      <c r="F763" s="9"/>
      <c r="G763" s="5"/>
      <c r="H763" s="16"/>
      <c r="I763" s="69"/>
      <c r="J763" s="70"/>
      <c r="K763" s="71"/>
      <c r="L763" s="71"/>
      <c r="M763" s="5"/>
    </row>
    <row r="764" spans="1:13" s="3" customFormat="1">
      <c r="A764" s="1"/>
      <c r="B764" s="8"/>
      <c r="C764" s="5"/>
      <c r="D764" s="12"/>
      <c r="E764" s="9"/>
      <c r="F764" s="9"/>
      <c r="G764" s="5"/>
      <c r="H764" s="16"/>
      <c r="I764" s="69"/>
      <c r="J764" s="70"/>
      <c r="K764" s="71"/>
      <c r="L764" s="71"/>
      <c r="M764" s="5"/>
    </row>
    <row r="765" spans="1:13" s="3" customFormat="1">
      <c r="A765" s="1"/>
      <c r="B765" s="8"/>
      <c r="C765" s="5"/>
      <c r="D765" s="12"/>
      <c r="E765" s="9"/>
      <c r="F765" s="9"/>
      <c r="G765" s="5"/>
      <c r="H765" s="16"/>
      <c r="I765" s="69"/>
      <c r="J765" s="70"/>
      <c r="K765" s="71"/>
      <c r="L765" s="71"/>
      <c r="M765" s="5"/>
    </row>
    <row r="766" spans="1:13" s="3" customFormat="1">
      <c r="A766" s="1"/>
      <c r="B766" s="8"/>
      <c r="C766" s="5"/>
      <c r="D766" s="12"/>
      <c r="E766" s="9"/>
      <c r="F766" s="9"/>
      <c r="G766" s="5"/>
      <c r="H766" s="16"/>
      <c r="I766" s="69"/>
      <c r="J766" s="70"/>
      <c r="K766" s="71"/>
      <c r="L766" s="71"/>
      <c r="M766" s="5"/>
    </row>
    <row r="767" spans="1:13" s="3" customFormat="1">
      <c r="A767" s="1"/>
      <c r="B767" s="8"/>
      <c r="C767" s="5"/>
      <c r="D767" s="12"/>
      <c r="E767" s="9"/>
      <c r="F767" s="9"/>
      <c r="G767" s="5"/>
      <c r="H767" s="16"/>
      <c r="I767" s="69"/>
      <c r="J767" s="70"/>
      <c r="K767" s="71"/>
      <c r="L767" s="71"/>
      <c r="M767" s="5"/>
    </row>
    <row r="768" spans="1:13" s="3" customFormat="1">
      <c r="A768" s="1"/>
      <c r="B768" s="8"/>
      <c r="C768" s="5"/>
      <c r="D768" s="12"/>
      <c r="E768" s="9"/>
      <c r="F768" s="9"/>
      <c r="G768" s="5"/>
      <c r="H768" s="16"/>
      <c r="I768" s="69"/>
      <c r="J768" s="70"/>
      <c r="K768" s="71"/>
      <c r="L768" s="71"/>
      <c r="M768" s="5"/>
    </row>
    <row r="769" spans="1:13" s="3" customFormat="1">
      <c r="A769" s="1"/>
      <c r="B769" s="8"/>
      <c r="C769" s="5"/>
      <c r="D769" s="12"/>
      <c r="E769" s="9"/>
      <c r="F769" s="9"/>
      <c r="G769" s="5"/>
      <c r="H769" s="16"/>
      <c r="I769" s="69"/>
      <c r="J769" s="70"/>
      <c r="K769" s="71"/>
      <c r="L769" s="71"/>
      <c r="M769" s="5"/>
    </row>
    <row r="770" spans="1:13" s="3" customFormat="1">
      <c r="A770" s="1"/>
      <c r="B770" s="8"/>
      <c r="C770" s="5"/>
      <c r="D770" s="12"/>
      <c r="E770" s="9"/>
      <c r="F770" s="9"/>
      <c r="G770" s="5"/>
      <c r="H770" s="16"/>
      <c r="I770" s="69"/>
      <c r="J770" s="70"/>
      <c r="K770" s="71"/>
      <c r="L770" s="71"/>
      <c r="M770" s="5"/>
    </row>
    <row r="771" spans="1:13" s="3" customFormat="1">
      <c r="A771" s="1"/>
      <c r="B771" s="8"/>
      <c r="C771" s="5"/>
      <c r="D771" s="12"/>
      <c r="E771" s="9"/>
      <c r="F771" s="9"/>
      <c r="G771" s="5"/>
      <c r="H771" s="16"/>
      <c r="I771" s="69"/>
      <c r="J771" s="70"/>
      <c r="K771" s="71"/>
      <c r="L771" s="71"/>
      <c r="M771" s="5"/>
    </row>
    <row r="772" spans="1:13" s="3" customFormat="1">
      <c r="A772" s="1"/>
      <c r="B772" s="8"/>
      <c r="C772" s="5"/>
      <c r="D772" s="12"/>
      <c r="E772" s="9"/>
      <c r="F772" s="9"/>
      <c r="G772" s="5"/>
      <c r="H772" s="16"/>
      <c r="I772" s="69"/>
      <c r="J772" s="70"/>
      <c r="K772" s="71"/>
      <c r="L772" s="71"/>
      <c r="M772" s="5"/>
    </row>
    <row r="773" spans="1:13" s="3" customFormat="1">
      <c r="A773" s="1"/>
      <c r="B773" s="8"/>
      <c r="C773" s="5"/>
      <c r="D773" s="12"/>
      <c r="E773" s="9"/>
      <c r="F773" s="9"/>
      <c r="G773" s="5"/>
      <c r="H773" s="16"/>
      <c r="I773" s="69"/>
      <c r="J773" s="70"/>
      <c r="K773" s="71"/>
      <c r="L773" s="71"/>
      <c r="M773" s="5"/>
    </row>
    <row r="774" spans="1:13" s="3" customFormat="1">
      <c r="A774" s="1"/>
      <c r="B774" s="8"/>
      <c r="C774" s="5"/>
      <c r="D774" s="12"/>
      <c r="E774" s="9"/>
      <c r="F774" s="9"/>
      <c r="G774" s="5"/>
      <c r="H774" s="16"/>
      <c r="I774" s="69"/>
      <c r="J774" s="70"/>
      <c r="K774" s="71"/>
      <c r="L774" s="71"/>
      <c r="M774" s="5"/>
    </row>
    <row r="775" spans="1:13" s="3" customFormat="1">
      <c r="A775" s="1"/>
      <c r="B775" s="8"/>
      <c r="C775" s="5"/>
      <c r="D775" s="12"/>
      <c r="E775" s="9"/>
      <c r="F775" s="9"/>
      <c r="G775" s="5"/>
      <c r="H775" s="16"/>
      <c r="I775" s="69"/>
      <c r="J775" s="70"/>
      <c r="K775" s="71"/>
      <c r="L775" s="71"/>
      <c r="M775" s="5"/>
    </row>
    <row r="776" spans="1:13" s="3" customFormat="1">
      <c r="A776" s="1"/>
      <c r="B776" s="8"/>
      <c r="C776" s="5"/>
      <c r="D776" s="12"/>
      <c r="E776" s="9"/>
      <c r="F776" s="9"/>
      <c r="G776" s="5"/>
      <c r="H776" s="16"/>
      <c r="I776" s="69"/>
      <c r="J776" s="70"/>
      <c r="K776" s="71"/>
      <c r="L776" s="71"/>
      <c r="M776" s="5"/>
    </row>
    <row r="777" spans="1:13" s="3" customFormat="1">
      <c r="A777" s="1"/>
      <c r="B777" s="8"/>
      <c r="C777" s="5"/>
      <c r="D777" s="12"/>
      <c r="E777" s="9"/>
      <c r="F777" s="9"/>
      <c r="G777" s="5"/>
      <c r="H777" s="16"/>
      <c r="I777" s="69"/>
      <c r="J777" s="70"/>
      <c r="K777" s="71"/>
      <c r="L777" s="71"/>
      <c r="M777" s="5"/>
    </row>
    <row r="778" spans="1:13" s="3" customFormat="1">
      <c r="A778" s="1"/>
      <c r="B778" s="8"/>
      <c r="C778" s="5"/>
      <c r="D778" s="12"/>
      <c r="E778" s="9"/>
      <c r="F778" s="9"/>
      <c r="G778" s="5"/>
      <c r="H778" s="16"/>
      <c r="I778" s="69"/>
      <c r="J778" s="70"/>
      <c r="K778" s="71"/>
      <c r="L778" s="71"/>
      <c r="M778" s="5"/>
    </row>
    <row r="779" spans="1:13" s="3" customFormat="1">
      <c r="A779" s="1"/>
      <c r="B779" s="8"/>
      <c r="C779" s="5"/>
      <c r="D779" s="12"/>
      <c r="E779" s="9"/>
      <c r="F779" s="9"/>
      <c r="G779" s="5"/>
      <c r="H779" s="16"/>
      <c r="I779" s="69"/>
      <c r="J779" s="70"/>
      <c r="K779" s="71"/>
      <c r="L779" s="71"/>
      <c r="M779" s="5"/>
    </row>
    <row r="780" spans="1:13" s="3" customFormat="1">
      <c r="A780" s="1"/>
      <c r="B780" s="8"/>
      <c r="C780" s="5"/>
      <c r="D780" s="12"/>
      <c r="E780" s="9"/>
      <c r="F780" s="9"/>
      <c r="G780" s="5"/>
      <c r="H780" s="16"/>
      <c r="I780" s="69"/>
      <c r="J780" s="70"/>
      <c r="K780" s="71"/>
      <c r="L780" s="71"/>
      <c r="M780" s="5"/>
    </row>
    <row r="781" spans="1:13" s="3" customFormat="1">
      <c r="A781" s="1"/>
      <c r="B781" s="8"/>
      <c r="C781" s="5"/>
      <c r="D781" s="12"/>
      <c r="E781" s="9"/>
      <c r="F781" s="9"/>
      <c r="G781" s="5"/>
      <c r="H781" s="16"/>
      <c r="I781" s="69"/>
      <c r="J781" s="70"/>
      <c r="K781" s="71"/>
      <c r="L781" s="71"/>
      <c r="M781" s="5"/>
    </row>
    <row r="782" spans="1:13" s="3" customFormat="1">
      <c r="A782" s="1"/>
      <c r="B782" s="8"/>
      <c r="C782" s="5"/>
      <c r="D782" s="12"/>
      <c r="E782" s="9"/>
      <c r="F782" s="9"/>
      <c r="G782" s="5"/>
      <c r="H782" s="16"/>
      <c r="I782" s="69"/>
      <c r="J782" s="70"/>
      <c r="K782" s="71"/>
      <c r="L782" s="71"/>
      <c r="M782" s="5"/>
    </row>
    <row r="783" spans="1:13" s="3" customFormat="1">
      <c r="A783" s="1"/>
      <c r="B783" s="8"/>
      <c r="C783" s="5"/>
      <c r="D783" s="12"/>
      <c r="E783" s="9"/>
      <c r="F783" s="9"/>
      <c r="G783" s="5"/>
      <c r="H783" s="16"/>
      <c r="I783" s="69"/>
      <c r="J783" s="70"/>
      <c r="K783" s="71"/>
      <c r="L783" s="71"/>
      <c r="M783" s="5"/>
    </row>
    <row r="784" spans="1:13" s="3" customFormat="1">
      <c r="A784" s="1"/>
      <c r="B784" s="8"/>
      <c r="C784" s="5"/>
      <c r="D784" s="12"/>
      <c r="E784" s="9"/>
      <c r="F784" s="9"/>
      <c r="G784" s="5"/>
      <c r="H784" s="16"/>
      <c r="I784" s="69"/>
      <c r="J784" s="70"/>
      <c r="K784" s="71"/>
      <c r="L784" s="71"/>
      <c r="M784" s="5"/>
    </row>
    <row r="785" spans="1:13" s="3" customFormat="1">
      <c r="A785" s="1"/>
      <c r="B785" s="8"/>
      <c r="C785" s="5"/>
      <c r="D785" s="12"/>
      <c r="E785" s="9"/>
      <c r="F785" s="9"/>
      <c r="G785" s="5"/>
      <c r="H785" s="16"/>
      <c r="I785" s="69"/>
      <c r="J785" s="70"/>
      <c r="K785" s="71"/>
      <c r="L785" s="71"/>
      <c r="M785" s="5"/>
    </row>
    <row r="786" spans="1:13" s="3" customFormat="1">
      <c r="A786" s="1"/>
      <c r="B786" s="8"/>
      <c r="C786" s="5"/>
      <c r="D786" s="12"/>
      <c r="E786" s="9"/>
      <c r="F786" s="9"/>
      <c r="G786" s="5"/>
      <c r="H786" s="16"/>
      <c r="I786" s="69"/>
      <c r="J786" s="70"/>
      <c r="K786" s="71"/>
      <c r="L786" s="71"/>
      <c r="M786" s="5"/>
    </row>
    <row r="787" spans="1:13" s="3" customFormat="1">
      <c r="A787" s="1"/>
      <c r="B787" s="8"/>
      <c r="C787" s="5"/>
      <c r="D787" s="12"/>
      <c r="E787" s="9"/>
      <c r="F787" s="9"/>
      <c r="G787" s="5"/>
      <c r="H787" s="16"/>
      <c r="I787" s="69"/>
      <c r="J787" s="70"/>
      <c r="K787" s="71"/>
      <c r="L787" s="71"/>
      <c r="M787" s="5"/>
    </row>
    <row r="788" spans="1:13" s="3" customFormat="1">
      <c r="A788" s="1"/>
      <c r="B788" s="8"/>
      <c r="C788" s="5"/>
      <c r="D788" s="12"/>
      <c r="E788" s="9"/>
      <c r="F788" s="9"/>
      <c r="G788" s="5"/>
      <c r="H788" s="16"/>
      <c r="I788" s="69"/>
      <c r="J788" s="70"/>
      <c r="K788" s="71"/>
      <c r="L788" s="71"/>
      <c r="M788" s="5"/>
    </row>
    <row r="789" spans="1:13" s="3" customFormat="1">
      <c r="A789" s="1"/>
      <c r="B789" s="8"/>
      <c r="C789" s="5"/>
      <c r="D789" s="12"/>
      <c r="E789" s="9"/>
      <c r="F789" s="9"/>
      <c r="G789" s="5"/>
      <c r="H789" s="16"/>
      <c r="I789" s="69"/>
      <c r="J789" s="70"/>
      <c r="K789" s="71"/>
      <c r="L789" s="71"/>
      <c r="M789" s="5"/>
    </row>
    <row r="790" spans="1:13" s="3" customFormat="1">
      <c r="A790" s="1"/>
      <c r="B790" s="8"/>
      <c r="C790" s="5"/>
      <c r="D790" s="12"/>
      <c r="E790" s="9"/>
      <c r="F790" s="9"/>
      <c r="G790" s="5"/>
      <c r="H790" s="16"/>
      <c r="I790" s="69"/>
      <c r="J790" s="70"/>
      <c r="K790" s="71"/>
      <c r="L790" s="71"/>
      <c r="M790" s="5"/>
    </row>
    <row r="791" spans="1:13" s="3" customFormat="1">
      <c r="A791" s="1"/>
      <c r="B791" s="8"/>
      <c r="C791" s="5"/>
      <c r="D791" s="12"/>
      <c r="E791" s="9"/>
      <c r="F791" s="9"/>
      <c r="G791" s="5"/>
      <c r="H791" s="16"/>
      <c r="I791" s="69"/>
      <c r="J791" s="70"/>
      <c r="K791" s="71"/>
      <c r="L791" s="71"/>
      <c r="M791" s="5"/>
    </row>
    <row r="792" spans="1:13" s="3" customFormat="1">
      <c r="A792" s="1"/>
      <c r="B792" s="8"/>
      <c r="C792" s="5"/>
      <c r="D792" s="12"/>
      <c r="E792" s="9"/>
      <c r="F792" s="9"/>
      <c r="G792" s="5"/>
      <c r="H792" s="16"/>
      <c r="I792" s="69"/>
      <c r="J792" s="70"/>
      <c r="K792" s="71"/>
      <c r="L792" s="71"/>
      <c r="M792" s="5"/>
    </row>
    <row r="793" spans="1:13" s="3" customFormat="1">
      <c r="A793" s="1"/>
      <c r="B793" s="8"/>
      <c r="C793" s="5"/>
      <c r="D793" s="12"/>
      <c r="E793" s="9"/>
      <c r="F793" s="9"/>
      <c r="G793" s="5"/>
      <c r="H793" s="16"/>
      <c r="I793" s="69"/>
      <c r="J793" s="70"/>
      <c r="K793" s="71"/>
      <c r="L793" s="71"/>
      <c r="M793" s="5"/>
    </row>
    <row r="794" spans="1:13" s="3" customFormat="1">
      <c r="A794" s="1"/>
      <c r="B794" s="8"/>
      <c r="C794" s="5"/>
      <c r="D794" s="12"/>
      <c r="E794" s="9"/>
      <c r="F794" s="9"/>
      <c r="G794" s="5"/>
      <c r="H794" s="16"/>
      <c r="I794" s="69"/>
      <c r="J794" s="70"/>
      <c r="K794" s="71"/>
      <c r="L794" s="71"/>
      <c r="M794" s="5"/>
    </row>
    <row r="795" spans="1:13" s="3" customFormat="1">
      <c r="A795" s="1"/>
      <c r="B795" s="8"/>
      <c r="C795" s="5"/>
      <c r="D795" s="12"/>
      <c r="E795" s="9"/>
      <c r="F795" s="9"/>
      <c r="G795" s="5"/>
      <c r="H795" s="16"/>
      <c r="I795" s="69"/>
      <c r="J795" s="70"/>
      <c r="K795" s="71"/>
      <c r="L795" s="71"/>
      <c r="M795" s="5"/>
    </row>
    <row r="796" spans="1:13" s="3" customFormat="1">
      <c r="A796" s="1"/>
      <c r="B796" s="8"/>
      <c r="C796" s="5"/>
      <c r="D796" s="12"/>
      <c r="E796" s="9"/>
      <c r="F796" s="9"/>
      <c r="G796" s="5"/>
      <c r="H796" s="16"/>
      <c r="I796" s="69"/>
      <c r="J796" s="70"/>
      <c r="K796" s="71"/>
      <c r="L796" s="71"/>
      <c r="M796" s="5"/>
    </row>
    <row r="797" spans="1:13" s="3" customFormat="1">
      <c r="A797" s="1"/>
      <c r="B797" s="8"/>
      <c r="C797" s="5"/>
      <c r="D797" s="12"/>
      <c r="E797" s="9"/>
      <c r="F797" s="9"/>
      <c r="G797" s="5"/>
      <c r="H797" s="16"/>
      <c r="I797" s="69"/>
      <c r="J797" s="70"/>
      <c r="K797" s="71"/>
      <c r="L797" s="71"/>
      <c r="M797" s="5"/>
    </row>
    <row r="798" spans="1:13" s="3" customFormat="1">
      <c r="A798" s="1"/>
      <c r="B798" s="8"/>
      <c r="C798" s="5"/>
      <c r="D798" s="12"/>
      <c r="E798" s="9"/>
      <c r="F798" s="9"/>
      <c r="G798" s="5"/>
      <c r="H798" s="16"/>
      <c r="I798" s="69"/>
      <c r="J798" s="70"/>
      <c r="K798" s="71"/>
      <c r="L798" s="71"/>
      <c r="M798" s="5"/>
    </row>
    <row r="799" spans="1:13" s="3" customFormat="1">
      <c r="A799" s="1"/>
      <c r="B799" s="8"/>
      <c r="C799" s="5"/>
      <c r="D799" s="12"/>
      <c r="E799" s="9"/>
      <c r="F799" s="9"/>
      <c r="G799" s="5"/>
      <c r="H799" s="16"/>
      <c r="I799" s="69"/>
      <c r="J799" s="70"/>
      <c r="K799" s="71"/>
      <c r="L799" s="71"/>
      <c r="M799" s="5"/>
    </row>
    <row r="800" spans="1:13" s="3" customFormat="1">
      <c r="A800" s="1"/>
      <c r="B800" s="8"/>
      <c r="C800" s="5"/>
      <c r="D800" s="12"/>
      <c r="E800" s="9"/>
      <c r="F800" s="9"/>
      <c r="G800" s="5"/>
      <c r="H800" s="16"/>
      <c r="I800" s="69"/>
      <c r="J800" s="70"/>
      <c r="K800" s="71"/>
      <c r="L800" s="71"/>
      <c r="M800" s="5"/>
    </row>
    <row r="801" spans="1:13" s="3" customFormat="1">
      <c r="A801" s="1"/>
      <c r="B801" s="8"/>
      <c r="C801" s="5"/>
      <c r="D801" s="12"/>
      <c r="E801" s="9"/>
      <c r="F801" s="9"/>
      <c r="G801" s="5"/>
      <c r="H801" s="16"/>
      <c r="I801" s="69"/>
      <c r="J801" s="70"/>
      <c r="K801" s="71"/>
      <c r="L801" s="71"/>
      <c r="M801" s="5"/>
    </row>
    <row r="802" spans="1:13" s="3" customFormat="1">
      <c r="A802" s="1"/>
      <c r="B802" s="8"/>
      <c r="C802" s="5"/>
      <c r="D802" s="12"/>
      <c r="E802" s="9"/>
      <c r="F802" s="9"/>
      <c r="G802" s="5"/>
      <c r="H802" s="16"/>
      <c r="I802" s="69"/>
      <c r="J802" s="70"/>
      <c r="K802" s="71"/>
      <c r="L802" s="71"/>
      <c r="M802" s="5"/>
    </row>
    <row r="803" spans="1:13" s="3" customFormat="1">
      <c r="A803" s="1"/>
      <c r="B803" s="8"/>
      <c r="C803" s="5"/>
      <c r="D803" s="12"/>
      <c r="E803" s="9"/>
      <c r="F803" s="9"/>
      <c r="G803" s="5"/>
      <c r="H803" s="16"/>
      <c r="I803" s="69"/>
      <c r="J803" s="70"/>
      <c r="K803" s="71"/>
      <c r="L803" s="71"/>
      <c r="M803" s="5"/>
    </row>
    <row r="804" spans="1:13" s="3" customFormat="1">
      <c r="A804" s="1"/>
      <c r="B804" s="8"/>
      <c r="C804" s="5"/>
      <c r="D804" s="12"/>
      <c r="E804" s="9"/>
      <c r="F804" s="9"/>
      <c r="G804" s="5"/>
      <c r="H804" s="16"/>
      <c r="I804" s="69"/>
      <c r="J804" s="70"/>
      <c r="K804" s="71"/>
      <c r="L804" s="71"/>
      <c r="M804" s="5"/>
    </row>
    <row r="805" spans="1:13" s="3" customFormat="1">
      <c r="A805" s="1"/>
      <c r="B805" s="8"/>
      <c r="C805" s="5"/>
      <c r="D805" s="12"/>
      <c r="E805" s="9"/>
      <c r="F805" s="9"/>
      <c r="G805" s="5"/>
      <c r="H805" s="16"/>
      <c r="I805" s="69"/>
      <c r="J805" s="70"/>
      <c r="K805" s="71"/>
      <c r="L805" s="71"/>
      <c r="M805" s="5"/>
    </row>
    <row r="806" spans="1:13" s="3" customFormat="1">
      <c r="A806" s="1"/>
      <c r="B806" s="8"/>
      <c r="C806" s="5"/>
      <c r="D806" s="12"/>
      <c r="E806" s="9"/>
      <c r="F806" s="9"/>
      <c r="G806" s="5"/>
      <c r="H806" s="16"/>
      <c r="I806" s="69"/>
      <c r="J806" s="70"/>
      <c r="K806" s="71"/>
      <c r="L806" s="71"/>
      <c r="M806" s="5"/>
    </row>
    <row r="807" spans="1:13" s="3" customFormat="1">
      <c r="A807" s="1"/>
      <c r="B807" s="8"/>
      <c r="C807" s="5"/>
      <c r="D807" s="12"/>
      <c r="E807" s="9"/>
      <c r="F807" s="9"/>
      <c r="G807" s="5"/>
      <c r="H807" s="16"/>
      <c r="I807" s="69"/>
      <c r="J807" s="70"/>
      <c r="K807" s="71"/>
      <c r="L807" s="71"/>
      <c r="M807" s="5"/>
    </row>
    <row r="808" spans="1:13" s="3" customFormat="1">
      <c r="A808" s="1"/>
      <c r="B808" s="8"/>
      <c r="C808" s="5"/>
      <c r="D808" s="12"/>
      <c r="E808" s="9"/>
      <c r="F808" s="9"/>
      <c r="G808" s="5"/>
      <c r="H808" s="16"/>
      <c r="I808" s="69"/>
      <c r="J808" s="70"/>
      <c r="K808" s="71"/>
      <c r="L808" s="71"/>
      <c r="M808" s="5"/>
    </row>
    <row r="809" spans="1:13" s="3" customFormat="1">
      <c r="A809" s="1"/>
      <c r="B809" s="8"/>
      <c r="C809" s="5"/>
      <c r="D809" s="12"/>
      <c r="E809" s="9"/>
      <c r="F809" s="9"/>
      <c r="G809" s="5"/>
      <c r="H809" s="16"/>
      <c r="I809" s="69"/>
      <c r="J809" s="70"/>
      <c r="K809" s="71"/>
      <c r="L809" s="71"/>
      <c r="M809" s="5"/>
    </row>
    <row r="810" spans="1:13" s="3" customFormat="1">
      <c r="A810" s="1"/>
      <c r="B810" s="8"/>
      <c r="C810" s="5"/>
      <c r="D810" s="12"/>
      <c r="E810" s="9"/>
      <c r="F810" s="9"/>
      <c r="G810" s="5"/>
      <c r="H810" s="16"/>
      <c r="I810" s="69"/>
      <c r="J810" s="70"/>
      <c r="K810" s="71"/>
      <c r="L810" s="71"/>
      <c r="M810" s="5"/>
    </row>
    <row r="811" spans="1:13" s="3" customFormat="1">
      <c r="A811" s="1"/>
      <c r="B811" s="8"/>
      <c r="C811" s="5"/>
      <c r="D811" s="12"/>
      <c r="E811" s="9"/>
      <c r="F811" s="9"/>
      <c r="G811" s="5"/>
      <c r="H811" s="16"/>
      <c r="I811" s="69"/>
      <c r="J811" s="70"/>
      <c r="K811" s="71"/>
      <c r="L811" s="71"/>
      <c r="M811" s="5"/>
    </row>
    <row r="812" spans="1:13" s="3" customFormat="1">
      <c r="A812" s="1"/>
      <c r="B812" s="8"/>
      <c r="C812" s="5"/>
      <c r="D812" s="12"/>
      <c r="E812" s="9"/>
      <c r="F812" s="9"/>
      <c r="G812" s="5"/>
      <c r="H812" s="16"/>
      <c r="I812" s="69"/>
      <c r="J812" s="70"/>
      <c r="K812" s="71"/>
      <c r="L812" s="71"/>
      <c r="M812" s="5"/>
    </row>
    <row r="813" spans="1:13" s="3" customFormat="1">
      <c r="A813" s="1"/>
      <c r="B813" s="8"/>
      <c r="C813" s="5"/>
      <c r="D813" s="12"/>
      <c r="E813" s="9"/>
      <c r="F813" s="9"/>
      <c r="G813" s="5"/>
      <c r="H813" s="16"/>
      <c r="I813" s="69"/>
      <c r="J813" s="70"/>
      <c r="K813" s="71"/>
      <c r="L813" s="71"/>
      <c r="M813" s="5"/>
    </row>
    <row r="814" spans="1:13" s="3" customFormat="1">
      <c r="A814" s="1"/>
      <c r="B814" s="8"/>
      <c r="C814" s="5"/>
      <c r="D814" s="12"/>
      <c r="E814" s="9"/>
      <c r="F814" s="9"/>
      <c r="G814" s="5"/>
      <c r="H814" s="16"/>
      <c r="I814" s="69"/>
      <c r="J814" s="70"/>
      <c r="K814" s="71"/>
      <c r="L814" s="71"/>
      <c r="M814" s="5"/>
    </row>
    <row r="815" spans="1:13" s="3" customFormat="1">
      <c r="A815" s="1"/>
      <c r="B815" s="8"/>
      <c r="C815" s="5"/>
      <c r="D815" s="12"/>
      <c r="E815" s="9"/>
      <c r="F815" s="9"/>
      <c r="G815" s="5"/>
      <c r="H815" s="16"/>
      <c r="I815" s="69"/>
      <c r="J815" s="70"/>
      <c r="K815" s="71"/>
      <c r="L815" s="71"/>
      <c r="M815" s="5"/>
    </row>
    <row r="816" spans="1:13" s="3" customFormat="1">
      <c r="A816" s="1"/>
      <c r="B816" s="8"/>
      <c r="C816" s="5"/>
      <c r="D816" s="12"/>
      <c r="E816" s="9"/>
      <c r="F816" s="9"/>
      <c r="G816" s="5"/>
      <c r="H816" s="16"/>
      <c r="I816" s="69"/>
      <c r="J816" s="70"/>
      <c r="K816" s="71"/>
      <c r="L816" s="71"/>
      <c r="M816" s="5"/>
    </row>
    <row r="817" spans="1:13" s="3" customFormat="1">
      <c r="A817" s="1"/>
      <c r="B817" s="8"/>
      <c r="C817" s="5"/>
      <c r="D817" s="12"/>
      <c r="E817" s="9"/>
      <c r="F817" s="9"/>
      <c r="G817" s="5"/>
      <c r="H817" s="16"/>
      <c r="I817" s="69"/>
      <c r="J817" s="70"/>
      <c r="K817" s="71"/>
      <c r="L817" s="71"/>
      <c r="M817" s="5"/>
    </row>
    <row r="818" spans="1:13" s="3" customFormat="1">
      <c r="A818" s="1"/>
      <c r="B818" s="8"/>
      <c r="C818" s="5"/>
      <c r="D818" s="12"/>
      <c r="E818" s="9"/>
      <c r="F818" s="9"/>
      <c r="G818" s="5"/>
      <c r="H818" s="16"/>
      <c r="I818" s="69"/>
      <c r="J818" s="70"/>
      <c r="K818" s="71"/>
      <c r="L818" s="71"/>
      <c r="M818" s="5"/>
    </row>
    <row r="819" spans="1:13" s="3" customFormat="1">
      <c r="A819" s="1"/>
      <c r="B819" s="8"/>
      <c r="C819" s="5"/>
      <c r="D819" s="12"/>
      <c r="E819" s="9"/>
      <c r="F819" s="9"/>
      <c r="G819" s="5"/>
      <c r="H819" s="16"/>
      <c r="I819" s="69"/>
      <c r="J819" s="70"/>
      <c r="K819" s="71"/>
      <c r="L819" s="71"/>
      <c r="M819" s="5"/>
    </row>
    <row r="820" spans="1:13" s="3" customFormat="1">
      <c r="A820" s="1"/>
      <c r="B820" s="8"/>
      <c r="C820" s="5"/>
      <c r="D820" s="12"/>
      <c r="E820" s="9"/>
      <c r="F820" s="9"/>
      <c r="G820" s="5"/>
      <c r="H820" s="16"/>
      <c r="I820" s="69"/>
      <c r="J820" s="70"/>
      <c r="K820" s="71"/>
      <c r="L820" s="71"/>
      <c r="M820" s="5"/>
    </row>
    <row r="821" spans="1:13" s="3" customFormat="1">
      <c r="A821" s="1"/>
      <c r="B821" s="8"/>
      <c r="C821" s="5"/>
      <c r="D821" s="12"/>
      <c r="E821" s="9"/>
      <c r="F821" s="9"/>
      <c r="G821" s="5"/>
      <c r="H821" s="16"/>
      <c r="I821" s="69"/>
      <c r="J821" s="70"/>
      <c r="K821" s="71"/>
      <c r="L821" s="71"/>
      <c r="M821" s="5"/>
    </row>
    <row r="822" spans="1:13" s="3" customFormat="1">
      <c r="A822" s="1"/>
      <c r="B822" s="8"/>
      <c r="C822" s="5"/>
      <c r="D822" s="12"/>
      <c r="E822" s="9"/>
      <c r="F822" s="9"/>
      <c r="G822" s="5"/>
      <c r="H822" s="16"/>
      <c r="I822" s="69"/>
      <c r="J822" s="70"/>
      <c r="K822" s="71"/>
      <c r="L822" s="71"/>
      <c r="M822" s="5"/>
    </row>
    <row r="823" spans="1:13" s="3" customFormat="1">
      <c r="A823" s="1"/>
      <c r="B823" s="8"/>
      <c r="C823" s="5"/>
      <c r="D823" s="12"/>
      <c r="E823" s="9"/>
      <c r="F823" s="9"/>
      <c r="G823" s="5"/>
      <c r="H823" s="16"/>
      <c r="I823" s="69"/>
      <c r="J823" s="70"/>
      <c r="K823" s="71"/>
      <c r="L823" s="71"/>
      <c r="M823" s="5"/>
    </row>
    <row r="824" spans="1:13" s="3" customFormat="1">
      <c r="A824" s="1"/>
      <c r="B824" s="8"/>
      <c r="C824" s="5"/>
      <c r="D824" s="12"/>
      <c r="E824" s="9"/>
      <c r="F824" s="9"/>
      <c r="G824" s="5"/>
      <c r="H824" s="16"/>
      <c r="I824" s="69"/>
      <c r="J824" s="70"/>
      <c r="K824" s="71"/>
      <c r="L824" s="71"/>
      <c r="M824" s="5"/>
    </row>
    <row r="825" spans="1:13" s="3" customFormat="1">
      <c r="A825" s="1"/>
      <c r="B825" s="8"/>
      <c r="C825" s="5"/>
      <c r="D825" s="12"/>
      <c r="E825" s="9"/>
      <c r="F825" s="9"/>
      <c r="G825" s="5"/>
      <c r="H825" s="16"/>
      <c r="I825" s="69"/>
      <c r="J825" s="70"/>
      <c r="K825" s="71"/>
      <c r="L825" s="71"/>
      <c r="M825" s="5"/>
    </row>
    <row r="826" spans="1:13" s="3" customFormat="1">
      <c r="A826" s="1"/>
      <c r="B826" s="8"/>
      <c r="C826" s="5"/>
      <c r="D826" s="12"/>
      <c r="E826" s="9"/>
      <c r="F826" s="9"/>
      <c r="G826" s="5"/>
      <c r="H826" s="16"/>
      <c r="I826" s="69"/>
      <c r="J826" s="70"/>
      <c r="K826" s="71"/>
      <c r="L826" s="71"/>
      <c r="M826" s="5"/>
    </row>
    <row r="827" spans="1:13" s="3" customFormat="1">
      <c r="A827" s="1"/>
      <c r="B827" s="8"/>
      <c r="C827" s="5"/>
      <c r="D827" s="12"/>
      <c r="E827" s="9"/>
      <c r="F827" s="9"/>
      <c r="G827" s="5"/>
      <c r="H827" s="16"/>
      <c r="I827" s="69"/>
      <c r="J827" s="70"/>
      <c r="K827" s="71"/>
      <c r="L827" s="71"/>
      <c r="M827" s="5"/>
    </row>
    <row r="828" spans="1:13" s="3" customFormat="1">
      <c r="A828" s="1"/>
      <c r="B828" s="8"/>
      <c r="C828" s="5"/>
      <c r="D828" s="12"/>
      <c r="E828" s="9"/>
      <c r="F828" s="9"/>
      <c r="G828" s="5"/>
      <c r="H828" s="16"/>
      <c r="I828" s="69"/>
      <c r="J828" s="70"/>
      <c r="K828" s="71"/>
      <c r="L828" s="71"/>
      <c r="M828" s="5"/>
    </row>
    <row r="829" spans="1:13" s="3" customFormat="1">
      <c r="A829" s="1"/>
      <c r="B829" s="8"/>
      <c r="C829" s="5"/>
      <c r="D829" s="12"/>
      <c r="E829" s="9"/>
      <c r="F829" s="9"/>
      <c r="G829" s="5"/>
      <c r="H829" s="16"/>
      <c r="I829" s="69"/>
      <c r="J829" s="70"/>
      <c r="K829" s="71"/>
      <c r="L829" s="71"/>
      <c r="M829" s="5"/>
    </row>
    <row r="830" spans="1:13" s="3" customFormat="1">
      <c r="A830" s="1"/>
      <c r="B830" s="8"/>
      <c r="C830" s="5"/>
      <c r="D830" s="12"/>
      <c r="E830" s="9"/>
      <c r="F830" s="9"/>
      <c r="G830" s="5"/>
      <c r="H830" s="16"/>
      <c r="I830" s="69"/>
      <c r="J830" s="70"/>
      <c r="K830" s="71"/>
      <c r="L830" s="71"/>
      <c r="M830" s="5"/>
    </row>
    <row r="831" spans="1:13" s="3" customFormat="1">
      <c r="A831" s="1"/>
      <c r="B831" s="8"/>
      <c r="C831" s="5"/>
      <c r="D831" s="12"/>
      <c r="E831" s="9"/>
      <c r="F831" s="9"/>
      <c r="G831" s="5"/>
      <c r="H831" s="16"/>
      <c r="I831" s="69"/>
      <c r="J831" s="70"/>
      <c r="K831" s="71"/>
      <c r="L831" s="71"/>
      <c r="M831" s="5"/>
    </row>
    <row r="832" spans="1:13" s="3" customFormat="1">
      <c r="A832" s="1"/>
      <c r="B832" s="8"/>
      <c r="C832" s="5"/>
      <c r="D832" s="12"/>
      <c r="E832" s="9"/>
      <c r="F832" s="9"/>
      <c r="G832" s="5"/>
      <c r="H832" s="16"/>
      <c r="I832" s="69"/>
      <c r="J832" s="70"/>
      <c r="K832" s="71"/>
      <c r="L832" s="71"/>
      <c r="M832" s="5"/>
    </row>
    <row r="833" spans="1:13" s="3" customFormat="1">
      <c r="A833" s="1"/>
      <c r="B833" s="8"/>
      <c r="C833" s="5"/>
      <c r="D833" s="12"/>
      <c r="E833" s="9"/>
      <c r="F833" s="9"/>
      <c r="G833" s="5"/>
      <c r="H833" s="16"/>
      <c r="I833" s="69"/>
      <c r="J833" s="70"/>
      <c r="K833" s="71"/>
      <c r="L833" s="71"/>
      <c r="M833" s="5"/>
    </row>
    <row r="834" spans="1:13" s="3" customFormat="1">
      <c r="A834" s="1"/>
      <c r="B834" s="8"/>
      <c r="C834" s="5"/>
      <c r="D834" s="12"/>
      <c r="E834" s="9"/>
      <c r="F834" s="9"/>
      <c r="G834" s="5"/>
      <c r="H834" s="16"/>
      <c r="I834" s="69"/>
      <c r="J834" s="70"/>
      <c r="K834" s="71"/>
      <c r="L834" s="71"/>
      <c r="M834" s="5"/>
    </row>
    <row r="835" spans="1:13" s="3" customFormat="1">
      <c r="A835" s="1"/>
      <c r="B835" s="8"/>
      <c r="C835" s="5"/>
      <c r="D835" s="12"/>
      <c r="E835" s="9"/>
      <c r="F835" s="9"/>
      <c r="G835" s="5"/>
      <c r="H835" s="16"/>
      <c r="I835" s="69"/>
      <c r="J835" s="70"/>
      <c r="K835" s="71"/>
      <c r="L835" s="71"/>
      <c r="M835" s="5"/>
    </row>
    <row r="836" spans="1:13" s="3" customFormat="1">
      <c r="A836" s="1"/>
      <c r="B836" s="8"/>
      <c r="C836" s="5"/>
      <c r="D836" s="12"/>
      <c r="E836" s="9"/>
      <c r="F836" s="9"/>
      <c r="G836" s="5"/>
      <c r="H836" s="16"/>
      <c r="I836" s="69"/>
      <c r="J836" s="70"/>
      <c r="K836" s="71"/>
      <c r="L836" s="71"/>
      <c r="M836" s="5"/>
    </row>
    <row r="837" spans="1:13" s="3" customFormat="1">
      <c r="A837" s="1"/>
      <c r="B837" s="8"/>
      <c r="C837" s="5"/>
      <c r="D837" s="12"/>
      <c r="E837" s="9"/>
      <c r="F837" s="9"/>
      <c r="G837" s="5"/>
      <c r="H837" s="16"/>
      <c r="I837" s="69"/>
      <c r="J837" s="70"/>
      <c r="K837" s="71"/>
      <c r="L837" s="71"/>
      <c r="M837" s="5"/>
    </row>
    <row r="838" spans="1:13" s="3" customFormat="1">
      <c r="A838" s="1"/>
      <c r="B838" s="8"/>
      <c r="C838" s="5"/>
      <c r="D838" s="12"/>
      <c r="E838" s="9"/>
      <c r="F838" s="9"/>
      <c r="G838" s="5"/>
      <c r="H838" s="16"/>
      <c r="I838" s="69"/>
      <c r="J838" s="70"/>
      <c r="K838" s="71"/>
      <c r="L838" s="71"/>
      <c r="M838" s="5"/>
    </row>
    <row r="839" spans="1:13" s="3" customFormat="1">
      <c r="A839" s="1"/>
      <c r="B839" s="8"/>
      <c r="C839" s="5"/>
      <c r="D839" s="12"/>
      <c r="E839" s="9"/>
      <c r="F839" s="9"/>
      <c r="G839" s="5"/>
      <c r="H839" s="16"/>
      <c r="I839" s="69"/>
      <c r="J839" s="70"/>
      <c r="K839" s="71"/>
      <c r="L839" s="71"/>
      <c r="M839" s="5"/>
    </row>
    <row r="840" spans="1:13" s="3" customFormat="1">
      <c r="A840" s="1"/>
      <c r="B840" s="8"/>
      <c r="C840" s="5"/>
      <c r="D840" s="12"/>
      <c r="E840" s="9"/>
      <c r="F840" s="9"/>
      <c r="G840" s="5"/>
      <c r="H840" s="16"/>
      <c r="I840" s="69"/>
      <c r="J840" s="70"/>
      <c r="K840" s="71"/>
      <c r="L840" s="71"/>
      <c r="M840" s="5"/>
    </row>
    <row r="841" spans="1:13" s="3" customFormat="1">
      <c r="A841" s="1"/>
      <c r="B841" s="8"/>
      <c r="C841" s="5"/>
      <c r="D841" s="12"/>
      <c r="E841" s="9"/>
      <c r="F841" s="9"/>
      <c r="G841" s="5"/>
      <c r="H841" s="16"/>
      <c r="I841" s="69"/>
      <c r="J841" s="70"/>
      <c r="K841" s="71"/>
      <c r="L841" s="71"/>
      <c r="M841" s="5"/>
    </row>
    <row r="842" spans="1:13" s="3" customFormat="1">
      <c r="A842" s="1"/>
      <c r="B842" s="8"/>
      <c r="C842" s="5"/>
      <c r="D842" s="12"/>
      <c r="E842" s="9"/>
      <c r="F842" s="9"/>
      <c r="G842" s="5"/>
      <c r="H842" s="16"/>
      <c r="I842" s="69"/>
      <c r="J842" s="70"/>
      <c r="K842" s="71"/>
      <c r="L842" s="71"/>
      <c r="M842" s="5"/>
    </row>
    <row r="843" spans="1:13" s="3" customFormat="1">
      <c r="A843" s="1"/>
      <c r="B843" s="8"/>
      <c r="C843" s="5"/>
      <c r="D843" s="12"/>
      <c r="E843" s="9"/>
      <c r="F843" s="9"/>
      <c r="G843" s="5"/>
      <c r="H843" s="16"/>
      <c r="I843" s="69"/>
      <c r="J843" s="70"/>
      <c r="K843" s="71"/>
      <c r="L843" s="71"/>
      <c r="M843" s="5"/>
    </row>
    <row r="844" spans="1:13" s="3" customFormat="1">
      <c r="A844" s="1"/>
      <c r="B844" s="8"/>
      <c r="C844" s="5"/>
      <c r="D844" s="12"/>
      <c r="E844" s="9"/>
      <c r="F844" s="9"/>
      <c r="G844" s="5"/>
      <c r="H844" s="16"/>
      <c r="I844" s="69"/>
      <c r="J844" s="70"/>
      <c r="K844" s="71"/>
      <c r="L844" s="71"/>
      <c r="M844" s="5"/>
    </row>
    <row r="845" spans="1:13" s="3" customFormat="1">
      <c r="A845" s="1"/>
      <c r="B845" s="8"/>
      <c r="C845" s="5"/>
      <c r="D845" s="12"/>
      <c r="E845" s="9"/>
      <c r="F845" s="9"/>
      <c r="G845" s="5"/>
      <c r="H845" s="16"/>
      <c r="I845" s="69"/>
      <c r="J845" s="70"/>
      <c r="K845" s="71"/>
      <c r="L845" s="71"/>
      <c r="M845" s="5"/>
    </row>
    <row r="846" spans="1:13" s="3" customFormat="1">
      <c r="A846" s="1"/>
      <c r="B846" s="8"/>
      <c r="C846" s="5"/>
      <c r="D846" s="12"/>
      <c r="E846" s="9"/>
      <c r="F846" s="9"/>
      <c r="G846" s="5"/>
      <c r="H846" s="16"/>
      <c r="I846" s="69"/>
      <c r="J846" s="70"/>
      <c r="K846" s="71"/>
      <c r="L846" s="71"/>
      <c r="M846" s="5"/>
    </row>
    <row r="847" spans="1:13" s="3" customFormat="1">
      <c r="A847" s="1"/>
      <c r="B847" s="8"/>
      <c r="C847" s="5"/>
      <c r="D847" s="12"/>
      <c r="E847" s="9"/>
      <c r="F847" s="9"/>
      <c r="G847" s="5"/>
      <c r="H847" s="16"/>
      <c r="I847" s="69"/>
      <c r="J847" s="70"/>
      <c r="K847" s="71"/>
      <c r="L847" s="71"/>
      <c r="M847" s="5"/>
    </row>
    <row r="848" spans="1:13" s="3" customFormat="1">
      <c r="A848" s="1"/>
      <c r="B848" s="8"/>
      <c r="C848" s="5"/>
      <c r="D848" s="12"/>
      <c r="E848" s="9"/>
      <c r="F848" s="9"/>
      <c r="G848" s="5"/>
      <c r="H848" s="16"/>
      <c r="I848" s="69"/>
      <c r="J848" s="70"/>
      <c r="K848" s="71"/>
      <c r="L848" s="71"/>
      <c r="M848" s="5"/>
    </row>
    <row r="849" spans="1:13" s="3" customFormat="1">
      <c r="A849" s="1"/>
      <c r="B849" s="8"/>
      <c r="C849" s="5"/>
      <c r="D849" s="12"/>
      <c r="E849" s="9"/>
      <c r="F849" s="9"/>
      <c r="G849" s="5"/>
      <c r="H849" s="16"/>
      <c r="I849" s="69"/>
      <c r="J849" s="70"/>
      <c r="K849" s="71"/>
      <c r="L849" s="71"/>
      <c r="M849" s="5"/>
    </row>
    <row r="850" spans="1:13" s="3" customFormat="1">
      <c r="A850" s="1"/>
      <c r="B850" s="8"/>
      <c r="C850" s="5"/>
      <c r="D850" s="12"/>
      <c r="E850" s="9"/>
      <c r="F850" s="9"/>
      <c r="G850" s="5"/>
      <c r="H850" s="16"/>
      <c r="I850" s="69"/>
      <c r="J850" s="70"/>
      <c r="K850" s="71"/>
      <c r="L850" s="71"/>
      <c r="M850" s="5"/>
    </row>
    <row r="851" spans="1:13" s="3" customFormat="1">
      <c r="A851" s="1"/>
      <c r="B851" s="8"/>
      <c r="C851" s="5"/>
      <c r="D851" s="12"/>
      <c r="E851" s="9"/>
      <c r="F851" s="9"/>
      <c r="G851" s="5"/>
      <c r="H851" s="16"/>
      <c r="I851" s="69"/>
      <c r="J851" s="70"/>
      <c r="K851" s="71"/>
      <c r="L851" s="71"/>
      <c r="M851" s="5"/>
    </row>
    <row r="852" spans="1:13" s="3" customFormat="1">
      <c r="A852" s="1"/>
      <c r="B852" s="8"/>
      <c r="C852" s="5"/>
      <c r="D852" s="12"/>
      <c r="E852" s="9"/>
      <c r="F852" s="9"/>
      <c r="G852" s="5"/>
      <c r="H852" s="16"/>
      <c r="I852" s="69"/>
      <c r="J852" s="70"/>
      <c r="K852" s="71"/>
      <c r="L852" s="71"/>
      <c r="M852" s="5"/>
    </row>
    <row r="853" spans="1:13" s="3" customFormat="1">
      <c r="A853" s="1"/>
      <c r="B853" s="8"/>
      <c r="C853" s="5"/>
      <c r="D853" s="12"/>
      <c r="E853" s="9"/>
      <c r="F853" s="9"/>
      <c r="G853" s="5"/>
      <c r="H853" s="16"/>
      <c r="I853" s="69"/>
      <c r="J853" s="70"/>
      <c r="K853" s="71"/>
      <c r="L853" s="71"/>
      <c r="M853" s="5"/>
    </row>
    <row r="854" spans="1:13" s="3" customFormat="1">
      <c r="A854" s="1"/>
      <c r="B854" s="8"/>
      <c r="C854" s="5"/>
      <c r="D854" s="12"/>
      <c r="E854" s="9"/>
      <c r="F854" s="9"/>
      <c r="G854" s="5"/>
      <c r="H854" s="16"/>
      <c r="I854" s="69"/>
      <c r="J854" s="70"/>
      <c r="K854" s="71"/>
      <c r="L854" s="71"/>
      <c r="M854" s="5"/>
    </row>
    <row r="855" spans="1:13" s="3" customFormat="1">
      <c r="A855" s="1"/>
      <c r="B855" s="8"/>
      <c r="C855" s="5"/>
      <c r="D855" s="12"/>
      <c r="E855" s="9"/>
      <c r="F855" s="9"/>
      <c r="G855" s="5"/>
      <c r="H855" s="16"/>
      <c r="I855" s="69"/>
      <c r="J855" s="70"/>
      <c r="K855" s="71"/>
      <c r="L855" s="71"/>
      <c r="M855" s="5"/>
    </row>
    <row r="856" spans="1:13" s="3" customFormat="1">
      <c r="A856" s="1"/>
      <c r="B856" s="8"/>
      <c r="C856" s="5"/>
      <c r="D856" s="12"/>
      <c r="E856" s="9"/>
      <c r="F856" s="9"/>
      <c r="G856" s="5"/>
      <c r="H856" s="16"/>
      <c r="I856" s="69"/>
      <c r="J856" s="70"/>
      <c r="K856" s="71"/>
      <c r="L856" s="71"/>
      <c r="M856" s="5"/>
    </row>
    <row r="857" spans="1:13" s="3" customFormat="1">
      <c r="A857" s="1"/>
      <c r="B857" s="8"/>
      <c r="C857" s="5"/>
      <c r="D857" s="12"/>
      <c r="E857" s="9"/>
      <c r="F857" s="9"/>
      <c r="G857" s="5"/>
      <c r="H857" s="16"/>
      <c r="I857" s="69"/>
      <c r="J857" s="70"/>
      <c r="K857" s="71"/>
      <c r="L857" s="71"/>
      <c r="M857" s="5"/>
    </row>
    <row r="858" spans="1:13" s="3" customFormat="1">
      <c r="A858" s="1"/>
      <c r="B858" s="8"/>
      <c r="C858" s="5"/>
      <c r="D858" s="12"/>
      <c r="E858" s="9"/>
      <c r="F858" s="9"/>
      <c r="G858" s="5"/>
      <c r="H858" s="16"/>
      <c r="I858" s="69"/>
      <c r="J858" s="70"/>
      <c r="K858" s="71"/>
      <c r="L858" s="71"/>
      <c r="M858" s="5"/>
    </row>
    <row r="859" spans="1:13" s="3" customFormat="1">
      <c r="A859" s="1"/>
      <c r="B859" s="8"/>
      <c r="C859" s="5"/>
      <c r="D859" s="12"/>
      <c r="E859" s="9"/>
      <c r="F859" s="9"/>
      <c r="G859" s="5"/>
      <c r="H859" s="16"/>
      <c r="I859" s="69"/>
      <c r="J859" s="70"/>
      <c r="K859" s="71"/>
      <c r="L859" s="71"/>
      <c r="M859" s="5"/>
    </row>
    <row r="860" spans="1:13" s="3" customFormat="1">
      <c r="A860" s="1"/>
      <c r="B860" s="8"/>
      <c r="C860" s="5"/>
      <c r="D860" s="12"/>
      <c r="E860" s="9"/>
      <c r="F860" s="9"/>
      <c r="G860" s="5"/>
      <c r="H860" s="16"/>
      <c r="I860" s="69"/>
      <c r="J860" s="70"/>
      <c r="K860" s="71"/>
      <c r="L860" s="71"/>
      <c r="M860" s="5"/>
    </row>
    <row r="861" spans="1:13" s="3" customFormat="1">
      <c r="A861" s="1"/>
      <c r="B861" s="8"/>
      <c r="C861" s="5"/>
      <c r="D861" s="12"/>
      <c r="E861" s="9"/>
      <c r="F861" s="9"/>
      <c r="G861" s="5"/>
      <c r="H861" s="16"/>
      <c r="I861" s="69"/>
      <c r="J861" s="70"/>
      <c r="K861" s="71"/>
      <c r="L861" s="71"/>
      <c r="M861" s="5"/>
    </row>
    <row r="862" spans="1:13" s="3" customFormat="1">
      <c r="A862" s="1"/>
      <c r="B862" s="8"/>
      <c r="C862" s="5"/>
      <c r="D862" s="12"/>
      <c r="E862" s="9"/>
      <c r="F862" s="9"/>
      <c r="G862" s="5"/>
      <c r="H862" s="16"/>
      <c r="I862" s="69"/>
      <c r="J862" s="70"/>
      <c r="K862" s="71"/>
      <c r="L862" s="71"/>
      <c r="M862" s="5"/>
    </row>
    <row r="863" spans="1:13" s="3" customFormat="1">
      <c r="A863" s="1"/>
      <c r="B863" s="8"/>
      <c r="C863" s="5"/>
      <c r="D863" s="12"/>
      <c r="E863" s="9"/>
      <c r="F863" s="9"/>
      <c r="G863" s="5"/>
      <c r="H863" s="16"/>
      <c r="I863" s="69"/>
      <c r="J863" s="70"/>
      <c r="K863" s="71"/>
      <c r="L863" s="71"/>
      <c r="M863" s="5"/>
    </row>
    <row r="864" spans="1:13" s="3" customFormat="1">
      <c r="A864" s="1"/>
      <c r="B864" s="8"/>
      <c r="C864" s="5"/>
      <c r="D864" s="12"/>
      <c r="E864" s="9"/>
      <c r="F864" s="9"/>
      <c r="G864" s="5"/>
      <c r="H864" s="16"/>
      <c r="I864" s="69"/>
      <c r="J864" s="70"/>
      <c r="K864" s="71"/>
      <c r="L864" s="71"/>
      <c r="M864" s="5"/>
    </row>
    <row r="865" spans="1:13" s="3" customFormat="1">
      <c r="A865" s="1"/>
      <c r="B865" s="8"/>
      <c r="C865" s="5"/>
      <c r="D865" s="12"/>
      <c r="E865" s="9"/>
      <c r="F865" s="9"/>
      <c r="G865" s="5"/>
      <c r="H865" s="16"/>
      <c r="I865" s="69"/>
      <c r="J865" s="70"/>
      <c r="K865" s="71"/>
      <c r="L865" s="71"/>
      <c r="M865" s="5"/>
    </row>
    <row r="866" spans="1:13" s="3" customFormat="1">
      <c r="A866" s="1"/>
      <c r="B866" s="8"/>
      <c r="C866" s="5"/>
      <c r="D866" s="12"/>
      <c r="E866" s="9"/>
      <c r="F866" s="9"/>
      <c r="G866" s="5"/>
      <c r="H866" s="16"/>
      <c r="I866" s="69"/>
      <c r="J866" s="70"/>
      <c r="K866" s="71"/>
      <c r="L866" s="71"/>
      <c r="M866" s="5"/>
    </row>
    <row r="867" spans="1:13" s="3" customFormat="1">
      <c r="A867" s="1"/>
      <c r="B867" s="8"/>
      <c r="C867" s="5"/>
      <c r="D867" s="12"/>
      <c r="E867" s="9"/>
      <c r="F867" s="9"/>
      <c r="G867" s="5"/>
      <c r="H867" s="16"/>
      <c r="I867" s="69"/>
      <c r="J867" s="70"/>
      <c r="K867" s="71"/>
      <c r="L867" s="71"/>
      <c r="M867" s="5"/>
    </row>
    <row r="868" spans="1:13" s="3" customFormat="1">
      <c r="A868" s="1"/>
      <c r="B868" s="8"/>
      <c r="C868" s="5"/>
      <c r="D868" s="12"/>
      <c r="E868" s="9"/>
      <c r="F868" s="9"/>
      <c r="G868" s="5"/>
      <c r="H868" s="16"/>
      <c r="I868" s="69"/>
      <c r="J868" s="70"/>
      <c r="K868" s="71"/>
      <c r="L868" s="71"/>
      <c r="M868" s="5"/>
    </row>
    <row r="869" spans="1:13" s="3" customFormat="1">
      <c r="A869" s="1"/>
      <c r="B869" s="8"/>
      <c r="C869" s="5"/>
      <c r="D869" s="12"/>
      <c r="E869" s="9"/>
      <c r="F869" s="9"/>
      <c r="G869" s="5"/>
      <c r="H869" s="16"/>
      <c r="I869" s="69"/>
      <c r="J869" s="70"/>
      <c r="K869" s="71"/>
      <c r="L869" s="71"/>
      <c r="M869" s="5"/>
    </row>
    <row r="870" spans="1:13" s="3" customFormat="1">
      <c r="A870" s="1"/>
      <c r="B870" s="8"/>
      <c r="C870" s="5"/>
      <c r="D870" s="12"/>
      <c r="E870" s="9"/>
      <c r="F870" s="9"/>
      <c r="G870" s="5"/>
      <c r="H870" s="16"/>
      <c r="I870" s="69"/>
      <c r="J870" s="70"/>
      <c r="K870" s="71"/>
      <c r="L870" s="71"/>
      <c r="M870" s="5"/>
    </row>
    <row r="871" spans="1:13" s="3" customFormat="1">
      <c r="A871" s="1"/>
      <c r="B871" s="8"/>
      <c r="C871" s="5"/>
      <c r="D871" s="12"/>
      <c r="E871" s="9"/>
      <c r="F871" s="9"/>
      <c r="G871" s="5"/>
      <c r="H871" s="16"/>
      <c r="I871" s="69"/>
      <c r="J871" s="70"/>
      <c r="K871" s="71"/>
      <c r="L871" s="71"/>
      <c r="M871" s="5"/>
    </row>
    <row r="872" spans="1:13" s="3" customFormat="1">
      <c r="A872" s="1"/>
      <c r="B872" s="8"/>
      <c r="C872" s="5"/>
      <c r="D872" s="12"/>
      <c r="E872" s="9"/>
      <c r="F872" s="9"/>
      <c r="G872" s="5"/>
      <c r="H872" s="16"/>
      <c r="I872" s="69"/>
      <c r="J872" s="70"/>
      <c r="K872" s="71"/>
      <c r="L872" s="71"/>
      <c r="M872" s="5"/>
    </row>
    <row r="873" spans="1:13" s="3" customFormat="1">
      <c r="A873" s="1"/>
      <c r="B873" s="8"/>
      <c r="C873" s="5"/>
      <c r="D873" s="12"/>
      <c r="E873" s="9"/>
      <c r="F873" s="9"/>
      <c r="G873" s="5"/>
      <c r="H873" s="16"/>
      <c r="I873" s="69"/>
      <c r="J873" s="70"/>
      <c r="K873" s="71"/>
      <c r="L873" s="71"/>
      <c r="M873" s="5"/>
    </row>
    <row r="874" spans="1:13" s="3" customFormat="1">
      <c r="A874" s="1"/>
      <c r="B874" s="8"/>
      <c r="C874" s="5"/>
      <c r="D874" s="12"/>
      <c r="E874" s="9"/>
      <c r="F874" s="9"/>
      <c r="G874" s="5"/>
      <c r="H874" s="16"/>
      <c r="I874" s="69"/>
      <c r="J874" s="70"/>
      <c r="K874" s="71"/>
      <c r="L874" s="71"/>
      <c r="M874" s="5"/>
    </row>
    <row r="875" spans="1:13" s="3" customFormat="1">
      <c r="A875" s="1"/>
      <c r="B875" s="8"/>
      <c r="C875" s="5"/>
      <c r="D875" s="12"/>
      <c r="E875" s="9"/>
      <c r="F875" s="9"/>
      <c r="G875" s="5"/>
      <c r="H875" s="16"/>
      <c r="I875" s="69"/>
      <c r="J875" s="70"/>
      <c r="K875" s="71"/>
      <c r="L875" s="71"/>
      <c r="M875" s="5"/>
    </row>
    <row r="876" spans="1:13" s="3" customFormat="1">
      <c r="A876" s="1"/>
      <c r="B876" s="8"/>
      <c r="C876" s="5"/>
      <c r="D876" s="12"/>
      <c r="E876" s="9"/>
      <c r="F876" s="9"/>
      <c r="G876" s="5"/>
      <c r="H876" s="16"/>
      <c r="I876" s="69"/>
      <c r="J876" s="70"/>
      <c r="K876" s="71"/>
      <c r="L876" s="71"/>
      <c r="M876" s="5"/>
    </row>
    <row r="877" spans="1:13" s="3" customFormat="1">
      <c r="A877" s="1"/>
      <c r="B877" s="8"/>
      <c r="C877" s="5"/>
      <c r="D877" s="12"/>
      <c r="E877" s="9"/>
      <c r="F877" s="9"/>
      <c r="G877" s="5"/>
      <c r="H877" s="16"/>
      <c r="I877" s="69"/>
      <c r="J877" s="70"/>
      <c r="K877" s="71"/>
      <c r="L877" s="71"/>
      <c r="M877" s="5"/>
    </row>
    <row r="878" spans="1:13" s="3" customFormat="1">
      <c r="A878" s="1"/>
      <c r="B878" s="8"/>
      <c r="C878" s="5"/>
      <c r="D878" s="12"/>
      <c r="E878" s="9"/>
      <c r="F878" s="9"/>
      <c r="G878" s="5"/>
      <c r="H878" s="16"/>
      <c r="I878" s="69"/>
      <c r="J878" s="70"/>
      <c r="K878" s="71"/>
      <c r="L878" s="71"/>
      <c r="M878" s="5"/>
    </row>
    <row r="879" spans="1:13" s="3" customFormat="1">
      <c r="A879" s="1"/>
      <c r="B879" s="8"/>
      <c r="C879" s="5"/>
      <c r="D879" s="12"/>
      <c r="E879" s="9"/>
      <c r="F879" s="9"/>
      <c r="G879" s="5"/>
      <c r="H879" s="16"/>
      <c r="I879" s="69"/>
      <c r="J879" s="70"/>
      <c r="K879" s="71"/>
      <c r="L879" s="71"/>
      <c r="M879" s="5"/>
    </row>
    <row r="880" spans="1:13" s="3" customFormat="1">
      <c r="A880" s="1"/>
      <c r="B880" s="8"/>
      <c r="C880" s="5"/>
      <c r="D880" s="12"/>
      <c r="E880" s="9"/>
      <c r="F880" s="9"/>
      <c r="G880" s="5"/>
      <c r="H880" s="16"/>
      <c r="I880" s="69"/>
      <c r="J880" s="70"/>
      <c r="K880" s="71"/>
      <c r="L880" s="71"/>
      <c r="M880" s="5"/>
    </row>
    <row r="881" spans="1:13" s="3" customFormat="1">
      <c r="A881" s="1"/>
      <c r="B881" s="8"/>
      <c r="C881" s="5"/>
      <c r="D881" s="12"/>
      <c r="E881" s="9"/>
      <c r="F881" s="9"/>
      <c r="G881" s="5"/>
      <c r="H881" s="16"/>
      <c r="I881" s="69"/>
      <c r="J881" s="70"/>
      <c r="K881" s="71"/>
      <c r="L881" s="71"/>
      <c r="M881" s="5"/>
    </row>
    <row r="882" spans="1:13" s="3" customFormat="1">
      <c r="A882" s="1"/>
      <c r="B882" s="8"/>
      <c r="C882" s="5"/>
      <c r="D882" s="12"/>
      <c r="E882" s="9"/>
      <c r="F882" s="9"/>
      <c r="G882" s="5"/>
      <c r="H882" s="16"/>
      <c r="I882" s="69"/>
      <c r="J882" s="70"/>
      <c r="K882" s="71"/>
      <c r="L882" s="71"/>
      <c r="M882" s="5"/>
    </row>
    <row r="883" spans="1:13" s="3" customFormat="1">
      <c r="A883" s="1"/>
      <c r="B883" s="8"/>
      <c r="C883" s="5"/>
      <c r="D883" s="12"/>
      <c r="E883" s="9"/>
      <c r="F883" s="9"/>
      <c r="G883" s="5"/>
      <c r="H883" s="16"/>
      <c r="I883" s="69"/>
      <c r="J883" s="70"/>
      <c r="K883" s="71"/>
      <c r="L883" s="71"/>
      <c r="M883" s="5"/>
    </row>
    <row r="884" spans="1:13" s="3" customFormat="1">
      <c r="A884" s="1"/>
      <c r="B884" s="8"/>
      <c r="C884" s="5"/>
      <c r="D884" s="12"/>
      <c r="E884" s="9"/>
      <c r="F884" s="9"/>
      <c r="G884" s="5"/>
      <c r="H884" s="16"/>
      <c r="I884" s="69"/>
      <c r="J884" s="70"/>
      <c r="K884" s="71"/>
      <c r="L884" s="71"/>
      <c r="M884" s="5"/>
    </row>
    <row r="885" spans="1:13" s="3" customFormat="1">
      <c r="A885" s="1"/>
      <c r="B885" s="8"/>
      <c r="C885" s="5"/>
      <c r="D885" s="12"/>
      <c r="E885" s="9"/>
      <c r="F885" s="9"/>
      <c r="G885" s="5"/>
      <c r="H885" s="16"/>
      <c r="I885" s="69"/>
      <c r="J885" s="70"/>
      <c r="K885" s="71"/>
      <c r="L885" s="71"/>
      <c r="M885" s="5"/>
    </row>
    <row r="886" spans="1:13" s="3" customFormat="1">
      <c r="A886" s="1"/>
      <c r="B886" s="8"/>
      <c r="C886" s="5"/>
      <c r="D886" s="12"/>
      <c r="E886" s="9"/>
      <c r="F886" s="9"/>
      <c r="G886" s="5"/>
      <c r="H886" s="16"/>
      <c r="I886" s="69"/>
      <c r="J886" s="70"/>
      <c r="K886" s="71"/>
      <c r="L886" s="71"/>
      <c r="M886" s="5"/>
    </row>
    <row r="887" spans="1:13" s="3" customFormat="1">
      <c r="A887" s="1"/>
      <c r="B887" s="8"/>
      <c r="C887" s="5"/>
      <c r="D887" s="12"/>
      <c r="E887" s="9"/>
      <c r="F887" s="9"/>
      <c r="G887" s="5"/>
      <c r="H887" s="16"/>
      <c r="I887" s="69"/>
      <c r="J887" s="70"/>
      <c r="K887" s="71"/>
      <c r="L887" s="71"/>
      <c r="M887" s="5"/>
    </row>
    <row r="888" spans="1:13" s="3" customFormat="1">
      <c r="A888" s="1"/>
      <c r="B888" s="8"/>
      <c r="C888" s="5"/>
      <c r="D888" s="12"/>
      <c r="E888" s="9"/>
      <c r="F888" s="9"/>
      <c r="G888" s="5"/>
      <c r="H888" s="16"/>
      <c r="I888" s="69"/>
      <c r="J888" s="70"/>
      <c r="K888" s="71"/>
      <c r="L888" s="71"/>
      <c r="M888" s="5"/>
    </row>
    <row r="889" spans="1:13" s="3" customFormat="1">
      <c r="A889" s="1"/>
      <c r="B889" s="8"/>
      <c r="C889" s="5"/>
      <c r="D889" s="12"/>
      <c r="E889" s="9"/>
      <c r="F889" s="9"/>
      <c r="G889" s="5"/>
      <c r="H889" s="16"/>
      <c r="I889" s="69"/>
      <c r="J889" s="70"/>
      <c r="K889" s="71"/>
      <c r="L889" s="71"/>
      <c r="M889" s="5"/>
    </row>
    <row r="890" spans="1:13" s="3" customFormat="1">
      <c r="A890" s="1"/>
      <c r="B890" s="8"/>
      <c r="C890" s="5"/>
      <c r="D890" s="12"/>
      <c r="E890" s="9"/>
      <c r="F890" s="9"/>
      <c r="G890" s="5"/>
      <c r="H890" s="16"/>
      <c r="I890" s="69"/>
      <c r="J890" s="70"/>
      <c r="K890" s="71"/>
      <c r="L890" s="71"/>
      <c r="M890" s="5"/>
    </row>
    <row r="891" spans="1:13" s="3" customFormat="1">
      <c r="A891" s="1"/>
      <c r="B891" s="8"/>
      <c r="C891" s="5"/>
      <c r="D891" s="12"/>
      <c r="E891" s="9"/>
      <c r="F891" s="9"/>
      <c r="G891" s="5"/>
      <c r="H891" s="16"/>
      <c r="I891" s="69"/>
      <c r="J891" s="70"/>
      <c r="K891" s="71"/>
      <c r="L891" s="71"/>
      <c r="M891" s="5"/>
    </row>
    <row r="892" spans="1:13" s="3" customFormat="1">
      <c r="A892" s="1"/>
      <c r="B892" s="8"/>
      <c r="C892" s="5"/>
      <c r="D892" s="12"/>
      <c r="E892" s="9"/>
      <c r="F892" s="9"/>
      <c r="G892" s="5"/>
      <c r="H892" s="16"/>
      <c r="I892" s="69"/>
      <c r="J892" s="70"/>
      <c r="K892" s="71"/>
      <c r="L892" s="71"/>
      <c r="M892" s="5"/>
    </row>
    <row r="893" spans="1:13" s="3" customFormat="1">
      <c r="A893" s="1"/>
      <c r="B893" s="8"/>
      <c r="C893" s="5"/>
      <c r="D893" s="12"/>
      <c r="E893" s="9"/>
      <c r="F893" s="9"/>
      <c r="G893" s="5"/>
      <c r="H893" s="16"/>
      <c r="I893" s="69"/>
      <c r="J893" s="70"/>
      <c r="K893" s="71"/>
      <c r="L893" s="71"/>
      <c r="M893" s="5"/>
    </row>
    <row r="894" spans="1:13" s="3" customFormat="1">
      <c r="A894" s="1"/>
      <c r="B894" s="8"/>
      <c r="C894" s="5"/>
      <c r="D894" s="12"/>
      <c r="E894" s="9"/>
      <c r="F894" s="9"/>
      <c r="G894" s="5"/>
      <c r="H894" s="16"/>
      <c r="I894" s="69"/>
      <c r="J894" s="70"/>
      <c r="K894" s="71"/>
      <c r="L894" s="71"/>
      <c r="M894" s="5"/>
    </row>
    <row r="895" spans="1:13" s="3" customFormat="1">
      <c r="A895" s="1"/>
      <c r="B895" s="8"/>
      <c r="C895" s="5"/>
      <c r="D895" s="12"/>
      <c r="E895" s="9"/>
      <c r="F895" s="9"/>
      <c r="G895" s="5"/>
      <c r="H895" s="16"/>
      <c r="I895" s="69"/>
      <c r="J895" s="70"/>
      <c r="K895" s="71"/>
      <c r="L895" s="71"/>
      <c r="M895" s="5"/>
    </row>
    <row r="896" spans="1:13" s="3" customFormat="1">
      <c r="A896" s="1"/>
      <c r="B896" s="8"/>
      <c r="C896" s="5"/>
      <c r="D896" s="12"/>
      <c r="E896" s="9"/>
      <c r="F896" s="9"/>
      <c r="G896" s="5"/>
      <c r="H896" s="16"/>
      <c r="I896" s="69"/>
      <c r="J896" s="70"/>
      <c r="K896" s="71"/>
      <c r="L896" s="71"/>
      <c r="M896" s="5"/>
    </row>
    <row r="897" spans="1:13" s="3" customFormat="1">
      <c r="A897" s="1"/>
      <c r="B897" s="8"/>
      <c r="C897" s="5"/>
      <c r="D897" s="12"/>
      <c r="E897" s="9"/>
      <c r="F897" s="9"/>
      <c r="G897" s="5"/>
      <c r="H897" s="16"/>
      <c r="I897" s="69"/>
      <c r="J897" s="70"/>
      <c r="K897" s="71"/>
      <c r="L897" s="71"/>
      <c r="M897" s="5"/>
    </row>
    <row r="898" spans="1:13" s="3" customFormat="1">
      <c r="A898" s="1"/>
      <c r="B898" s="8"/>
      <c r="C898" s="5"/>
      <c r="D898" s="12"/>
      <c r="E898" s="9"/>
      <c r="F898" s="9"/>
      <c r="G898" s="5"/>
      <c r="H898" s="16"/>
      <c r="I898" s="69"/>
      <c r="J898" s="70"/>
      <c r="K898" s="71"/>
      <c r="L898" s="71"/>
      <c r="M898" s="5"/>
    </row>
    <row r="899" spans="1:13" s="3" customFormat="1">
      <c r="A899" s="1"/>
      <c r="B899" s="8"/>
      <c r="C899" s="5"/>
      <c r="D899" s="12"/>
      <c r="E899" s="9"/>
      <c r="F899" s="9"/>
      <c r="G899" s="5"/>
      <c r="H899" s="16"/>
      <c r="I899" s="69"/>
      <c r="J899" s="70"/>
      <c r="K899" s="71"/>
      <c r="L899" s="71"/>
      <c r="M899" s="5"/>
    </row>
    <row r="900" spans="1:13" s="3" customFormat="1">
      <c r="A900" s="1"/>
      <c r="B900" s="8"/>
      <c r="C900" s="5"/>
      <c r="D900" s="12"/>
      <c r="E900" s="9"/>
      <c r="F900" s="9"/>
      <c r="G900" s="5"/>
      <c r="H900" s="16"/>
      <c r="I900" s="69"/>
      <c r="J900" s="70"/>
      <c r="K900" s="71"/>
      <c r="L900" s="71"/>
      <c r="M900" s="5"/>
    </row>
    <row r="901" spans="1:13" s="3" customFormat="1">
      <c r="A901" s="1"/>
      <c r="B901" s="8"/>
      <c r="C901" s="5"/>
      <c r="D901" s="12"/>
      <c r="E901" s="9"/>
      <c r="F901" s="9"/>
      <c r="G901" s="5"/>
      <c r="H901" s="16"/>
      <c r="I901" s="69"/>
      <c r="J901" s="70"/>
      <c r="K901" s="71"/>
      <c r="L901" s="71"/>
      <c r="M901" s="5"/>
    </row>
    <row r="902" spans="1:13" s="3" customFormat="1">
      <c r="A902" s="1"/>
      <c r="B902" s="8"/>
      <c r="C902" s="5"/>
      <c r="D902" s="12"/>
      <c r="E902" s="9"/>
      <c r="F902" s="9"/>
      <c r="G902" s="5"/>
      <c r="H902" s="16"/>
      <c r="I902" s="69"/>
      <c r="J902" s="70"/>
      <c r="K902" s="71"/>
      <c r="L902" s="71"/>
      <c r="M902" s="5"/>
    </row>
    <row r="903" spans="1:13" s="3" customFormat="1">
      <c r="A903" s="1"/>
      <c r="B903" s="8"/>
      <c r="C903" s="5"/>
      <c r="D903" s="12"/>
      <c r="E903" s="9"/>
      <c r="F903" s="9"/>
      <c r="G903" s="5"/>
      <c r="H903" s="16"/>
      <c r="I903" s="69"/>
      <c r="J903" s="70"/>
      <c r="K903" s="71"/>
      <c r="L903" s="71"/>
      <c r="M903" s="5"/>
    </row>
    <row r="904" spans="1:13" s="3" customFormat="1">
      <c r="A904" s="1"/>
      <c r="B904" s="8"/>
      <c r="C904" s="5"/>
      <c r="D904" s="12"/>
      <c r="E904" s="9"/>
      <c r="F904" s="9"/>
      <c r="G904" s="5"/>
      <c r="H904" s="16"/>
      <c r="I904" s="69"/>
      <c r="J904" s="70"/>
      <c r="K904" s="71"/>
      <c r="L904" s="71"/>
      <c r="M904" s="5"/>
    </row>
    <row r="905" spans="1:13" s="3" customFormat="1">
      <c r="A905" s="1"/>
      <c r="B905" s="8"/>
      <c r="C905" s="5"/>
      <c r="D905" s="12"/>
      <c r="E905" s="9"/>
      <c r="F905" s="9"/>
      <c r="G905" s="5"/>
      <c r="H905" s="16"/>
      <c r="I905" s="69"/>
      <c r="J905" s="70"/>
      <c r="K905" s="71"/>
      <c r="L905" s="71"/>
      <c r="M905" s="5"/>
    </row>
    <row r="906" spans="1:13" s="3" customFormat="1">
      <c r="A906" s="1"/>
      <c r="B906" s="8"/>
      <c r="C906" s="5"/>
      <c r="D906" s="12"/>
      <c r="E906" s="9"/>
      <c r="F906" s="9"/>
      <c r="G906" s="5"/>
      <c r="H906" s="16"/>
      <c r="I906" s="69"/>
      <c r="J906" s="70"/>
      <c r="K906" s="71"/>
      <c r="L906" s="71"/>
      <c r="M906" s="5"/>
    </row>
    <row r="907" spans="1:13" s="3" customFormat="1">
      <c r="A907" s="1"/>
      <c r="B907" s="8"/>
      <c r="C907" s="5"/>
      <c r="D907" s="12"/>
      <c r="E907" s="9"/>
      <c r="F907" s="9"/>
      <c r="G907" s="5"/>
      <c r="H907" s="16"/>
      <c r="I907" s="69"/>
      <c r="J907" s="70"/>
      <c r="K907" s="71"/>
      <c r="L907" s="71"/>
      <c r="M907" s="5"/>
    </row>
    <row r="908" spans="1:13" s="3" customFormat="1">
      <c r="A908" s="1"/>
      <c r="B908" s="8"/>
      <c r="C908" s="5"/>
      <c r="D908" s="12"/>
      <c r="E908" s="9"/>
      <c r="F908" s="9"/>
      <c r="G908" s="5"/>
      <c r="H908" s="16"/>
      <c r="I908" s="69"/>
      <c r="J908" s="70"/>
      <c r="K908" s="71"/>
      <c r="L908" s="71"/>
      <c r="M908" s="5"/>
    </row>
    <row r="909" spans="1:13" s="3" customFormat="1">
      <c r="A909" s="1"/>
      <c r="B909" s="8"/>
      <c r="C909" s="5"/>
      <c r="D909" s="12"/>
      <c r="E909" s="9"/>
      <c r="F909" s="9"/>
      <c r="G909" s="5"/>
      <c r="H909" s="16"/>
      <c r="I909" s="69"/>
      <c r="J909" s="70"/>
      <c r="K909" s="71"/>
      <c r="L909" s="71"/>
      <c r="M909" s="5"/>
    </row>
    <row r="910" spans="1:13" s="3" customFormat="1">
      <c r="A910" s="1"/>
      <c r="B910" s="8"/>
      <c r="C910" s="5"/>
      <c r="D910" s="12"/>
      <c r="E910" s="9"/>
      <c r="F910" s="9"/>
      <c r="G910" s="5"/>
      <c r="H910" s="16"/>
      <c r="I910" s="69"/>
      <c r="J910" s="70"/>
      <c r="K910" s="71"/>
      <c r="L910" s="71"/>
      <c r="M910" s="5"/>
    </row>
    <row r="911" spans="1:13" s="3" customFormat="1">
      <c r="A911" s="1"/>
      <c r="B911" s="8"/>
      <c r="C911" s="5"/>
      <c r="D911" s="12"/>
      <c r="E911" s="9"/>
      <c r="F911" s="9"/>
      <c r="G911" s="5"/>
      <c r="H911" s="16"/>
      <c r="I911" s="69"/>
      <c r="J911" s="70"/>
      <c r="K911" s="71"/>
      <c r="L911" s="71"/>
      <c r="M911" s="5"/>
    </row>
    <row r="912" spans="1:13" s="3" customFormat="1">
      <c r="A912" s="1"/>
      <c r="B912" s="8"/>
      <c r="C912" s="5"/>
      <c r="D912" s="12"/>
      <c r="E912" s="9"/>
      <c r="F912" s="9"/>
      <c r="G912" s="5"/>
      <c r="H912" s="16"/>
      <c r="I912" s="69"/>
      <c r="J912" s="70"/>
      <c r="K912" s="71"/>
      <c r="L912" s="71"/>
      <c r="M912" s="5"/>
    </row>
    <row r="913" spans="1:13" s="3" customFormat="1">
      <c r="A913" s="1"/>
      <c r="B913" s="8"/>
      <c r="C913" s="5"/>
      <c r="D913" s="12"/>
      <c r="E913" s="9"/>
      <c r="F913" s="9"/>
      <c r="G913" s="5"/>
      <c r="H913" s="16"/>
      <c r="I913" s="69"/>
      <c r="J913" s="70"/>
      <c r="K913" s="71"/>
      <c r="L913" s="71"/>
      <c r="M913" s="5"/>
    </row>
    <row r="914" spans="1:13" s="3" customFormat="1">
      <c r="A914" s="1"/>
      <c r="B914" s="8"/>
      <c r="C914" s="5"/>
      <c r="D914" s="12"/>
      <c r="E914" s="9"/>
      <c r="F914" s="9"/>
      <c r="G914" s="5"/>
      <c r="H914" s="16"/>
      <c r="I914" s="69"/>
      <c r="J914" s="70"/>
      <c r="K914" s="71"/>
      <c r="L914" s="71"/>
      <c r="M914" s="5"/>
    </row>
    <row r="915" spans="1:13" s="3" customFormat="1">
      <c r="A915" s="1"/>
      <c r="B915" s="8"/>
      <c r="C915" s="5"/>
      <c r="D915" s="12"/>
      <c r="E915" s="9"/>
      <c r="F915" s="9"/>
      <c r="G915" s="5"/>
      <c r="H915" s="16"/>
      <c r="I915" s="69"/>
      <c r="J915" s="70"/>
      <c r="K915" s="71"/>
      <c r="L915" s="71"/>
      <c r="M915" s="5"/>
    </row>
    <row r="916" spans="1:13" s="3" customFormat="1">
      <c r="A916" s="1"/>
      <c r="B916" s="8"/>
      <c r="C916" s="5"/>
      <c r="D916" s="12"/>
      <c r="E916" s="9"/>
      <c r="F916" s="9"/>
      <c r="G916" s="5"/>
      <c r="H916" s="16"/>
      <c r="I916" s="69"/>
      <c r="J916" s="70"/>
      <c r="K916" s="71"/>
      <c r="L916" s="71"/>
      <c r="M916" s="5"/>
    </row>
    <row r="917" spans="1:13" s="3" customFormat="1">
      <c r="A917" s="1"/>
      <c r="B917" s="8"/>
      <c r="C917" s="5"/>
      <c r="D917" s="12"/>
      <c r="E917" s="9"/>
      <c r="F917" s="9"/>
      <c r="G917" s="5"/>
      <c r="H917" s="16"/>
      <c r="I917" s="69"/>
      <c r="J917" s="70"/>
      <c r="K917" s="71"/>
      <c r="L917" s="71"/>
      <c r="M917" s="5"/>
    </row>
    <row r="918" spans="1:13" s="3" customFormat="1">
      <c r="A918" s="1"/>
      <c r="B918" s="8"/>
      <c r="C918" s="5"/>
      <c r="D918" s="12"/>
      <c r="E918" s="9"/>
      <c r="F918" s="9"/>
      <c r="G918" s="5"/>
      <c r="H918" s="16"/>
      <c r="I918" s="69"/>
      <c r="J918" s="70"/>
      <c r="K918" s="71"/>
      <c r="L918" s="71"/>
      <c r="M918" s="5"/>
    </row>
    <row r="919" spans="1:13" s="3" customFormat="1">
      <c r="A919" s="1"/>
      <c r="B919" s="8"/>
      <c r="C919" s="5"/>
      <c r="D919" s="12"/>
      <c r="E919" s="9"/>
      <c r="F919" s="9"/>
      <c r="G919" s="5"/>
      <c r="H919" s="16"/>
      <c r="I919" s="69"/>
      <c r="J919" s="70"/>
      <c r="K919" s="71"/>
      <c r="L919" s="71"/>
      <c r="M919" s="5"/>
    </row>
    <row r="920" spans="1:13" s="3" customFormat="1">
      <c r="A920" s="1"/>
      <c r="B920" s="8"/>
      <c r="C920" s="5"/>
      <c r="D920" s="12"/>
      <c r="E920" s="9"/>
      <c r="F920" s="9"/>
      <c r="G920" s="5"/>
      <c r="H920" s="16"/>
      <c r="I920" s="69"/>
      <c r="J920" s="70"/>
      <c r="K920" s="71"/>
      <c r="L920" s="71"/>
      <c r="M920" s="5"/>
    </row>
    <row r="921" spans="1:13" s="3" customFormat="1">
      <c r="A921" s="1"/>
      <c r="B921" s="8"/>
      <c r="C921" s="5"/>
      <c r="D921" s="12"/>
      <c r="E921" s="9"/>
      <c r="F921" s="9"/>
      <c r="G921" s="5"/>
      <c r="H921" s="16"/>
      <c r="I921" s="69"/>
      <c r="J921" s="70"/>
      <c r="K921" s="71"/>
      <c r="L921" s="71"/>
      <c r="M921" s="5"/>
    </row>
    <row r="922" spans="1:13" s="3" customFormat="1">
      <c r="A922" s="1"/>
      <c r="B922" s="8"/>
      <c r="C922" s="5"/>
      <c r="D922" s="12"/>
      <c r="E922" s="9"/>
      <c r="F922" s="9"/>
      <c r="G922" s="5"/>
      <c r="H922" s="16"/>
      <c r="I922" s="69"/>
      <c r="J922" s="70"/>
      <c r="K922" s="71"/>
      <c r="L922" s="71"/>
      <c r="M922" s="5"/>
    </row>
    <row r="923" spans="1:13" s="3" customFormat="1">
      <c r="A923" s="1"/>
      <c r="B923" s="8"/>
      <c r="C923" s="5"/>
      <c r="D923" s="12"/>
      <c r="E923" s="9"/>
      <c r="F923" s="9"/>
      <c r="G923" s="5"/>
      <c r="H923" s="16"/>
      <c r="I923" s="69"/>
      <c r="J923" s="70"/>
      <c r="K923" s="71"/>
      <c r="L923" s="71"/>
      <c r="M923" s="5"/>
    </row>
    <row r="924" spans="1:13" s="3" customFormat="1">
      <c r="A924" s="1"/>
      <c r="B924" s="8"/>
      <c r="C924" s="5"/>
      <c r="D924" s="12"/>
      <c r="E924" s="9"/>
      <c r="F924" s="9"/>
      <c r="G924" s="5"/>
      <c r="H924" s="16"/>
      <c r="I924" s="69"/>
      <c r="J924" s="70"/>
      <c r="K924" s="71"/>
      <c r="L924" s="71"/>
      <c r="M924" s="5"/>
    </row>
    <row r="925" spans="1:13" s="3" customFormat="1">
      <c r="A925" s="1"/>
      <c r="B925" s="8"/>
      <c r="C925" s="5"/>
      <c r="D925" s="12"/>
      <c r="E925" s="9"/>
      <c r="F925" s="9"/>
      <c r="G925" s="5"/>
      <c r="H925" s="16"/>
      <c r="I925" s="69"/>
      <c r="J925" s="70"/>
      <c r="K925" s="71"/>
      <c r="L925" s="71"/>
      <c r="M925" s="5"/>
    </row>
    <row r="926" spans="1:13" s="3" customFormat="1">
      <c r="A926" s="1"/>
      <c r="B926" s="8"/>
      <c r="C926" s="5"/>
      <c r="D926" s="12"/>
      <c r="E926" s="9"/>
      <c r="F926" s="9"/>
      <c r="G926" s="5"/>
      <c r="H926" s="16"/>
      <c r="I926" s="69"/>
      <c r="J926" s="70"/>
      <c r="K926" s="71"/>
      <c r="L926" s="71"/>
      <c r="M926" s="5"/>
    </row>
    <row r="927" spans="1:13" s="3" customFormat="1">
      <c r="A927" s="1"/>
      <c r="B927" s="8"/>
      <c r="C927" s="5"/>
      <c r="D927" s="12"/>
      <c r="E927" s="9"/>
      <c r="F927" s="9"/>
      <c r="G927" s="5"/>
      <c r="H927" s="16"/>
      <c r="I927" s="69"/>
      <c r="J927" s="70"/>
      <c r="K927" s="71"/>
      <c r="L927" s="71"/>
      <c r="M927" s="5"/>
    </row>
    <row r="928" spans="1:13" s="3" customFormat="1">
      <c r="A928" s="1"/>
      <c r="B928" s="8"/>
      <c r="C928" s="5"/>
      <c r="D928" s="12"/>
      <c r="E928" s="9"/>
      <c r="F928" s="9"/>
      <c r="G928" s="5"/>
      <c r="H928" s="16"/>
      <c r="I928" s="69"/>
      <c r="J928" s="70"/>
      <c r="K928" s="71"/>
      <c r="L928" s="71"/>
      <c r="M928" s="5"/>
    </row>
    <row r="929" spans="1:13" s="3" customFormat="1">
      <c r="A929" s="1"/>
      <c r="B929" s="8"/>
      <c r="C929" s="5"/>
      <c r="D929" s="12"/>
      <c r="E929" s="9"/>
      <c r="F929" s="9"/>
      <c r="G929" s="5"/>
      <c r="H929" s="16"/>
      <c r="I929" s="69"/>
      <c r="J929" s="70"/>
      <c r="K929" s="71"/>
      <c r="L929" s="71"/>
      <c r="M929" s="5"/>
    </row>
    <row r="930" spans="1:13" s="3" customFormat="1">
      <c r="A930" s="1"/>
      <c r="B930" s="8"/>
      <c r="C930" s="5"/>
      <c r="D930" s="12"/>
      <c r="E930" s="9"/>
      <c r="F930" s="9"/>
      <c r="G930" s="5"/>
      <c r="H930" s="16"/>
      <c r="I930" s="69"/>
      <c r="J930" s="70"/>
      <c r="K930" s="71"/>
      <c r="L930" s="71"/>
      <c r="M930" s="5"/>
    </row>
    <row r="931" spans="1:13" s="3" customFormat="1">
      <c r="A931" s="1"/>
      <c r="B931" s="8"/>
      <c r="C931" s="5"/>
      <c r="D931" s="12"/>
      <c r="E931" s="9"/>
      <c r="F931" s="9"/>
      <c r="G931" s="5"/>
      <c r="H931" s="16"/>
      <c r="I931" s="69"/>
      <c r="J931" s="70"/>
      <c r="K931" s="71"/>
      <c r="L931" s="71"/>
      <c r="M931" s="5"/>
    </row>
    <row r="932" spans="1:13" s="3" customFormat="1">
      <c r="A932" s="1"/>
      <c r="B932" s="8"/>
      <c r="C932" s="5"/>
      <c r="D932" s="12"/>
      <c r="E932" s="9"/>
      <c r="F932" s="9"/>
      <c r="G932" s="5"/>
      <c r="H932" s="16"/>
      <c r="I932" s="69"/>
      <c r="J932" s="70"/>
      <c r="K932" s="71"/>
      <c r="L932" s="71"/>
      <c r="M932" s="5"/>
    </row>
    <row r="933" spans="1:13" s="3" customFormat="1">
      <c r="A933" s="1"/>
      <c r="B933" s="8"/>
      <c r="C933" s="5"/>
      <c r="D933" s="12"/>
      <c r="E933" s="9"/>
      <c r="F933" s="9"/>
      <c r="G933" s="5"/>
      <c r="H933" s="16"/>
      <c r="I933" s="69"/>
      <c r="J933" s="70"/>
      <c r="K933" s="71"/>
      <c r="L933" s="71"/>
      <c r="M933" s="5"/>
    </row>
    <row r="934" spans="1:13" s="3" customFormat="1">
      <c r="A934" s="1"/>
      <c r="B934" s="8"/>
      <c r="C934" s="5"/>
      <c r="D934" s="12"/>
      <c r="E934" s="9"/>
      <c r="F934" s="9"/>
      <c r="G934" s="5"/>
      <c r="H934" s="16"/>
      <c r="I934" s="69"/>
      <c r="J934" s="70"/>
      <c r="K934" s="71"/>
      <c r="L934" s="71"/>
      <c r="M934" s="5"/>
    </row>
    <row r="935" spans="1:13" s="3" customFormat="1">
      <c r="A935" s="1"/>
      <c r="B935" s="8"/>
      <c r="C935" s="5"/>
      <c r="D935" s="12"/>
      <c r="E935" s="9"/>
      <c r="F935" s="9"/>
      <c r="G935" s="5"/>
      <c r="H935" s="16"/>
      <c r="I935" s="69"/>
      <c r="J935" s="70"/>
      <c r="K935" s="71"/>
      <c r="L935" s="71"/>
      <c r="M935" s="5"/>
    </row>
    <row r="936" spans="1:13" s="3" customFormat="1">
      <c r="A936" s="1"/>
      <c r="B936" s="8"/>
      <c r="C936" s="5"/>
      <c r="D936" s="12"/>
      <c r="E936" s="9"/>
      <c r="F936" s="9"/>
      <c r="G936" s="5"/>
      <c r="H936" s="16"/>
      <c r="I936" s="69"/>
      <c r="J936" s="70"/>
      <c r="K936" s="71"/>
      <c r="L936" s="71"/>
      <c r="M936" s="5"/>
    </row>
    <row r="937" spans="1:13" s="3" customFormat="1">
      <c r="A937" s="1"/>
      <c r="B937" s="8"/>
      <c r="C937" s="5"/>
      <c r="D937" s="12"/>
      <c r="E937" s="9"/>
      <c r="F937" s="9"/>
      <c r="G937" s="5"/>
      <c r="H937" s="16"/>
      <c r="I937" s="69"/>
      <c r="J937" s="70"/>
      <c r="K937" s="71"/>
      <c r="L937" s="71"/>
      <c r="M937" s="5"/>
    </row>
    <row r="938" spans="1:13" s="3" customFormat="1">
      <c r="A938" s="1"/>
      <c r="B938" s="8"/>
      <c r="C938" s="5"/>
      <c r="D938" s="12"/>
      <c r="E938" s="9"/>
      <c r="F938" s="9"/>
      <c r="G938" s="5"/>
      <c r="H938" s="16"/>
      <c r="I938" s="69"/>
      <c r="J938" s="70"/>
      <c r="K938" s="71"/>
      <c r="L938" s="71"/>
      <c r="M938" s="5"/>
    </row>
    <row r="939" spans="1:13" s="3" customFormat="1">
      <c r="A939" s="1"/>
      <c r="B939" s="8"/>
      <c r="C939" s="5"/>
      <c r="D939" s="12"/>
      <c r="E939" s="9"/>
      <c r="F939" s="9"/>
      <c r="G939" s="5"/>
      <c r="H939" s="16"/>
      <c r="I939" s="69"/>
      <c r="J939" s="70"/>
      <c r="K939" s="71"/>
      <c r="L939" s="71"/>
      <c r="M939" s="5"/>
    </row>
    <row r="940" spans="1:13" s="3" customFormat="1">
      <c r="A940" s="1"/>
      <c r="B940" s="8"/>
      <c r="C940" s="5"/>
      <c r="D940" s="12"/>
      <c r="E940" s="9"/>
      <c r="F940" s="9"/>
      <c r="G940" s="5"/>
      <c r="H940" s="16"/>
      <c r="I940" s="69"/>
      <c r="J940" s="70"/>
      <c r="K940" s="71"/>
      <c r="L940" s="71"/>
      <c r="M940" s="5"/>
    </row>
    <row r="941" spans="1:13" s="3" customFormat="1">
      <c r="A941" s="1"/>
      <c r="B941" s="8"/>
      <c r="C941" s="5"/>
      <c r="D941" s="12"/>
      <c r="E941" s="9"/>
      <c r="F941" s="9"/>
      <c r="G941" s="5"/>
      <c r="H941" s="16"/>
      <c r="I941" s="69"/>
      <c r="J941" s="70"/>
      <c r="K941" s="71"/>
      <c r="L941" s="71"/>
      <c r="M941" s="5"/>
    </row>
    <row r="942" spans="1:13" s="3" customFormat="1">
      <c r="A942" s="1"/>
      <c r="B942" s="8"/>
      <c r="C942" s="5"/>
      <c r="D942" s="12"/>
      <c r="E942" s="9"/>
      <c r="F942" s="9"/>
      <c r="G942" s="5"/>
      <c r="H942" s="16"/>
      <c r="I942" s="69"/>
      <c r="J942" s="70"/>
      <c r="K942" s="71"/>
      <c r="L942" s="71"/>
      <c r="M942" s="5"/>
    </row>
    <row r="943" spans="1:13" s="3" customFormat="1">
      <c r="A943" s="1"/>
      <c r="B943" s="8"/>
      <c r="C943" s="5"/>
      <c r="D943" s="12"/>
      <c r="E943" s="9"/>
      <c r="F943" s="9"/>
      <c r="G943" s="5"/>
      <c r="H943" s="16"/>
      <c r="I943" s="69"/>
      <c r="J943" s="70"/>
      <c r="K943" s="71"/>
      <c r="L943" s="71"/>
      <c r="M943" s="5"/>
    </row>
    <row r="944" spans="1:13" s="3" customFormat="1">
      <c r="A944" s="1"/>
      <c r="B944" s="8"/>
      <c r="C944" s="5"/>
      <c r="D944" s="12"/>
      <c r="E944" s="9"/>
      <c r="F944" s="9"/>
      <c r="G944" s="5"/>
      <c r="H944" s="16"/>
      <c r="I944" s="69"/>
      <c r="J944" s="70"/>
      <c r="K944" s="71"/>
      <c r="L944" s="71"/>
      <c r="M944" s="5"/>
    </row>
    <row r="945" spans="1:13" s="3" customFormat="1">
      <c r="A945" s="1"/>
      <c r="B945" s="8"/>
      <c r="C945" s="5"/>
      <c r="D945" s="12"/>
      <c r="E945" s="9"/>
      <c r="F945" s="9"/>
      <c r="G945" s="5"/>
      <c r="H945" s="16"/>
      <c r="I945" s="69"/>
      <c r="J945" s="70"/>
      <c r="K945" s="71"/>
      <c r="L945" s="71"/>
      <c r="M945" s="5"/>
    </row>
    <row r="946" spans="1:13" s="3" customFormat="1">
      <c r="A946" s="1"/>
      <c r="B946" s="8"/>
      <c r="C946" s="5"/>
      <c r="D946" s="12"/>
      <c r="E946" s="9"/>
      <c r="F946" s="9"/>
      <c r="G946" s="5"/>
      <c r="H946" s="16"/>
      <c r="I946" s="69"/>
      <c r="J946" s="70"/>
      <c r="K946" s="71"/>
      <c r="L946" s="71"/>
      <c r="M946" s="5"/>
    </row>
    <row r="947" spans="1:13" s="3" customFormat="1">
      <c r="A947" s="1"/>
      <c r="B947" s="8"/>
      <c r="C947" s="5"/>
      <c r="D947" s="12"/>
      <c r="E947" s="9"/>
      <c r="F947" s="9"/>
      <c r="G947" s="5"/>
      <c r="H947" s="16"/>
      <c r="I947" s="69"/>
      <c r="J947" s="70"/>
      <c r="K947" s="71"/>
      <c r="L947" s="71"/>
      <c r="M947" s="5"/>
    </row>
    <row r="948" spans="1:13" s="3" customFormat="1">
      <c r="A948" s="1"/>
      <c r="B948" s="8"/>
      <c r="C948" s="5"/>
      <c r="D948" s="12"/>
      <c r="E948" s="9"/>
      <c r="F948" s="9"/>
      <c r="G948" s="5"/>
      <c r="H948" s="16"/>
      <c r="I948" s="69"/>
      <c r="J948" s="70"/>
      <c r="K948" s="71"/>
      <c r="L948" s="71"/>
      <c r="M948" s="5"/>
    </row>
    <row r="949" spans="1:13" s="3" customFormat="1">
      <c r="A949" s="1"/>
      <c r="B949" s="8"/>
      <c r="C949" s="5"/>
      <c r="D949" s="12"/>
      <c r="E949" s="9"/>
      <c r="F949" s="9"/>
      <c r="G949" s="5"/>
      <c r="H949" s="16"/>
      <c r="I949" s="69"/>
      <c r="J949" s="70"/>
      <c r="K949" s="71"/>
      <c r="L949" s="71"/>
      <c r="M949" s="5"/>
    </row>
    <row r="950" spans="1:13" s="3" customFormat="1">
      <c r="A950" s="1"/>
      <c r="B950" s="8"/>
      <c r="C950" s="5"/>
      <c r="D950" s="12"/>
      <c r="E950" s="9"/>
      <c r="F950" s="9"/>
      <c r="G950" s="5"/>
      <c r="H950" s="16"/>
      <c r="I950" s="69"/>
      <c r="J950" s="70"/>
      <c r="K950" s="71"/>
      <c r="L950" s="71"/>
      <c r="M950" s="5"/>
    </row>
    <row r="951" spans="1:13" s="3" customFormat="1">
      <c r="A951" s="1"/>
      <c r="B951" s="8"/>
      <c r="C951" s="5"/>
      <c r="D951" s="12"/>
      <c r="E951" s="9"/>
      <c r="F951" s="9"/>
      <c r="G951" s="5"/>
      <c r="H951" s="16"/>
      <c r="I951" s="69"/>
      <c r="J951" s="70"/>
      <c r="K951" s="71"/>
      <c r="L951" s="71"/>
      <c r="M951" s="5"/>
    </row>
    <row r="952" spans="1:13" s="3" customFormat="1">
      <c r="A952" s="1"/>
      <c r="B952" s="8"/>
      <c r="C952" s="5"/>
      <c r="D952" s="12"/>
      <c r="E952" s="9"/>
      <c r="F952" s="9"/>
      <c r="G952" s="5"/>
      <c r="H952" s="16"/>
      <c r="I952" s="69"/>
      <c r="J952" s="70"/>
      <c r="K952" s="71"/>
      <c r="L952" s="71"/>
      <c r="M952" s="5"/>
    </row>
    <row r="953" spans="1:13" s="3" customFormat="1">
      <c r="A953" s="1"/>
      <c r="B953" s="8"/>
      <c r="C953" s="5"/>
      <c r="D953" s="12"/>
      <c r="E953" s="9"/>
      <c r="F953" s="9"/>
      <c r="G953" s="5"/>
      <c r="H953" s="16"/>
      <c r="I953" s="69"/>
      <c r="J953" s="70"/>
      <c r="K953" s="71"/>
      <c r="L953" s="71"/>
      <c r="M953" s="5"/>
    </row>
    <row r="954" spans="1:13" s="3" customFormat="1">
      <c r="A954" s="1"/>
      <c r="B954" s="8"/>
      <c r="C954" s="5"/>
      <c r="D954" s="12"/>
      <c r="E954" s="9"/>
      <c r="F954" s="9"/>
      <c r="G954" s="5"/>
      <c r="H954" s="16"/>
      <c r="I954" s="69"/>
      <c r="J954" s="70"/>
      <c r="K954" s="71"/>
      <c r="L954" s="71"/>
      <c r="M954" s="5"/>
    </row>
    <row r="955" spans="1:13" s="3" customFormat="1">
      <c r="A955" s="1"/>
      <c r="B955" s="8"/>
      <c r="C955" s="5"/>
      <c r="D955" s="12"/>
      <c r="E955" s="9"/>
      <c r="F955" s="9"/>
      <c r="G955" s="5"/>
      <c r="H955" s="16"/>
      <c r="I955" s="69"/>
      <c r="J955" s="70"/>
      <c r="K955" s="71"/>
      <c r="L955" s="71"/>
      <c r="M955" s="5"/>
    </row>
    <row r="956" spans="1:13" s="3" customFormat="1">
      <c r="A956" s="1"/>
      <c r="B956" s="8"/>
      <c r="C956" s="5"/>
      <c r="D956" s="12"/>
      <c r="E956" s="9"/>
      <c r="F956" s="9"/>
      <c r="G956" s="5"/>
      <c r="H956" s="16"/>
      <c r="I956" s="69"/>
      <c r="J956" s="70"/>
      <c r="K956" s="71"/>
      <c r="L956" s="71"/>
      <c r="M956" s="5"/>
    </row>
    <row r="957" spans="1:13" s="3" customFormat="1">
      <c r="A957" s="1"/>
      <c r="B957" s="8"/>
      <c r="C957" s="5"/>
      <c r="D957" s="12"/>
      <c r="E957" s="9"/>
      <c r="F957" s="9"/>
      <c r="G957" s="5"/>
      <c r="H957" s="16"/>
      <c r="I957" s="69"/>
      <c r="J957" s="70"/>
      <c r="K957" s="71"/>
      <c r="L957" s="71"/>
      <c r="M957" s="5"/>
    </row>
    <row r="958" spans="1:13" s="3" customFormat="1">
      <c r="A958" s="1"/>
      <c r="B958" s="8"/>
      <c r="C958" s="5"/>
      <c r="D958" s="12"/>
      <c r="E958" s="9"/>
      <c r="F958" s="9"/>
      <c r="G958" s="5"/>
      <c r="H958" s="16"/>
      <c r="I958" s="69"/>
      <c r="J958" s="70"/>
      <c r="K958" s="71"/>
      <c r="L958" s="71"/>
      <c r="M958" s="5"/>
    </row>
    <row r="959" spans="1:13" s="3" customFormat="1">
      <c r="A959" s="1"/>
      <c r="B959" s="8"/>
      <c r="C959" s="5"/>
      <c r="D959" s="12"/>
      <c r="E959" s="9"/>
      <c r="F959" s="9"/>
      <c r="G959" s="5"/>
      <c r="H959" s="16"/>
      <c r="I959" s="69"/>
      <c r="J959" s="70"/>
      <c r="K959" s="71"/>
      <c r="L959" s="71"/>
      <c r="M959" s="5"/>
    </row>
    <row r="960" spans="1:13" s="3" customFormat="1">
      <c r="A960" s="1"/>
      <c r="B960" s="8"/>
      <c r="C960" s="5"/>
      <c r="D960" s="12"/>
      <c r="E960" s="9"/>
      <c r="F960" s="9"/>
      <c r="G960" s="5"/>
      <c r="H960" s="16"/>
      <c r="I960" s="69"/>
      <c r="J960" s="70"/>
      <c r="K960" s="71"/>
      <c r="L960" s="71"/>
      <c r="M960" s="5"/>
    </row>
    <row r="961" spans="1:13" s="3" customFormat="1">
      <c r="A961" s="1"/>
      <c r="B961" s="8"/>
      <c r="C961" s="5"/>
      <c r="D961" s="12"/>
      <c r="E961" s="9"/>
      <c r="F961" s="9"/>
      <c r="G961" s="5"/>
      <c r="H961" s="16"/>
      <c r="I961" s="69"/>
      <c r="J961" s="70"/>
      <c r="K961" s="71"/>
      <c r="L961" s="71"/>
      <c r="M961" s="5"/>
    </row>
    <row r="962" spans="1:13" s="3" customFormat="1">
      <c r="A962" s="1"/>
      <c r="B962" s="8"/>
      <c r="C962" s="5"/>
      <c r="D962" s="12"/>
      <c r="E962" s="9"/>
      <c r="F962" s="9"/>
      <c r="G962" s="5"/>
      <c r="H962" s="16"/>
      <c r="I962" s="69"/>
      <c r="J962" s="70"/>
      <c r="K962" s="71"/>
      <c r="L962" s="71"/>
      <c r="M962" s="5"/>
    </row>
    <row r="963" spans="1:13" s="3" customFormat="1">
      <c r="A963" s="1"/>
      <c r="B963" s="8"/>
      <c r="C963" s="5"/>
      <c r="D963" s="12"/>
      <c r="E963" s="9"/>
      <c r="F963" s="9"/>
      <c r="G963" s="5"/>
      <c r="H963" s="16"/>
      <c r="I963" s="69"/>
      <c r="J963" s="70"/>
      <c r="K963" s="71"/>
      <c r="L963" s="71"/>
      <c r="M963" s="5"/>
    </row>
    <row r="964" spans="1:13" s="3" customFormat="1">
      <c r="A964" s="1"/>
      <c r="B964" s="8"/>
      <c r="C964" s="5"/>
      <c r="D964" s="12"/>
      <c r="E964" s="9"/>
      <c r="F964" s="9"/>
      <c r="G964" s="5"/>
      <c r="H964" s="16"/>
      <c r="I964" s="69"/>
      <c r="J964" s="70"/>
      <c r="K964" s="71"/>
      <c r="L964" s="71"/>
      <c r="M964" s="5"/>
    </row>
    <row r="965" spans="1:13" s="3" customFormat="1">
      <c r="A965" s="1"/>
      <c r="B965" s="8"/>
      <c r="C965" s="5"/>
      <c r="D965" s="12"/>
      <c r="E965" s="9"/>
      <c r="F965" s="9"/>
      <c r="G965" s="5"/>
      <c r="H965" s="16"/>
      <c r="I965" s="69"/>
      <c r="J965" s="70"/>
      <c r="K965" s="71"/>
      <c r="L965" s="71"/>
      <c r="M965" s="5"/>
    </row>
    <row r="966" spans="1:13" s="3" customFormat="1">
      <c r="A966" s="1"/>
      <c r="B966" s="8"/>
      <c r="C966" s="5"/>
      <c r="D966" s="12"/>
      <c r="E966" s="9"/>
      <c r="F966" s="9"/>
      <c r="G966" s="5"/>
      <c r="H966" s="16"/>
      <c r="I966" s="69"/>
      <c r="J966" s="70"/>
      <c r="K966" s="71"/>
      <c r="L966" s="71"/>
      <c r="M966" s="5"/>
    </row>
    <row r="967" spans="1:13" s="3" customFormat="1">
      <c r="A967" s="1"/>
      <c r="B967" s="8"/>
      <c r="C967" s="5"/>
      <c r="D967" s="12"/>
      <c r="E967" s="9"/>
      <c r="F967" s="9"/>
      <c r="G967" s="5"/>
      <c r="H967" s="16"/>
      <c r="I967" s="69"/>
      <c r="J967" s="70"/>
      <c r="K967" s="71"/>
      <c r="L967" s="71"/>
      <c r="M967" s="5"/>
    </row>
    <row r="968" spans="1:13" s="3" customFormat="1">
      <c r="A968" s="1"/>
      <c r="B968" s="8"/>
      <c r="C968" s="5"/>
      <c r="D968" s="12"/>
      <c r="E968" s="9"/>
      <c r="F968" s="9"/>
      <c r="G968" s="5"/>
      <c r="H968" s="16"/>
      <c r="I968" s="69"/>
      <c r="J968" s="70"/>
      <c r="K968" s="71"/>
      <c r="L968" s="71"/>
      <c r="M968" s="5"/>
    </row>
    <row r="969" spans="1:13" s="3" customFormat="1">
      <c r="A969" s="1"/>
      <c r="B969" s="8"/>
      <c r="C969" s="5"/>
      <c r="D969" s="12"/>
      <c r="E969" s="9"/>
      <c r="F969" s="9"/>
      <c r="G969" s="5"/>
      <c r="H969" s="16"/>
      <c r="I969" s="69"/>
      <c r="J969" s="70"/>
      <c r="K969" s="71"/>
      <c r="L969" s="71"/>
      <c r="M969" s="5"/>
    </row>
    <row r="970" spans="1:13" s="3" customFormat="1">
      <c r="A970" s="1"/>
      <c r="B970" s="8"/>
      <c r="C970" s="5"/>
      <c r="D970" s="12"/>
      <c r="E970" s="9"/>
      <c r="F970" s="9"/>
      <c r="G970" s="5"/>
      <c r="H970" s="16"/>
      <c r="I970" s="69"/>
      <c r="J970" s="70"/>
      <c r="K970" s="71"/>
      <c r="L970" s="71"/>
      <c r="M970" s="5"/>
    </row>
    <row r="971" spans="1:13" s="3" customFormat="1">
      <c r="A971" s="1"/>
      <c r="B971" s="8"/>
      <c r="C971" s="5"/>
      <c r="D971" s="12"/>
      <c r="E971" s="9"/>
      <c r="F971" s="9"/>
      <c r="G971" s="5"/>
      <c r="H971" s="16"/>
      <c r="I971" s="69"/>
      <c r="J971" s="70"/>
      <c r="K971" s="71"/>
      <c r="L971" s="71"/>
      <c r="M971" s="5"/>
    </row>
    <row r="972" spans="1:13" s="3" customFormat="1">
      <c r="A972" s="1"/>
      <c r="B972" s="8"/>
      <c r="C972" s="5"/>
      <c r="D972" s="12"/>
      <c r="E972" s="9"/>
      <c r="F972" s="9"/>
      <c r="G972" s="5"/>
      <c r="H972" s="16"/>
      <c r="I972" s="69"/>
      <c r="J972" s="70"/>
      <c r="K972" s="71"/>
      <c r="L972" s="71"/>
      <c r="M972" s="5"/>
    </row>
    <row r="973" spans="1:13" s="3" customFormat="1">
      <c r="A973" s="1"/>
      <c r="B973" s="8"/>
      <c r="C973" s="5"/>
      <c r="D973" s="12"/>
      <c r="E973" s="9"/>
      <c r="F973" s="9"/>
      <c r="G973" s="5"/>
      <c r="H973" s="16"/>
      <c r="I973" s="69"/>
      <c r="J973" s="70"/>
      <c r="K973" s="71"/>
      <c r="L973" s="71"/>
      <c r="M973" s="5"/>
    </row>
    <row r="974" spans="1:13" s="3" customFormat="1">
      <c r="A974" s="1"/>
      <c r="B974" s="8"/>
      <c r="C974" s="5"/>
      <c r="D974" s="12"/>
      <c r="E974" s="9"/>
      <c r="F974" s="9"/>
      <c r="G974" s="5"/>
      <c r="H974" s="16"/>
      <c r="I974" s="69"/>
      <c r="J974" s="70"/>
      <c r="K974" s="71"/>
      <c r="L974" s="71"/>
      <c r="M974" s="5"/>
    </row>
    <row r="975" spans="1:13" s="3" customFormat="1">
      <c r="A975" s="1"/>
      <c r="B975" s="8"/>
      <c r="C975" s="5"/>
      <c r="D975" s="12"/>
      <c r="E975" s="9"/>
      <c r="F975" s="9"/>
      <c r="G975" s="5"/>
      <c r="H975" s="16"/>
      <c r="I975" s="69"/>
      <c r="J975" s="70"/>
      <c r="K975" s="71"/>
      <c r="L975" s="71"/>
      <c r="M975" s="5"/>
    </row>
    <row r="976" spans="1:13" s="3" customFormat="1">
      <c r="A976" s="1"/>
      <c r="B976" s="8"/>
      <c r="C976" s="5"/>
      <c r="D976" s="12"/>
      <c r="E976" s="9"/>
      <c r="F976" s="9"/>
      <c r="G976" s="5"/>
      <c r="H976" s="16"/>
      <c r="I976" s="69"/>
      <c r="J976" s="70"/>
      <c r="K976" s="71"/>
      <c r="L976" s="71"/>
      <c r="M976" s="5"/>
    </row>
    <row r="977" spans="1:13" s="3" customFormat="1">
      <c r="A977" s="1"/>
      <c r="B977" s="8"/>
      <c r="C977" s="5"/>
      <c r="D977" s="12"/>
      <c r="E977" s="9"/>
      <c r="F977" s="9"/>
      <c r="G977" s="5"/>
      <c r="H977" s="16"/>
      <c r="I977" s="69"/>
      <c r="J977" s="70"/>
      <c r="K977" s="71"/>
      <c r="L977" s="71"/>
      <c r="M977" s="5"/>
    </row>
    <row r="978" spans="1:13" s="3" customFormat="1">
      <c r="A978" s="1"/>
      <c r="B978" s="8"/>
      <c r="C978" s="5"/>
      <c r="D978" s="12"/>
      <c r="E978" s="9"/>
      <c r="F978" s="9"/>
      <c r="G978" s="5"/>
      <c r="H978" s="16"/>
      <c r="I978" s="69"/>
      <c r="J978" s="70"/>
      <c r="K978" s="71"/>
      <c r="L978" s="71"/>
      <c r="M978" s="5"/>
    </row>
    <row r="979" spans="1:13" s="3" customFormat="1">
      <c r="A979" s="1"/>
      <c r="B979" s="8"/>
      <c r="C979" s="5"/>
      <c r="D979" s="12"/>
      <c r="E979" s="9"/>
      <c r="F979" s="9"/>
      <c r="G979" s="5"/>
      <c r="H979" s="16"/>
      <c r="I979" s="69"/>
      <c r="J979" s="70"/>
      <c r="K979" s="71"/>
      <c r="L979" s="71"/>
      <c r="M979" s="5"/>
    </row>
    <row r="980" spans="1:13" s="3" customFormat="1">
      <c r="A980" s="1"/>
      <c r="B980" s="8"/>
      <c r="C980" s="5"/>
      <c r="D980" s="12"/>
      <c r="E980" s="9"/>
      <c r="F980" s="9"/>
      <c r="G980" s="5"/>
      <c r="H980" s="16"/>
      <c r="I980" s="69"/>
      <c r="J980" s="70"/>
      <c r="K980" s="71"/>
      <c r="L980" s="71"/>
      <c r="M980" s="5"/>
    </row>
    <row r="981" spans="1:13" s="3" customFormat="1">
      <c r="A981" s="1"/>
      <c r="B981" s="8"/>
      <c r="C981" s="5"/>
      <c r="D981" s="12"/>
      <c r="E981" s="9"/>
      <c r="F981" s="9"/>
      <c r="G981" s="5"/>
      <c r="H981" s="16"/>
      <c r="I981" s="69"/>
      <c r="J981" s="70"/>
      <c r="K981" s="71"/>
      <c r="L981" s="71"/>
      <c r="M981" s="5"/>
    </row>
    <row r="982" spans="1:13" s="3" customFormat="1">
      <c r="A982" s="1"/>
      <c r="B982" s="8"/>
      <c r="C982" s="5"/>
      <c r="D982" s="12"/>
      <c r="E982" s="9"/>
      <c r="F982" s="9"/>
      <c r="G982" s="5"/>
      <c r="H982" s="16"/>
      <c r="I982" s="69"/>
      <c r="J982" s="70"/>
      <c r="K982" s="71"/>
      <c r="L982" s="71"/>
      <c r="M982" s="5"/>
    </row>
    <row r="983" spans="1:13" s="3" customFormat="1">
      <c r="A983" s="1"/>
      <c r="B983" s="8"/>
      <c r="C983" s="5"/>
      <c r="D983" s="12"/>
      <c r="E983" s="9"/>
      <c r="F983" s="9"/>
      <c r="G983" s="5"/>
      <c r="H983" s="16"/>
      <c r="I983" s="69"/>
      <c r="J983" s="70"/>
      <c r="K983" s="71"/>
      <c r="L983" s="71"/>
      <c r="M983" s="5"/>
    </row>
    <row r="984" spans="1:13" s="3" customFormat="1">
      <c r="A984" s="1"/>
      <c r="B984" s="8"/>
      <c r="C984" s="5"/>
      <c r="D984" s="12"/>
      <c r="E984" s="9"/>
      <c r="F984" s="9"/>
      <c r="G984" s="5"/>
      <c r="H984" s="16"/>
      <c r="I984" s="69"/>
      <c r="J984" s="70"/>
      <c r="K984" s="71"/>
      <c r="L984" s="71"/>
      <c r="M984" s="5"/>
    </row>
    <row r="985" spans="1:13" s="3" customFormat="1">
      <c r="A985" s="1"/>
      <c r="B985" s="8"/>
      <c r="C985" s="5"/>
      <c r="D985" s="12"/>
      <c r="E985" s="9"/>
      <c r="F985" s="9"/>
      <c r="G985" s="5"/>
      <c r="H985" s="16"/>
      <c r="I985" s="69"/>
      <c r="J985" s="70"/>
      <c r="K985" s="71"/>
      <c r="L985" s="71"/>
      <c r="M985" s="5"/>
    </row>
    <row r="986" spans="1:13" s="3" customFormat="1">
      <c r="A986" s="1"/>
      <c r="B986" s="8"/>
      <c r="C986" s="5"/>
      <c r="D986" s="12"/>
      <c r="E986" s="9"/>
      <c r="F986" s="9"/>
      <c r="G986" s="5"/>
      <c r="H986" s="16"/>
      <c r="I986" s="69"/>
      <c r="J986" s="70"/>
      <c r="K986" s="71"/>
      <c r="L986" s="71"/>
      <c r="M986" s="5"/>
    </row>
    <row r="987" spans="1:13" s="3" customFormat="1">
      <c r="A987" s="1"/>
      <c r="B987" s="8"/>
      <c r="C987" s="5"/>
      <c r="D987" s="12"/>
      <c r="E987" s="9"/>
      <c r="F987" s="9"/>
      <c r="G987" s="5"/>
      <c r="H987" s="16"/>
      <c r="I987" s="69"/>
      <c r="J987" s="70"/>
      <c r="K987" s="71"/>
      <c r="L987" s="71"/>
      <c r="M987" s="5"/>
    </row>
    <row r="988" spans="1:13" s="3" customFormat="1">
      <c r="A988" s="1"/>
      <c r="B988" s="8"/>
      <c r="C988" s="5"/>
      <c r="D988" s="12"/>
      <c r="E988" s="9"/>
      <c r="F988" s="9"/>
      <c r="G988" s="5"/>
      <c r="H988" s="16"/>
      <c r="I988" s="69"/>
      <c r="J988" s="70"/>
      <c r="K988" s="71"/>
      <c r="L988" s="71"/>
      <c r="M988" s="5"/>
    </row>
    <row r="989" spans="1:13" s="3" customFormat="1">
      <c r="A989" s="1"/>
      <c r="B989" s="8"/>
      <c r="C989" s="5"/>
      <c r="D989" s="12"/>
      <c r="E989" s="9"/>
      <c r="F989" s="9"/>
      <c r="G989" s="5"/>
      <c r="H989" s="16"/>
      <c r="I989" s="69"/>
      <c r="J989" s="70"/>
      <c r="K989" s="71"/>
      <c r="L989" s="71"/>
      <c r="M989" s="5"/>
    </row>
    <row r="990" spans="1:13" s="3" customFormat="1">
      <c r="A990" s="1"/>
      <c r="B990" s="8"/>
      <c r="C990" s="5"/>
      <c r="D990" s="12"/>
      <c r="E990" s="9"/>
      <c r="F990" s="9"/>
      <c r="G990" s="5"/>
      <c r="H990" s="16"/>
      <c r="I990" s="69"/>
      <c r="J990" s="70"/>
      <c r="K990" s="71"/>
      <c r="L990" s="71"/>
      <c r="M990" s="5"/>
    </row>
    <row r="991" spans="1:13" s="3" customFormat="1">
      <c r="A991" s="1"/>
      <c r="B991" s="8"/>
      <c r="C991" s="5"/>
      <c r="D991" s="12"/>
      <c r="E991" s="9"/>
      <c r="F991" s="9"/>
      <c r="G991" s="5"/>
      <c r="H991" s="16"/>
      <c r="I991" s="69"/>
      <c r="J991" s="70"/>
      <c r="K991" s="71"/>
      <c r="L991" s="71"/>
      <c r="M991" s="5"/>
    </row>
    <row r="992" spans="1:13" s="3" customFormat="1">
      <c r="A992" s="1"/>
      <c r="B992" s="8"/>
      <c r="C992" s="5"/>
      <c r="D992" s="12"/>
      <c r="E992" s="9"/>
      <c r="F992" s="9"/>
      <c r="G992" s="5"/>
      <c r="H992" s="16"/>
      <c r="I992" s="69"/>
      <c r="J992" s="70"/>
      <c r="K992" s="71"/>
      <c r="L992" s="71"/>
      <c r="M992" s="5"/>
    </row>
    <row r="993" spans="1:13" s="3" customFormat="1">
      <c r="A993" s="1"/>
      <c r="B993" s="8"/>
      <c r="C993" s="5"/>
      <c r="D993" s="12"/>
      <c r="E993" s="9"/>
      <c r="F993" s="9"/>
      <c r="G993" s="5"/>
      <c r="H993" s="16"/>
      <c r="I993" s="69"/>
      <c r="J993" s="70"/>
      <c r="K993" s="71"/>
      <c r="L993" s="71"/>
      <c r="M993" s="5"/>
    </row>
    <row r="994" spans="1:13" s="3" customFormat="1">
      <c r="A994" s="1"/>
      <c r="B994" s="8"/>
      <c r="C994" s="5"/>
      <c r="D994" s="12"/>
      <c r="E994" s="9"/>
      <c r="F994" s="9"/>
      <c r="G994" s="5"/>
      <c r="H994" s="16"/>
      <c r="I994" s="69"/>
      <c r="J994" s="70"/>
      <c r="K994" s="71"/>
      <c r="L994" s="71"/>
      <c r="M994" s="5"/>
    </row>
    <row r="995" spans="1:13" s="3" customFormat="1">
      <c r="A995" s="1"/>
      <c r="B995" s="8"/>
      <c r="C995" s="5"/>
      <c r="D995" s="12"/>
      <c r="E995" s="9"/>
      <c r="F995" s="9"/>
      <c r="G995" s="5"/>
      <c r="H995" s="16"/>
      <c r="I995" s="69"/>
      <c r="J995" s="70"/>
      <c r="K995" s="71"/>
      <c r="L995" s="71"/>
      <c r="M995" s="5"/>
    </row>
    <row r="996" spans="1:13" s="3" customFormat="1">
      <c r="A996" s="1"/>
      <c r="B996" s="8"/>
      <c r="C996" s="5"/>
      <c r="D996" s="12"/>
      <c r="E996" s="9"/>
      <c r="F996" s="9"/>
      <c r="G996" s="5"/>
      <c r="H996" s="16"/>
      <c r="I996" s="69"/>
      <c r="J996" s="70"/>
      <c r="K996" s="71"/>
      <c r="L996" s="71"/>
      <c r="M996" s="5"/>
    </row>
    <row r="997" spans="1:13" s="3" customFormat="1">
      <c r="A997" s="1"/>
      <c r="B997" s="8"/>
      <c r="C997" s="5"/>
      <c r="D997" s="12"/>
      <c r="E997" s="9"/>
      <c r="F997" s="9"/>
      <c r="G997" s="5"/>
      <c r="H997" s="16"/>
      <c r="I997" s="69"/>
      <c r="J997" s="70"/>
      <c r="K997" s="71"/>
      <c r="L997" s="71"/>
      <c r="M997" s="5"/>
    </row>
    <row r="998" spans="1:13" s="3" customFormat="1">
      <c r="A998" s="1"/>
      <c r="B998" s="8"/>
      <c r="C998" s="5"/>
      <c r="D998" s="12"/>
      <c r="E998" s="9"/>
      <c r="F998" s="9"/>
      <c r="G998" s="5"/>
      <c r="H998" s="16"/>
      <c r="I998" s="69"/>
      <c r="J998" s="70"/>
      <c r="K998" s="71"/>
      <c r="L998" s="71"/>
      <c r="M998" s="5"/>
    </row>
    <row r="999" spans="1:13" s="3" customFormat="1">
      <c r="A999" s="1"/>
      <c r="B999" s="8"/>
      <c r="C999" s="5"/>
      <c r="D999" s="12"/>
      <c r="E999" s="9"/>
      <c r="F999" s="9"/>
      <c r="G999" s="5"/>
      <c r="H999" s="16"/>
      <c r="I999" s="69"/>
      <c r="J999" s="70"/>
      <c r="K999" s="71"/>
      <c r="L999" s="71"/>
      <c r="M999" s="5"/>
    </row>
    <row r="1000" spans="1:13" s="3" customFormat="1">
      <c r="A1000" s="1"/>
      <c r="B1000" s="8"/>
      <c r="C1000" s="5"/>
      <c r="D1000" s="12"/>
      <c r="E1000" s="9"/>
      <c r="F1000" s="9"/>
      <c r="G1000" s="5"/>
      <c r="H1000" s="16"/>
      <c r="I1000" s="69"/>
      <c r="J1000" s="70"/>
      <c r="K1000" s="71"/>
      <c r="L1000" s="71"/>
      <c r="M1000" s="5"/>
    </row>
    <row r="1001" spans="1:13" s="3" customFormat="1">
      <c r="A1001" s="1"/>
      <c r="B1001" s="8"/>
      <c r="C1001" s="5"/>
      <c r="D1001" s="12"/>
      <c r="E1001" s="9"/>
      <c r="F1001" s="9"/>
      <c r="G1001" s="5"/>
      <c r="H1001" s="16"/>
      <c r="I1001" s="69"/>
      <c r="J1001" s="70"/>
      <c r="K1001" s="71"/>
      <c r="L1001" s="71"/>
      <c r="M1001" s="5"/>
    </row>
    <row r="1002" spans="1:13" s="3" customFormat="1">
      <c r="A1002" s="1"/>
      <c r="B1002" s="8"/>
      <c r="C1002" s="5"/>
      <c r="D1002" s="12"/>
      <c r="E1002" s="9"/>
      <c r="F1002" s="9"/>
      <c r="G1002" s="5"/>
      <c r="H1002" s="16"/>
      <c r="I1002" s="69"/>
      <c r="J1002" s="70"/>
      <c r="K1002" s="71"/>
      <c r="L1002" s="71"/>
      <c r="M1002" s="5"/>
    </row>
    <row r="1003" spans="1:13" s="3" customFormat="1">
      <c r="A1003" s="1"/>
      <c r="B1003" s="8"/>
      <c r="C1003" s="5"/>
      <c r="D1003" s="12"/>
      <c r="E1003" s="9"/>
      <c r="F1003" s="9"/>
      <c r="G1003" s="5"/>
      <c r="H1003" s="16"/>
      <c r="I1003" s="69"/>
      <c r="J1003" s="70"/>
      <c r="K1003" s="71"/>
      <c r="L1003" s="71"/>
      <c r="M1003" s="5"/>
    </row>
    <row r="1004" spans="1:13" s="3" customFormat="1">
      <c r="A1004" s="1"/>
      <c r="B1004" s="8"/>
      <c r="C1004" s="5"/>
      <c r="D1004" s="12"/>
      <c r="E1004" s="9"/>
      <c r="F1004" s="9"/>
      <c r="G1004" s="5"/>
      <c r="H1004" s="16"/>
      <c r="I1004" s="69"/>
      <c r="J1004" s="70"/>
      <c r="K1004" s="71"/>
      <c r="L1004" s="71"/>
      <c r="M1004" s="5"/>
    </row>
    <row r="1005" spans="1:13" s="3" customFormat="1">
      <c r="A1005" s="1"/>
      <c r="B1005" s="8"/>
      <c r="C1005" s="5"/>
      <c r="D1005" s="12"/>
      <c r="E1005" s="9"/>
      <c r="F1005" s="9"/>
      <c r="G1005" s="5"/>
      <c r="H1005" s="16"/>
      <c r="I1005" s="69"/>
      <c r="J1005" s="70"/>
      <c r="K1005" s="71"/>
      <c r="L1005" s="71"/>
      <c r="M1005" s="5"/>
    </row>
    <row r="1006" spans="1:13" s="3" customFormat="1">
      <c r="A1006" s="1"/>
      <c r="B1006" s="8"/>
      <c r="C1006" s="5"/>
      <c r="D1006" s="12"/>
      <c r="E1006" s="9"/>
      <c r="F1006" s="9"/>
      <c r="G1006" s="5"/>
      <c r="H1006" s="16"/>
      <c r="I1006" s="69"/>
      <c r="J1006" s="70"/>
      <c r="K1006" s="71"/>
      <c r="L1006" s="71"/>
      <c r="M1006" s="5"/>
    </row>
    <row r="1007" spans="1:13" s="3" customFormat="1">
      <c r="A1007" s="1"/>
      <c r="B1007" s="8"/>
      <c r="C1007" s="5"/>
      <c r="D1007" s="12"/>
      <c r="E1007" s="9"/>
      <c r="F1007" s="9"/>
      <c r="G1007" s="5"/>
      <c r="H1007" s="16"/>
      <c r="I1007" s="69"/>
      <c r="J1007" s="70"/>
      <c r="K1007" s="71"/>
      <c r="L1007" s="71"/>
      <c r="M1007" s="5"/>
    </row>
    <row r="1008" spans="1:13" s="3" customFormat="1">
      <c r="A1008" s="1"/>
      <c r="B1008" s="8"/>
      <c r="C1008" s="5"/>
      <c r="D1008" s="12"/>
      <c r="E1008" s="9"/>
      <c r="F1008" s="9"/>
      <c r="G1008" s="5"/>
      <c r="H1008" s="16"/>
      <c r="I1008" s="69"/>
      <c r="J1008" s="70"/>
      <c r="K1008" s="71"/>
      <c r="L1008" s="71"/>
      <c r="M1008" s="5"/>
    </row>
    <row r="1009" spans="1:13" s="3" customFormat="1">
      <c r="A1009" s="1"/>
      <c r="B1009" s="8"/>
      <c r="C1009" s="5"/>
      <c r="D1009" s="12"/>
      <c r="E1009" s="9"/>
      <c r="F1009" s="9"/>
      <c r="G1009" s="5"/>
      <c r="H1009" s="16"/>
      <c r="I1009" s="69"/>
      <c r="J1009" s="70"/>
      <c r="K1009" s="71"/>
      <c r="L1009" s="71"/>
      <c r="M1009" s="5"/>
    </row>
    <row r="1010" spans="1:13" s="3" customFormat="1">
      <c r="A1010" s="1"/>
      <c r="B1010" s="8"/>
      <c r="C1010" s="5"/>
      <c r="D1010" s="12"/>
      <c r="E1010" s="9"/>
      <c r="F1010" s="9"/>
      <c r="G1010" s="5"/>
      <c r="H1010" s="16"/>
      <c r="I1010" s="69"/>
      <c r="J1010" s="70"/>
      <c r="K1010" s="71"/>
      <c r="L1010" s="71"/>
      <c r="M1010" s="5"/>
    </row>
    <row r="1011" spans="1:13" s="3" customFormat="1">
      <c r="A1011" s="1"/>
      <c r="B1011" s="8"/>
      <c r="C1011" s="5"/>
      <c r="D1011" s="12"/>
      <c r="E1011" s="23"/>
      <c r="F1011" s="9"/>
      <c r="G1011" s="5"/>
      <c r="H1011" s="16"/>
      <c r="I1011" s="69"/>
      <c r="J1011" s="70"/>
      <c r="K1011" s="71"/>
      <c r="L1011" s="71"/>
      <c r="M1011" s="5"/>
    </row>
    <row r="1012" spans="1:13" s="3" customFormat="1">
      <c r="A1012" s="1"/>
      <c r="B1012" s="8"/>
      <c r="C1012" s="5"/>
      <c r="D1012" s="12"/>
      <c r="E1012" s="23"/>
      <c r="F1012" s="9"/>
      <c r="G1012" s="5"/>
      <c r="H1012" s="16"/>
      <c r="I1012" s="69"/>
      <c r="J1012" s="70"/>
      <c r="K1012" s="71"/>
      <c r="L1012" s="71"/>
      <c r="M1012" s="5"/>
    </row>
    <row r="1013" spans="1:13" s="3" customFormat="1">
      <c r="A1013" s="1"/>
      <c r="B1013" s="8"/>
      <c r="C1013" s="5"/>
      <c r="D1013" s="12"/>
      <c r="E1013" s="23"/>
      <c r="F1013" s="9"/>
      <c r="G1013" s="5"/>
      <c r="H1013" s="16"/>
      <c r="I1013" s="69"/>
      <c r="J1013" s="70"/>
      <c r="K1013" s="71"/>
      <c r="L1013" s="71"/>
      <c r="M1013" s="5"/>
    </row>
    <row r="1014" spans="1:13" s="3" customFormat="1">
      <c r="A1014" s="1"/>
      <c r="B1014" s="8"/>
      <c r="C1014" s="5"/>
      <c r="D1014" s="12"/>
      <c r="E1014" s="23"/>
      <c r="F1014" s="9"/>
      <c r="G1014" s="5"/>
      <c r="H1014" s="16"/>
      <c r="I1014" s="69"/>
      <c r="J1014" s="70"/>
      <c r="K1014" s="71"/>
      <c r="L1014" s="71"/>
      <c r="M1014" s="5"/>
    </row>
    <row r="1015" spans="1:13" s="3" customFormat="1">
      <c r="A1015" s="1"/>
      <c r="B1015" s="8"/>
      <c r="C1015" s="5"/>
      <c r="D1015" s="12"/>
      <c r="E1015" s="23"/>
      <c r="F1015" s="9"/>
      <c r="G1015" s="5"/>
      <c r="H1015" s="16"/>
      <c r="I1015" s="69"/>
      <c r="J1015" s="70"/>
      <c r="K1015" s="71"/>
      <c r="L1015" s="71"/>
      <c r="M1015" s="5"/>
    </row>
    <row r="1016" spans="1:13" s="3" customFormat="1">
      <c r="A1016" s="1"/>
      <c r="B1016" s="8"/>
      <c r="C1016" s="5"/>
      <c r="D1016" s="12"/>
      <c r="E1016" s="23"/>
      <c r="F1016" s="9"/>
      <c r="G1016" s="5"/>
      <c r="H1016" s="16"/>
      <c r="I1016" s="69"/>
      <c r="J1016" s="70"/>
      <c r="K1016" s="71"/>
      <c r="L1016" s="71"/>
      <c r="M1016" s="5"/>
    </row>
    <row r="1017" spans="1:13" s="3" customFormat="1">
      <c r="A1017" s="1"/>
      <c r="B1017" s="8"/>
      <c r="C1017" s="5"/>
      <c r="D1017" s="12"/>
      <c r="E1017" s="23"/>
      <c r="F1017" s="9"/>
      <c r="G1017" s="5"/>
      <c r="H1017" s="16"/>
      <c r="I1017" s="69"/>
      <c r="J1017" s="70"/>
      <c r="K1017" s="71"/>
      <c r="L1017" s="71"/>
      <c r="M1017" s="5"/>
    </row>
    <row r="1018" spans="1:13" s="3" customFormat="1">
      <c r="A1018" s="1"/>
      <c r="B1018" s="8"/>
      <c r="C1018" s="5"/>
      <c r="D1018" s="12"/>
      <c r="E1018" s="23"/>
      <c r="F1018" s="9"/>
      <c r="G1018" s="5"/>
      <c r="H1018" s="16"/>
      <c r="I1018" s="69"/>
      <c r="J1018" s="70"/>
      <c r="K1018" s="71"/>
      <c r="L1018" s="71"/>
      <c r="M1018" s="5"/>
    </row>
    <row r="1019" spans="1:13" s="3" customFormat="1">
      <c r="A1019" s="1"/>
      <c r="B1019" s="8"/>
      <c r="C1019" s="5"/>
      <c r="D1019" s="12"/>
      <c r="E1019" s="23"/>
      <c r="F1019" s="9"/>
      <c r="G1019" s="5"/>
      <c r="H1019" s="16"/>
      <c r="I1019" s="69"/>
      <c r="J1019" s="70"/>
      <c r="K1019" s="71"/>
      <c r="L1019" s="71"/>
      <c r="M1019" s="5"/>
    </row>
    <row r="1020" spans="1:13" s="3" customFormat="1">
      <c r="A1020" s="1"/>
      <c r="B1020" s="8"/>
      <c r="C1020" s="5"/>
      <c r="D1020" s="12"/>
      <c r="E1020" s="23"/>
      <c r="F1020" s="9"/>
      <c r="G1020" s="5"/>
      <c r="H1020" s="16"/>
      <c r="I1020" s="69"/>
      <c r="J1020" s="70"/>
      <c r="K1020" s="71"/>
      <c r="L1020" s="71"/>
      <c r="M1020" s="5"/>
    </row>
    <row r="1021" spans="1:13" s="3" customFormat="1">
      <c r="A1021" s="1"/>
      <c r="B1021" s="8"/>
      <c r="C1021" s="5"/>
      <c r="D1021" s="12"/>
      <c r="E1021" s="23"/>
      <c r="F1021" s="9"/>
      <c r="G1021" s="5"/>
      <c r="H1021" s="16"/>
      <c r="I1021" s="69"/>
      <c r="J1021" s="70"/>
      <c r="K1021" s="71"/>
      <c r="L1021" s="71"/>
      <c r="M1021" s="5"/>
    </row>
    <row r="1022" spans="1:13" s="3" customFormat="1">
      <c r="A1022" s="1"/>
      <c r="B1022" s="8"/>
      <c r="C1022" s="5"/>
      <c r="D1022" s="12"/>
      <c r="E1022" s="23"/>
      <c r="F1022" s="9"/>
      <c r="G1022" s="5"/>
      <c r="H1022" s="16"/>
      <c r="I1022" s="69"/>
      <c r="J1022" s="70"/>
      <c r="K1022" s="71"/>
      <c r="L1022" s="71"/>
      <c r="M1022" s="5"/>
    </row>
    <row r="1023" spans="1:13" s="3" customFormat="1">
      <c r="A1023" s="1"/>
      <c r="B1023" s="8"/>
      <c r="C1023" s="5"/>
      <c r="D1023" s="12"/>
      <c r="E1023" s="23"/>
      <c r="F1023" s="9"/>
      <c r="G1023" s="5"/>
      <c r="H1023" s="16"/>
      <c r="I1023" s="69"/>
      <c r="J1023" s="70"/>
      <c r="K1023" s="71"/>
      <c r="L1023" s="71"/>
      <c r="M1023" s="5"/>
    </row>
    <row r="1024" spans="1:13" s="3" customFormat="1">
      <c r="A1024" s="1"/>
      <c r="B1024" s="8"/>
      <c r="C1024" s="5"/>
      <c r="D1024" s="12"/>
      <c r="E1024" s="23"/>
      <c r="F1024" s="9"/>
      <c r="G1024" s="5"/>
      <c r="H1024" s="16"/>
      <c r="I1024" s="69"/>
      <c r="J1024" s="70"/>
      <c r="K1024" s="71"/>
      <c r="L1024" s="71"/>
      <c r="M1024" s="5"/>
    </row>
    <row r="1025" spans="1:13" s="3" customFormat="1">
      <c r="A1025" s="1"/>
      <c r="B1025" s="8"/>
      <c r="C1025" s="5"/>
      <c r="D1025" s="12"/>
      <c r="E1025" s="23"/>
      <c r="F1025" s="9"/>
      <c r="G1025" s="5"/>
      <c r="H1025" s="16"/>
      <c r="I1025" s="69"/>
      <c r="J1025" s="70"/>
      <c r="K1025" s="71"/>
      <c r="L1025" s="71"/>
      <c r="M1025" s="5"/>
    </row>
    <row r="1026" spans="1:13" s="3" customFormat="1">
      <c r="A1026" s="1"/>
      <c r="B1026" s="8"/>
      <c r="C1026" s="5"/>
      <c r="D1026" s="12"/>
      <c r="E1026" s="23"/>
      <c r="F1026" s="9"/>
      <c r="G1026" s="5"/>
      <c r="H1026" s="16"/>
      <c r="I1026" s="69"/>
      <c r="J1026" s="70"/>
      <c r="K1026" s="71"/>
      <c r="L1026" s="71"/>
      <c r="M1026" s="5"/>
    </row>
    <row r="1027" spans="1:13" s="3" customFormat="1">
      <c r="A1027" s="1"/>
      <c r="B1027" s="8"/>
      <c r="C1027" s="5"/>
      <c r="D1027" s="12"/>
      <c r="E1027" s="23"/>
      <c r="F1027" s="9"/>
      <c r="G1027" s="5"/>
      <c r="H1027" s="16"/>
      <c r="I1027" s="69"/>
      <c r="J1027" s="70"/>
      <c r="K1027" s="71"/>
      <c r="L1027" s="71"/>
      <c r="M1027" s="5"/>
    </row>
    <row r="1028" spans="1:13" s="3" customFormat="1">
      <c r="A1028" s="1"/>
      <c r="B1028" s="8"/>
      <c r="C1028" s="5"/>
      <c r="D1028" s="12"/>
      <c r="E1028" s="23"/>
      <c r="F1028" s="9"/>
      <c r="G1028" s="5"/>
      <c r="H1028" s="16"/>
      <c r="I1028" s="69"/>
      <c r="J1028" s="70"/>
      <c r="K1028" s="71"/>
      <c r="L1028" s="71"/>
      <c r="M1028" s="5"/>
    </row>
    <row r="1029" spans="1:13" s="3" customFormat="1">
      <c r="A1029" s="1"/>
      <c r="B1029" s="8"/>
      <c r="C1029" s="5"/>
      <c r="D1029" s="12"/>
      <c r="E1029" s="23"/>
      <c r="F1029" s="9"/>
      <c r="G1029" s="5"/>
      <c r="H1029" s="16"/>
      <c r="I1029" s="69"/>
      <c r="J1029" s="70"/>
      <c r="K1029" s="71"/>
      <c r="L1029" s="71"/>
      <c r="M1029" s="5"/>
    </row>
    <row r="1030" spans="1:13" s="3" customFormat="1">
      <c r="A1030" s="1"/>
      <c r="B1030" s="8"/>
      <c r="C1030" s="5"/>
      <c r="D1030" s="12"/>
      <c r="E1030" s="23"/>
      <c r="F1030" s="9"/>
      <c r="G1030" s="5"/>
      <c r="H1030" s="16"/>
      <c r="I1030" s="69"/>
      <c r="J1030" s="70"/>
      <c r="K1030" s="71"/>
      <c r="L1030" s="71"/>
      <c r="M1030" s="5"/>
    </row>
    <row r="1031" spans="1:13" s="3" customFormat="1">
      <c r="A1031" s="1"/>
      <c r="B1031" s="8"/>
      <c r="C1031" s="5"/>
      <c r="D1031" s="12"/>
      <c r="E1031" s="23"/>
      <c r="F1031" s="9"/>
      <c r="G1031" s="5"/>
      <c r="H1031" s="16"/>
      <c r="I1031" s="69"/>
      <c r="J1031" s="70"/>
      <c r="K1031" s="71"/>
      <c r="L1031" s="71"/>
      <c r="M1031" s="5"/>
    </row>
    <row r="1032" spans="1:13" s="3" customFormat="1">
      <c r="A1032" s="1"/>
      <c r="B1032" s="8"/>
      <c r="C1032" s="5"/>
      <c r="D1032" s="12"/>
      <c r="E1032" s="23"/>
      <c r="F1032" s="9"/>
      <c r="G1032" s="5"/>
      <c r="H1032" s="16"/>
      <c r="I1032" s="69"/>
      <c r="J1032" s="70"/>
      <c r="K1032" s="71"/>
      <c r="L1032" s="71"/>
      <c r="M1032" s="5"/>
    </row>
    <row r="1033" spans="1:13" s="3" customFormat="1">
      <c r="A1033" s="1"/>
      <c r="B1033" s="8"/>
      <c r="C1033" s="5"/>
      <c r="D1033" s="12"/>
      <c r="E1033" s="23"/>
      <c r="F1033" s="9"/>
      <c r="G1033" s="5"/>
      <c r="H1033" s="16"/>
      <c r="I1033" s="69"/>
      <c r="J1033" s="70"/>
      <c r="K1033" s="71"/>
      <c r="L1033" s="71"/>
      <c r="M1033" s="5"/>
    </row>
    <row r="1034" spans="1:13" s="3" customFormat="1">
      <c r="A1034" s="1"/>
      <c r="B1034" s="8"/>
      <c r="C1034" s="5"/>
      <c r="D1034" s="12"/>
      <c r="E1034" s="23"/>
      <c r="F1034" s="9"/>
      <c r="G1034" s="5"/>
      <c r="H1034" s="16"/>
      <c r="I1034" s="69"/>
      <c r="J1034" s="70"/>
      <c r="K1034" s="71"/>
      <c r="L1034" s="71"/>
      <c r="M1034" s="5"/>
    </row>
    <row r="1035" spans="1:13" s="3" customFormat="1">
      <c r="A1035" s="1"/>
      <c r="B1035" s="8"/>
      <c r="C1035" s="5"/>
      <c r="D1035" s="12"/>
      <c r="E1035" s="23"/>
      <c r="F1035" s="9"/>
      <c r="G1035" s="5"/>
      <c r="H1035" s="16"/>
      <c r="I1035" s="69"/>
      <c r="J1035" s="70"/>
      <c r="K1035" s="71"/>
      <c r="L1035" s="71"/>
      <c r="M1035" s="5"/>
    </row>
    <row r="1036" spans="1:13" s="3" customFormat="1">
      <c r="A1036" s="1"/>
      <c r="B1036" s="8"/>
      <c r="C1036" s="5"/>
      <c r="D1036" s="12"/>
      <c r="E1036" s="23"/>
      <c r="F1036" s="9"/>
      <c r="G1036" s="5"/>
      <c r="H1036" s="16"/>
      <c r="I1036" s="69"/>
      <c r="J1036" s="70"/>
      <c r="K1036" s="71"/>
      <c r="L1036" s="71"/>
      <c r="M1036" s="5"/>
    </row>
    <row r="1037" spans="1:13" s="3" customFormat="1">
      <c r="A1037" s="1"/>
      <c r="B1037" s="8"/>
      <c r="C1037" s="5"/>
      <c r="D1037" s="12"/>
      <c r="E1037" s="23"/>
      <c r="F1037" s="9"/>
      <c r="G1037" s="5"/>
      <c r="H1037" s="16"/>
      <c r="I1037" s="69"/>
      <c r="J1037" s="70"/>
      <c r="K1037" s="71"/>
      <c r="L1037" s="71"/>
      <c r="M1037" s="5"/>
    </row>
    <row r="1038" spans="1:13" s="3" customFormat="1">
      <c r="A1038" s="1"/>
      <c r="B1038" s="8"/>
      <c r="C1038" s="5"/>
      <c r="D1038" s="12"/>
      <c r="E1038" s="23"/>
      <c r="F1038" s="9"/>
      <c r="G1038" s="5"/>
      <c r="H1038" s="16"/>
      <c r="I1038" s="69"/>
      <c r="J1038" s="70"/>
      <c r="K1038" s="71"/>
      <c r="L1038" s="71"/>
      <c r="M1038" s="5"/>
    </row>
    <row r="1039" spans="1:13" s="3" customFormat="1">
      <c r="A1039" s="1"/>
      <c r="B1039" s="8"/>
      <c r="C1039" s="5"/>
      <c r="D1039" s="12"/>
      <c r="E1039" s="23"/>
      <c r="F1039" s="9"/>
      <c r="G1039" s="5"/>
      <c r="H1039" s="16"/>
      <c r="I1039" s="69"/>
      <c r="J1039" s="70"/>
      <c r="K1039" s="71"/>
      <c r="L1039" s="71"/>
      <c r="M1039" s="5"/>
    </row>
    <row r="1040" spans="1:13" s="3" customFormat="1">
      <c r="A1040" s="1"/>
      <c r="B1040" s="8"/>
      <c r="C1040" s="5"/>
      <c r="D1040" s="12"/>
      <c r="E1040" s="23"/>
      <c r="F1040" s="9"/>
      <c r="G1040" s="5"/>
      <c r="H1040" s="16"/>
      <c r="I1040" s="69"/>
      <c r="J1040" s="70"/>
      <c r="K1040" s="71"/>
      <c r="L1040" s="71"/>
      <c r="M1040" s="5"/>
    </row>
    <row r="1041" spans="1:13" s="3" customFormat="1">
      <c r="A1041" s="1"/>
      <c r="B1041" s="8"/>
      <c r="C1041" s="5"/>
      <c r="D1041" s="12"/>
      <c r="E1041" s="23"/>
      <c r="F1041" s="9"/>
      <c r="G1041" s="5"/>
      <c r="H1041" s="16"/>
      <c r="I1041" s="69"/>
      <c r="J1041" s="70"/>
      <c r="K1041" s="71"/>
      <c r="L1041" s="71"/>
      <c r="M1041" s="5"/>
    </row>
    <row r="1042" spans="1:13" s="3" customFormat="1">
      <c r="A1042" s="1"/>
      <c r="B1042" s="8"/>
      <c r="C1042" s="5"/>
      <c r="D1042" s="12"/>
      <c r="E1042" s="23"/>
      <c r="F1042" s="9"/>
      <c r="G1042" s="5"/>
      <c r="H1042" s="16"/>
      <c r="I1042" s="69"/>
      <c r="J1042" s="70"/>
      <c r="K1042" s="71"/>
      <c r="L1042" s="71"/>
      <c r="M1042" s="5"/>
    </row>
    <row r="1043" spans="1:13" s="3" customFormat="1">
      <c r="A1043" s="1"/>
      <c r="B1043" s="8"/>
      <c r="C1043" s="5"/>
      <c r="D1043" s="12"/>
      <c r="E1043" s="23"/>
      <c r="F1043" s="9"/>
      <c r="G1043" s="5"/>
      <c r="H1043" s="16"/>
      <c r="I1043" s="69"/>
      <c r="J1043" s="70"/>
      <c r="K1043" s="71"/>
      <c r="L1043" s="71"/>
      <c r="M1043" s="5"/>
    </row>
    <row r="1044" spans="1:13" s="3" customFormat="1">
      <c r="A1044" s="1"/>
      <c r="B1044" s="8"/>
      <c r="C1044" s="5"/>
      <c r="D1044" s="12"/>
      <c r="E1044" s="23"/>
      <c r="F1044" s="9"/>
      <c r="G1044" s="5"/>
      <c r="H1044" s="16"/>
      <c r="I1044" s="69"/>
      <c r="J1044" s="70"/>
      <c r="K1044" s="71"/>
      <c r="L1044" s="71"/>
      <c r="M1044" s="5"/>
    </row>
    <row r="1045" spans="1:13" s="3" customFormat="1">
      <c r="A1045" s="1"/>
      <c r="B1045" s="8"/>
      <c r="C1045" s="5"/>
      <c r="D1045" s="12"/>
      <c r="E1045" s="23"/>
      <c r="F1045" s="9"/>
      <c r="G1045" s="5"/>
      <c r="H1045" s="16"/>
      <c r="I1045" s="69"/>
      <c r="J1045" s="70"/>
      <c r="K1045" s="71"/>
      <c r="L1045" s="71"/>
      <c r="M1045" s="5"/>
    </row>
    <row r="1046" spans="1:13" s="3" customFormat="1">
      <c r="A1046" s="1"/>
      <c r="B1046" s="8"/>
      <c r="C1046" s="5"/>
      <c r="D1046" s="12"/>
      <c r="E1046" s="23"/>
      <c r="F1046" s="9"/>
      <c r="G1046" s="5"/>
      <c r="H1046" s="16"/>
      <c r="I1046" s="69"/>
      <c r="J1046" s="70"/>
      <c r="K1046" s="71"/>
      <c r="L1046" s="71"/>
      <c r="M1046" s="5"/>
    </row>
    <row r="1047" spans="1:13" s="3" customFormat="1">
      <c r="A1047" s="1"/>
      <c r="B1047" s="8"/>
      <c r="C1047" s="5"/>
      <c r="D1047" s="12"/>
      <c r="E1047" s="23"/>
      <c r="F1047" s="9"/>
      <c r="G1047" s="5"/>
      <c r="H1047" s="16"/>
      <c r="I1047" s="69"/>
      <c r="J1047" s="70"/>
      <c r="K1047" s="71"/>
      <c r="L1047" s="71"/>
      <c r="M1047" s="5"/>
    </row>
    <row r="1048" spans="1:13" s="3" customFormat="1">
      <c r="A1048" s="1"/>
      <c r="B1048" s="8"/>
      <c r="C1048" s="5"/>
      <c r="D1048" s="12"/>
      <c r="E1048" s="23"/>
      <c r="F1048" s="9"/>
      <c r="G1048" s="5"/>
      <c r="H1048" s="16"/>
      <c r="I1048" s="69"/>
      <c r="J1048" s="70"/>
      <c r="K1048" s="71"/>
      <c r="L1048" s="71"/>
      <c r="M1048" s="5"/>
    </row>
    <row r="1049" spans="1:13" s="3" customFormat="1">
      <c r="A1049" s="1"/>
      <c r="B1049" s="8"/>
      <c r="C1049" s="5"/>
      <c r="D1049" s="12"/>
      <c r="E1049" s="23"/>
      <c r="F1049" s="9"/>
      <c r="G1049" s="5"/>
      <c r="H1049" s="16"/>
      <c r="I1049" s="69"/>
      <c r="J1049" s="70"/>
      <c r="K1049" s="71"/>
      <c r="L1049" s="71"/>
      <c r="M1049" s="5"/>
    </row>
    <row r="1050" spans="1:13" s="3" customFormat="1">
      <c r="A1050" s="1"/>
      <c r="B1050" s="8"/>
      <c r="C1050" s="5"/>
      <c r="D1050" s="12"/>
      <c r="E1050" s="23"/>
      <c r="F1050" s="9"/>
      <c r="G1050" s="5"/>
      <c r="H1050" s="16"/>
      <c r="I1050" s="69"/>
      <c r="J1050" s="70"/>
      <c r="K1050" s="71"/>
      <c r="L1050" s="71"/>
      <c r="M1050" s="5"/>
    </row>
    <row r="1051" spans="1:13" s="3" customFormat="1">
      <c r="A1051" s="1"/>
      <c r="B1051" s="8"/>
      <c r="C1051" s="5"/>
      <c r="D1051" s="12"/>
      <c r="E1051" s="23"/>
      <c r="F1051" s="9"/>
      <c r="G1051" s="5"/>
      <c r="H1051" s="16"/>
      <c r="I1051" s="69"/>
      <c r="J1051" s="70"/>
      <c r="K1051" s="71"/>
      <c r="L1051" s="71"/>
      <c r="M1051" s="5"/>
    </row>
    <row r="1052" spans="1:13" s="3" customFormat="1">
      <c r="A1052" s="1"/>
      <c r="B1052" s="8"/>
      <c r="C1052" s="5"/>
      <c r="D1052" s="12"/>
      <c r="E1052" s="23"/>
      <c r="F1052" s="9"/>
      <c r="G1052" s="5"/>
      <c r="H1052" s="16"/>
      <c r="I1052" s="69"/>
      <c r="J1052" s="70"/>
      <c r="K1052" s="71"/>
      <c r="L1052" s="71"/>
      <c r="M1052" s="5"/>
    </row>
    <row r="1053" spans="1:13" s="3" customFormat="1">
      <c r="A1053" s="1"/>
      <c r="B1053" s="8"/>
      <c r="C1053" s="5"/>
      <c r="D1053" s="12"/>
      <c r="E1053" s="23"/>
      <c r="F1053" s="9"/>
      <c r="G1053" s="5"/>
      <c r="H1053" s="16"/>
      <c r="I1053" s="69"/>
      <c r="J1053" s="70"/>
      <c r="K1053" s="71"/>
      <c r="L1053" s="71"/>
      <c r="M1053" s="5"/>
    </row>
    <row r="1054" spans="1:13" s="3" customFormat="1">
      <c r="A1054" s="1"/>
      <c r="B1054" s="8"/>
      <c r="C1054" s="5"/>
      <c r="D1054" s="12"/>
      <c r="E1054" s="23"/>
      <c r="F1054" s="9"/>
      <c r="G1054" s="5"/>
      <c r="H1054" s="16"/>
      <c r="I1054" s="69"/>
      <c r="J1054" s="70"/>
      <c r="K1054" s="71"/>
      <c r="L1054" s="71"/>
      <c r="M1054" s="5"/>
    </row>
    <row r="1055" spans="1:13" s="3" customFormat="1">
      <c r="A1055" s="1"/>
      <c r="B1055" s="8"/>
      <c r="C1055" s="5"/>
      <c r="D1055" s="12"/>
      <c r="E1055" s="23"/>
      <c r="F1055" s="9"/>
      <c r="G1055" s="5"/>
      <c r="H1055" s="16"/>
      <c r="I1055" s="69"/>
      <c r="J1055" s="70"/>
      <c r="K1055" s="71"/>
      <c r="L1055" s="71"/>
      <c r="M1055" s="5"/>
    </row>
    <row r="1056" spans="1:13" s="3" customFormat="1">
      <c r="A1056" s="1"/>
      <c r="B1056" s="8"/>
      <c r="C1056" s="5"/>
      <c r="D1056" s="12"/>
      <c r="E1056" s="23"/>
      <c r="F1056" s="9"/>
      <c r="G1056" s="5"/>
      <c r="H1056" s="16"/>
      <c r="I1056" s="69"/>
      <c r="J1056" s="70"/>
      <c r="K1056" s="71"/>
      <c r="L1056" s="71"/>
      <c r="M1056" s="5"/>
    </row>
    <row r="1057" spans="1:13" s="3" customFormat="1">
      <c r="A1057" s="1"/>
      <c r="B1057" s="8"/>
      <c r="C1057" s="5"/>
      <c r="D1057" s="12"/>
      <c r="E1057" s="23"/>
      <c r="F1057" s="9"/>
      <c r="G1057" s="5"/>
      <c r="H1057" s="16"/>
      <c r="I1057" s="69"/>
      <c r="J1057" s="70"/>
      <c r="K1057" s="71"/>
      <c r="L1057" s="71"/>
      <c r="M1057" s="5"/>
    </row>
    <row r="1058" spans="1:13" s="3" customFormat="1">
      <c r="A1058" s="1"/>
      <c r="B1058" s="8"/>
      <c r="C1058" s="5"/>
      <c r="D1058" s="12"/>
      <c r="E1058" s="23"/>
      <c r="F1058" s="9"/>
      <c r="G1058" s="5"/>
      <c r="H1058" s="16"/>
      <c r="I1058" s="69"/>
      <c r="J1058" s="70"/>
      <c r="K1058" s="71"/>
      <c r="L1058" s="71"/>
      <c r="M1058" s="5"/>
    </row>
    <row r="1059" spans="1:13" s="3" customFormat="1">
      <c r="A1059" s="1"/>
      <c r="B1059" s="8"/>
      <c r="C1059" s="5"/>
      <c r="D1059" s="12"/>
      <c r="E1059" s="23"/>
      <c r="F1059" s="9"/>
      <c r="G1059" s="5"/>
      <c r="H1059" s="16"/>
      <c r="I1059" s="69"/>
      <c r="J1059" s="70"/>
      <c r="K1059" s="71"/>
      <c r="L1059" s="71"/>
      <c r="M1059" s="5"/>
    </row>
    <row r="1060" spans="1:13" s="3" customFormat="1">
      <c r="A1060" s="1"/>
      <c r="B1060" s="8"/>
      <c r="C1060" s="5"/>
      <c r="D1060" s="12"/>
      <c r="E1060" s="23"/>
      <c r="F1060" s="9"/>
      <c r="G1060" s="5"/>
      <c r="H1060" s="16"/>
      <c r="I1060" s="69"/>
      <c r="J1060" s="70"/>
      <c r="K1060" s="71"/>
      <c r="L1060" s="71"/>
      <c r="M1060" s="5"/>
    </row>
    <row r="1061" spans="1:13" s="3" customFormat="1">
      <c r="A1061" s="1"/>
      <c r="B1061" s="8"/>
      <c r="C1061" s="5"/>
      <c r="D1061" s="12"/>
      <c r="E1061" s="23"/>
      <c r="F1061" s="9"/>
      <c r="G1061" s="5"/>
      <c r="H1061" s="16"/>
      <c r="I1061" s="69"/>
      <c r="J1061" s="70"/>
      <c r="K1061" s="71"/>
      <c r="L1061" s="71"/>
      <c r="M1061" s="5"/>
    </row>
    <row r="1062" spans="1:13" s="3" customFormat="1">
      <c r="A1062" s="1"/>
      <c r="B1062" s="8"/>
      <c r="C1062" s="5"/>
      <c r="D1062" s="12"/>
      <c r="E1062" s="23"/>
      <c r="F1062" s="9"/>
      <c r="G1062" s="5"/>
      <c r="H1062" s="16"/>
      <c r="I1062" s="69"/>
      <c r="J1062" s="70"/>
      <c r="K1062" s="71"/>
      <c r="L1062" s="71"/>
      <c r="M1062" s="5"/>
    </row>
    <row r="1063" spans="1:13" s="3" customFormat="1">
      <c r="A1063" s="1"/>
      <c r="B1063" s="8"/>
      <c r="C1063" s="5"/>
      <c r="D1063" s="12"/>
      <c r="E1063" s="23"/>
      <c r="F1063" s="9"/>
      <c r="G1063" s="5"/>
      <c r="H1063" s="16"/>
      <c r="I1063" s="69"/>
      <c r="J1063" s="70"/>
      <c r="K1063" s="71"/>
      <c r="L1063" s="71"/>
      <c r="M1063" s="5"/>
    </row>
    <row r="1064" spans="1:13" s="3" customFormat="1">
      <c r="A1064" s="1"/>
      <c r="B1064" s="8"/>
      <c r="C1064" s="5"/>
      <c r="D1064" s="12"/>
      <c r="E1064" s="23"/>
      <c r="F1064" s="9"/>
      <c r="G1064" s="5"/>
      <c r="H1064" s="16"/>
      <c r="I1064" s="69"/>
      <c r="J1064" s="70"/>
      <c r="K1064" s="71"/>
      <c r="L1064" s="71"/>
      <c r="M1064" s="5"/>
    </row>
    <row r="1065" spans="1:13" s="3" customFormat="1">
      <c r="A1065" s="1"/>
      <c r="B1065" s="8"/>
      <c r="C1065" s="5"/>
      <c r="D1065" s="12"/>
      <c r="E1065" s="23"/>
      <c r="F1065" s="9"/>
      <c r="G1065" s="5"/>
      <c r="H1065" s="16"/>
      <c r="I1065" s="69"/>
      <c r="J1065" s="70"/>
      <c r="K1065" s="71"/>
      <c r="L1065" s="71"/>
      <c r="M1065" s="5"/>
    </row>
    <row r="1066" spans="1:13" s="3" customFormat="1">
      <c r="A1066" s="1"/>
      <c r="B1066" s="8"/>
      <c r="C1066" s="5"/>
      <c r="D1066" s="12"/>
      <c r="E1066" s="23"/>
      <c r="F1066" s="9"/>
      <c r="G1066" s="5"/>
      <c r="H1066" s="16"/>
      <c r="I1066" s="69"/>
      <c r="J1066" s="70"/>
      <c r="K1066" s="71"/>
      <c r="L1066" s="71"/>
      <c r="M1066" s="5"/>
    </row>
    <row r="1067" spans="1:13" s="3" customFormat="1">
      <c r="A1067" s="1"/>
      <c r="B1067" s="8"/>
      <c r="C1067" s="5"/>
      <c r="D1067" s="12"/>
      <c r="E1067" s="23"/>
      <c r="F1067" s="9"/>
      <c r="G1067" s="5"/>
      <c r="H1067" s="16"/>
      <c r="I1067" s="69"/>
      <c r="J1067" s="70"/>
      <c r="K1067" s="71"/>
      <c r="L1067" s="71"/>
      <c r="M1067" s="5"/>
    </row>
    <row r="1068" spans="1:13" s="3" customFormat="1">
      <c r="A1068" s="1"/>
      <c r="B1068" s="8"/>
      <c r="C1068" s="5"/>
      <c r="D1068" s="12"/>
      <c r="E1068" s="23"/>
      <c r="F1068" s="9"/>
      <c r="G1068" s="5"/>
      <c r="H1068" s="16"/>
      <c r="I1068" s="69"/>
      <c r="J1068" s="70"/>
      <c r="K1068" s="71"/>
      <c r="L1068" s="71"/>
      <c r="M1068" s="5"/>
    </row>
    <row r="1069" spans="1:13" s="3" customFormat="1">
      <c r="A1069" s="1"/>
      <c r="B1069" s="8"/>
      <c r="C1069" s="5"/>
      <c r="D1069" s="12"/>
      <c r="E1069" s="23"/>
      <c r="F1069" s="9"/>
      <c r="G1069" s="5"/>
      <c r="H1069" s="16"/>
      <c r="I1069" s="69"/>
      <c r="J1069" s="70"/>
      <c r="K1069" s="71"/>
      <c r="L1069" s="71"/>
      <c r="M1069" s="5"/>
    </row>
    <row r="1070" spans="1:13" s="3" customFormat="1">
      <c r="A1070" s="1"/>
      <c r="B1070" s="8"/>
      <c r="C1070" s="5"/>
      <c r="D1070" s="12"/>
      <c r="E1070" s="23"/>
      <c r="F1070" s="9"/>
      <c r="G1070" s="5"/>
      <c r="H1070" s="16"/>
      <c r="I1070" s="69"/>
      <c r="J1070" s="70"/>
      <c r="K1070" s="71"/>
      <c r="L1070" s="71"/>
      <c r="M1070" s="5"/>
    </row>
    <row r="1071" spans="1:13" s="3" customFormat="1">
      <c r="A1071" s="1"/>
      <c r="B1071" s="8"/>
      <c r="C1071" s="5"/>
      <c r="D1071" s="12"/>
      <c r="E1071" s="23"/>
      <c r="F1071" s="9"/>
      <c r="G1071" s="5"/>
      <c r="H1071" s="16"/>
      <c r="I1071" s="69"/>
      <c r="J1071" s="70"/>
      <c r="K1071" s="71"/>
      <c r="L1071" s="71"/>
      <c r="M1071" s="5"/>
    </row>
    <row r="1072" spans="1:13" s="3" customFormat="1">
      <c r="A1072" s="1"/>
      <c r="B1072" s="8"/>
      <c r="C1072" s="5"/>
      <c r="D1072" s="12"/>
      <c r="E1072" s="23"/>
      <c r="F1072" s="9"/>
      <c r="G1072" s="5"/>
      <c r="H1072" s="16"/>
      <c r="I1072" s="69"/>
      <c r="J1072" s="70"/>
      <c r="K1072" s="71"/>
      <c r="L1072" s="71"/>
      <c r="M1072" s="5"/>
    </row>
    <row r="1073" spans="1:13" s="3" customFormat="1">
      <c r="A1073" s="1"/>
      <c r="B1073" s="8"/>
      <c r="C1073" s="5"/>
      <c r="D1073" s="12"/>
      <c r="E1073" s="23"/>
      <c r="F1073" s="9"/>
      <c r="G1073" s="5"/>
      <c r="H1073" s="16"/>
      <c r="I1073" s="69"/>
      <c r="J1073" s="70"/>
      <c r="K1073" s="71"/>
      <c r="L1073" s="71"/>
      <c r="M1073" s="5"/>
    </row>
    <row r="1074" spans="1:13" s="3" customFormat="1">
      <c r="A1074" s="1"/>
      <c r="B1074" s="8"/>
      <c r="C1074" s="5"/>
      <c r="D1074" s="12"/>
      <c r="E1074" s="23"/>
      <c r="F1074" s="9"/>
      <c r="G1074" s="5"/>
      <c r="H1074" s="16"/>
      <c r="I1074" s="69"/>
      <c r="J1074" s="70"/>
      <c r="K1074" s="71"/>
      <c r="L1074" s="71"/>
      <c r="M1074" s="5"/>
    </row>
    <row r="1075" spans="1:13" s="3" customFormat="1">
      <c r="A1075" s="1"/>
      <c r="B1075" s="8"/>
      <c r="C1075" s="5"/>
      <c r="D1075" s="12"/>
      <c r="E1075" s="23"/>
      <c r="F1075" s="9"/>
      <c r="G1075" s="5"/>
      <c r="H1075" s="16"/>
      <c r="I1075" s="69"/>
      <c r="J1075" s="70"/>
      <c r="K1075" s="71"/>
      <c r="L1075" s="71"/>
      <c r="M1075" s="5"/>
    </row>
    <row r="1076" spans="1:13" s="3" customFormat="1">
      <c r="A1076" s="1"/>
      <c r="B1076" s="8"/>
      <c r="C1076" s="5"/>
      <c r="D1076" s="12"/>
      <c r="E1076" s="23"/>
      <c r="F1076" s="9"/>
      <c r="G1076" s="5"/>
      <c r="H1076" s="16"/>
      <c r="I1076" s="69"/>
      <c r="J1076" s="70"/>
      <c r="K1076" s="71"/>
      <c r="L1076" s="71"/>
      <c r="M1076" s="5"/>
    </row>
    <row r="1077" spans="1:13" s="3" customFormat="1">
      <c r="A1077" s="1"/>
      <c r="B1077" s="8"/>
      <c r="C1077" s="5"/>
      <c r="D1077" s="12"/>
      <c r="E1077" s="23"/>
      <c r="F1077" s="9"/>
      <c r="G1077" s="5"/>
      <c r="H1077" s="16"/>
      <c r="I1077" s="69"/>
      <c r="J1077" s="70"/>
      <c r="K1077" s="71"/>
      <c r="L1077" s="71"/>
      <c r="M1077" s="5"/>
    </row>
    <row r="1078" spans="1:13" s="3" customFormat="1">
      <c r="A1078" s="1"/>
      <c r="B1078" s="8"/>
      <c r="C1078" s="5"/>
      <c r="D1078" s="12"/>
      <c r="E1078" s="23"/>
      <c r="F1078" s="9"/>
      <c r="G1078" s="5"/>
      <c r="H1078" s="16"/>
      <c r="I1078" s="69"/>
      <c r="J1078" s="70"/>
      <c r="K1078" s="71"/>
      <c r="L1078" s="71"/>
      <c r="M1078" s="5"/>
    </row>
    <row r="1079" spans="1:13" s="3" customFormat="1">
      <c r="A1079" s="1"/>
      <c r="B1079" s="8"/>
      <c r="C1079" s="5"/>
      <c r="D1079" s="12"/>
      <c r="E1079" s="23"/>
      <c r="F1079" s="9"/>
      <c r="G1079" s="5"/>
      <c r="H1079" s="16"/>
      <c r="I1079" s="69"/>
      <c r="J1079" s="70"/>
      <c r="K1079" s="71"/>
      <c r="L1079" s="71"/>
      <c r="M1079" s="5"/>
    </row>
    <row r="1080" spans="1:13" s="3" customFormat="1">
      <c r="A1080" s="1"/>
      <c r="B1080" s="8"/>
      <c r="C1080" s="5"/>
      <c r="D1080" s="12"/>
      <c r="E1080" s="23"/>
      <c r="F1080" s="9"/>
      <c r="G1080" s="5"/>
      <c r="H1080" s="16"/>
      <c r="I1080" s="69"/>
      <c r="J1080" s="70"/>
      <c r="K1080" s="71"/>
      <c r="L1080" s="71"/>
      <c r="M1080" s="5"/>
    </row>
    <row r="1081" spans="1:13" s="3" customFormat="1">
      <c r="A1081" s="1"/>
      <c r="B1081" s="8"/>
      <c r="C1081" s="5"/>
      <c r="D1081" s="12"/>
      <c r="E1081" s="23"/>
      <c r="F1081" s="9"/>
      <c r="G1081" s="5"/>
      <c r="H1081" s="16"/>
      <c r="I1081" s="69"/>
      <c r="J1081" s="70"/>
      <c r="K1081" s="71"/>
      <c r="L1081" s="71"/>
      <c r="M1081" s="5"/>
    </row>
    <row r="1082" spans="1:13" s="3" customFormat="1">
      <c r="A1082" s="1"/>
      <c r="B1082" s="8"/>
      <c r="C1082" s="5"/>
      <c r="D1082" s="12"/>
      <c r="E1082" s="23"/>
      <c r="F1082" s="9"/>
      <c r="G1082" s="5"/>
      <c r="H1082" s="16"/>
      <c r="I1082" s="69"/>
      <c r="J1082" s="70"/>
      <c r="K1082" s="71"/>
      <c r="L1082" s="71"/>
      <c r="M1082" s="5"/>
    </row>
    <row r="1083" spans="1:13" s="3" customFormat="1">
      <c r="A1083" s="1"/>
      <c r="B1083" s="8"/>
      <c r="C1083" s="5"/>
      <c r="D1083" s="12"/>
      <c r="E1083" s="23"/>
      <c r="F1083" s="9"/>
      <c r="G1083" s="5"/>
      <c r="H1083" s="16"/>
      <c r="I1083" s="69"/>
      <c r="J1083" s="70"/>
      <c r="K1083" s="71"/>
      <c r="L1083" s="71"/>
      <c r="M1083" s="5"/>
    </row>
    <row r="1084" spans="1:13" s="3" customFormat="1">
      <c r="A1084" s="1"/>
      <c r="B1084" s="8"/>
      <c r="C1084" s="5"/>
      <c r="D1084" s="12"/>
      <c r="E1084" s="23"/>
      <c r="F1084" s="9"/>
      <c r="G1084" s="5"/>
      <c r="H1084" s="16"/>
      <c r="I1084" s="69"/>
      <c r="J1084" s="70"/>
      <c r="K1084" s="71"/>
      <c r="L1084" s="71"/>
      <c r="M1084" s="5"/>
    </row>
    <row r="1085" spans="1:13" s="3" customFormat="1">
      <c r="A1085" s="1"/>
      <c r="B1085" s="8"/>
      <c r="C1085" s="5"/>
      <c r="D1085" s="12"/>
      <c r="E1085" s="23"/>
      <c r="F1085" s="9"/>
      <c r="G1085" s="5"/>
      <c r="H1085" s="16"/>
      <c r="I1085" s="69"/>
      <c r="J1085" s="70"/>
      <c r="K1085" s="71"/>
      <c r="L1085" s="71"/>
      <c r="M1085" s="5"/>
    </row>
    <row r="1086" spans="1:13" s="3" customFormat="1">
      <c r="A1086" s="1"/>
      <c r="B1086" s="8"/>
      <c r="C1086" s="5"/>
      <c r="D1086" s="12"/>
      <c r="E1086" s="23"/>
      <c r="F1086" s="9"/>
      <c r="G1086" s="5"/>
      <c r="H1086" s="16"/>
      <c r="I1086" s="69"/>
      <c r="J1086" s="70"/>
      <c r="K1086" s="71"/>
      <c r="L1086" s="71"/>
      <c r="M1086" s="5"/>
    </row>
    <row r="1087" spans="1:13" s="3" customFormat="1">
      <c r="A1087" s="1"/>
      <c r="B1087" s="8"/>
      <c r="C1087" s="5"/>
      <c r="D1087" s="12"/>
      <c r="E1087" s="23"/>
      <c r="F1087" s="9"/>
      <c r="G1087" s="5"/>
      <c r="H1087" s="16"/>
      <c r="I1087" s="69"/>
      <c r="J1087" s="70"/>
      <c r="K1087" s="71"/>
      <c r="L1087" s="71"/>
      <c r="M1087" s="5"/>
    </row>
    <row r="1088" spans="1:13" s="3" customFormat="1">
      <c r="A1088" s="1"/>
      <c r="B1088" s="8"/>
      <c r="C1088" s="5"/>
      <c r="D1088" s="12"/>
      <c r="E1088" s="23"/>
      <c r="F1088" s="9"/>
      <c r="G1088" s="5"/>
      <c r="H1088" s="16"/>
      <c r="I1088" s="69"/>
      <c r="J1088" s="70"/>
      <c r="K1088" s="71"/>
      <c r="L1088" s="71"/>
      <c r="M1088" s="5"/>
    </row>
    <row r="1089" spans="1:13" s="3" customFormat="1">
      <c r="A1089" s="1"/>
      <c r="B1089" s="8"/>
      <c r="C1089" s="5"/>
      <c r="D1089" s="12"/>
      <c r="E1089" s="23"/>
      <c r="F1089" s="9"/>
      <c r="G1089" s="5"/>
      <c r="H1089" s="16"/>
      <c r="I1089" s="69"/>
      <c r="J1089" s="70"/>
      <c r="K1089" s="71"/>
      <c r="L1089" s="71"/>
      <c r="M1089" s="5"/>
    </row>
    <row r="1090" spans="1:13" s="3" customFormat="1">
      <c r="A1090" s="1"/>
      <c r="B1090" s="8"/>
      <c r="C1090" s="5"/>
      <c r="D1090" s="12"/>
      <c r="E1090" s="23"/>
      <c r="F1090" s="9"/>
      <c r="G1090" s="5"/>
      <c r="H1090" s="16"/>
      <c r="I1090" s="69"/>
      <c r="J1090" s="70"/>
      <c r="K1090" s="71"/>
      <c r="L1090" s="71"/>
      <c r="M1090" s="5"/>
    </row>
    <row r="1091" spans="1:13" s="3" customFormat="1">
      <c r="A1091" s="1"/>
      <c r="B1091" s="8"/>
      <c r="C1091" s="5"/>
      <c r="D1091" s="12"/>
      <c r="E1091" s="23"/>
      <c r="F1091" s="9"/>
      <c r="G1091" s="5"/>
      <c r="H1091" s="16"/>
      <c r="I1091" s="69"/>
      <c r="J1091" s="70"/>
      <c r="K1091" s="71"/>
      <c r="L1091" s="71"/>
      <c r="M1091" s="5"/>
    </row>
    <row r="1092" spans="1:13" s="3" customFormat="1">
      <c r="A1092" s="1"/>
      <c r="B1092" s="8"/>
      <c r="C1092" s="5"/>
      <c r="D1092" s="12"/>
      <c r="E1092" s="23"/>
      <c r="F1092" s="9"/>
      <c r="G1092" s="5"/>
      <c r="H1092" s="16"/>
      <c r="I1092" s="69"/>
      <c r="J1092" s="70"/>
      <c r="K1092" s="71"/>
      <c r="L1092" s="71"/>
      <c r="M1092" s="5"/>
    </row>
    <row r="1093" spans="1:13" s="3" customFormat="1">
      <c r="A1093" s="1"/>
      <c r="B1093" s="8"/>
      <c r="C1093" s="5"/>
      <c r="D1093" s="12"/>
      <c r="E1093" s="23"/>
      <c r="F1093" s="9"/>
      <c r="G1093" s="5"/>
      <c r="H1093" s="16"/>
      <c r="I1093" s="69"/>
      <c r="J1093" s="70"/>
      <c r="K1093" s="71"/>
      <c r="L1093" s="71"/>
      <c r="M1093" s="5"/>
    </row>
    <row r="1094" spans="1:13" s="3" customFormat="1">
      <c r="A1094" s="1"/>
      <c r="B1094" s="8"/>
      <c r="C1094" s="5"/>
      <c r="D1094" s="12"/>
      <c r="E1094" s="23"/>
      <c r="F1094" s="9"/>
      <c r="G1094" s="5"/>
      <c r="H1094" s="16"/>
      <c r="I1094" s="69"/>
      <c r="J1094" s="70"/>
      <c r="K1094" s="71"/>
      <c r="L1094" s="71"/>
      <c r="M1094" s="5"/>
    </row>
    <row r="1095" spans="1:13" s="3" customFormat="1">
      <c r="A1095" s="1"/>
      <c r="B1095" s="8"/>
      <c r="C1095" s="5"/>
      <c r="D1095" s="12"/>
      <c r="E1095" s="23"/>
      <c r="F1095" s="9"/>
      <c r="G1095" s="5"/>
      <c r="H1095" s="16"/>
      <c r="I1095" s="69"/>
      <c r="J1095" s="70"/>
      <c r="K1095" s="71"/>
      <c r="L1095" s="71"/>
      <c r="M1095" s="5"/>
    </row>
    <row r="1096" spans="1:13" s="3" customFormat="1">
      <c r="A1096" s="1"/>
      <c r="B1096" s="8"/>
      <c r="C1096" s="5"/>
      <c r="D1096" s="12"/>
      <c r="E1096" s="23"/>
      <c r="F1096" s="9"/>
      <c r="G1096" s="5"/>
      <c r="H1096" s="16"/>
      <c r="I1096" s="69"/>
      <c r="J1096" s="70"/>
      <c r="K1096" s="71"/>
      <c r="L1096" s="71"/>
      <c r="M1096" s="5"/>
    </row>
    <row r="1097" spans="1:13" s="3" customFormat="1">
      <c r="A1097" s="1"/>
      <c r="B1097" s="8"/>
      <c r="C1097" s="5"/>
      <c r="D1097" s="12"/>
      <c r="E1097" s="23"/>
      <c r="F1097" s="9"/>
      <c r="G1097" s="5"/>
      <c r="H1097" s="16"/>
      <c r="I1097" s="69"/>
      <c r="J1097" s="70"/>
      <c r="K1097" s="71"/>
      <c r="L1097" s="71"/>
      <c r="M1097" s="5"/>
    </row>
    <row r="1098" spans="1:13" s="3" customFormat="1">
      <c r="A1098" s="1"/>
      <c r="B1098" s="8"/>
      <c r="C1098" s="5"/>
      <c r="D1098" s="12"/>
      <c r="E1098" s="23"/>
      <c r="F1098" s="9"/>
      <c r="G1098" s="5"/>
      <c r="H1098" s="16"/>
      <c r="I1098" s="69"/>
      <c r="J1098" s="70"/>
      <c r="K1098" s="71"/>
      <c r="L1098" s="71"/>
      <c r="M1098" s="5"/>
    </row>
    <row r="1099" spans="1:13" s="3" customFormat="1">
      <c r="A1099" s="1"/>
      <c r="B1099" s="8"/>
      <c r="C1099" s="5"/>
      <c r="D1099" s="12"/>
      <c r="E1099" s="23"/>
      <c r="F1099" s="9"/>
      <c r="G1099" s="5"/>
      <c r="H1099" s="16"/>
      <c r="I1099" s="69"/>
      <c r="J1099" s="70"/>
      <c r="K1099" s="71"/>
      <c r="L1099" s="71"/>
      <c r="M1099" s="5"/>
    </row>
    <row r="1100" spans="1:13" s="3" customFormat="1">
      <c r="A1100" s="1"/>
      <c r="B1100" s="8"/>
      <c r="C1100" s="5"/>
      <c r="D1100" s="12"/>
      <c r="E1100" s="23"/>
      <c r="F1100" s="9"/>
      <c r="G1100" s="5"/>
      <c r="H1100" s="16"/>
      <c r="I1100" s="69"/>
      <c r="J1100" s="70"/>
      <c r="K1100" s="71"/>
      <c r="L1100" s="71"/>
      <c r="M1100" s="5"/>
    </row>
    <row r="1101" spans="1:13" s="3" customFormat="1">
      <c r="A1101" s="1"/>
      <c r="B1101" s="8"/>
      <c r="C1101" s="5"/>
      <c r="D1101" s="12"/>
      <c r="E1101" s="23"/>
      <c r="F1101" s="9"/>
      <c r="G1101" s="5"/>
      <c r="H1101" s="16"/>
      <c r="I1101" s="69"/>
      <c r="J1101" s="70"/>
      <c r="K1101" s="71"/>
      <c r="L1101" s="71"/>
      <c r="M1101" s="5"/>
    </row>
    <row r="1102" spans="1:13" s="3" customFormat="1">
      <c r="A1102" s="1"/>
      <c r="B1102" s="8"/>
      <c r="C1102" s="5"/>
      <c r="D1102" s="12"/>
      <c r="E1102" s="23"/>
      <c r="F1102" s="9"/>
      <c r="G1102" s="5"/>
      <c r="H1102" s="16"/>
      <c r="I1102" s="69"/>
      <c r="J1102" s="70"/>
      <c r="K1102" s="71"/>
      <c r="L1102" s="71"/>
      <c r="M1102" s="5"/>
    </row>
    <row r="1103" spans="1:13" s="3" customFormat="1">
      <c r="A1103" s="1"/>
      <c r="B1103" s="8"/>
      <c r="C1103" s="5"/>
      <c r="D1103" s="12"/>
      <c r="E1103" s="23"/>
      <c r="F1103" s="9"/>
      <c r="G1103" s="5"/>
      <c r="H1103" s="16"/>
      <c r="I1103" s="69"/>
      <c r="J1103" s="70"/>
      <c r="K1103" s="71"/>
      <c r="L1103" s="71"/>
      <c r="M1103" s="5"/>
    </row>
    <row r="1104" spans="1:13" s="3" customFormat="1">
      <c r="A1104" s="1"/>
      <c r="B1104" s="8"/>
      <c r="C1104" s="5"/>
      <c r="D1104" s="12"/>
      <c r="E1104" s="23"/>
      <c r="F1104" s="9"/>
      <c r="G1104" s="5"/>
      <c r="H1104" s="16"/>
      <c r="I1104" s="69"/>
      <c r="J1104" s="70"/>
      <c r="K1104" s="71"/>
      <c r="L1104" s="71"/>
      <c r="M1104" s="5"/>
    </row>
    <row r="1105" spans="1:13" s="3" customFormat="1">
      <c r="A1105" s="1"/>
      <c r="B1105" s="8"/>
      <c r="C1105" s="5"/>
      <c r="D1105" s="12"/>
      <c r="E1105" s="23"/>
      <c r="F1105" s="9"/>
      <c r="G1105" s="5"/>
      <c r="H1105" s="16"/>
      <c r="I1105" s="69"/>
      <c r="J1105" s="70"/>
      <c r="K1105" s="71"/>
      <c r="L1105" s="71"/>
      <c r="M1105" s="5"/>
    </row>
    <row r="1106" spans="1:13" s="3" customFormat="1">
      <c r="A1106" s="1"/>
      <c r="B1106" s="8"/>
      <c r="C1106" s="5"/>
      <c r="D1106" s="12"/>
      <c r="E1106" s="23"/>
      <c r="F1106" s="9"/>
      <c r="G1106" s="5"/>
      <c r="H1106" s="16"/>
      <c r="I1106" s="69"/>
      <c r="J1106" s="70"/>
      <c r="K1106" s="71"/>
      <c r="L1106" s="71"/>
      <c r="M1106" s="5"/>
    </row>
    <row r="1107" spans="1:13" s="3" customFormat="1">
      <c r="A1107" s="1"/>
      <c r="B1107" s="8"/>
      <c r="C1107" s="5"/>
      <c r="D1107" s="12"/>
      <c r="E1107" s="23"/>
      <c r="F1107" s="9"/>
      <c r="G1107" s="5"/>
      <c r="H1107" s="16"/>
      <c r="I1107" s="69"/>
      <c r="J1107" s="70"/>
      <c r="K1107" s="71"/>
      <c r="L1107" s="71"/>
      <c r="M1107" s="5"/>
    </row>
    <row r="1108" spans="1:13" s="3" customFormat="1">
      <c r="A1108" s="1"/>
      <c r="B1108" s="8"/>
      <c r="C1108" s="5"/>
      <c r="D1108" s="12"/>
      <c r="E1108" s="23"/>
      <c r="F1108" s="9"/>
      <c r="G1108" s="5"/>
      <c r="H1108" s="16"/>
      <c r="I1108" s="69"/>
      <c r="J1108" s="70"/>
      <c r="K1108" s="71"/>
      <c r="L1108" s="71"/>
      <c r="M1108" s="5"/>
    </row>
    <row r="1109" spans="1:13" s="3" customFormat="1">
      <c r="A1109" s="1"/>
      <c r="B1109" s="8"/>
      <c r="C1109" s="5"/>
      <c r="D1109" s="12"/>
      <c r="E1109" s="23"/>
      <c r="F1109" s="9"/>
      <c r="G1109" s="5"/>
      <c r="H1109" s="16"/>
      <c r="I1109" s="69"/>
      <c r="J1109" s="70"/>
      <c r="K1109" s="71"/>
      <c r="L1109" s="71"/>
      <c r="M1109" s="5"/>
    </row>
    <row r="1110" spans="1:13" s="3" customFormat="1">
      <c r="A1110" s="1"/>
      <c r="B1110" s="8"/>
      <c r="C1110" s="5"/>
      <c r="D1110" s="12"/>
      <c r="E1110" s="23"/>
      <c r="F1110" s="9"/>
      <c r="G1110" s="5"/>
      <c r="H1110" s="16"/>
      <c r="I1110" s="69"/>
      <c r="J1110" s="70"/>
      <c r="K1110" s="71"/>
      <c r="L1110" s="71"/>
      <c r="M1110" s="5"/>
    </row>
    <row r="1111" spans="1:13" s="3" customFormat="1">
      <c r="A1111" s="1"/>
      <c r="B1111" s="8"/>
      <c r="C1111" s="5"/>
      <c r="D1111" s="12"/>
      <c r="E1111" s="23"/>
      <c r="F1111" s="9"/>
      <c r="G1111" s="5"/>
      <c r="H1111" s="16"/>
      <c r="I1111" s="69"/>
      <c r="J1111" s="70"/>
      <c r="K1111" s="71"/>
      <c r="L1111" s="71"/>
      <c r="M1111" s="5"/>
    </row>
    <row r="1112" spans="1:13" s="3" customFormat="1">
      <c r="A1112" s="1"/>
      <c r="B1112" s="8"/>
      <c r="C1112" s="5"/>
      <c r="D1112" s="12"/>
      <c r="E1112" s="23"/>
      <c r="F1112" s="9"/>
      <c r="G1112" s="5"/>
      <c r="H1112" s="16"/>
      <c r="I1112" s="69"/>
      <c r="J1112" s="70"/>
      <c r="K1112" s="71"/>
      <c r="L1112" s="71"/>
      <c r="M1112" s="5"/>
    </row>
    <row r="1113" spans="1:13" s="3" customFormat="1">
      <c r="A1113" s="1"/>
      <c r="B1113" s="8"/>
      <c r="C1113" s="5"/>
      <c r="D1113" s="12"/>
      <c r="E1113" s="23"/>
      <c r="F1113" s="9"/>
      <c r="G1113" s="5"/>
      <c r="H1113" s="16"/>
      <c r="I1113" s="69"/>
      <c r="J1113" s="70"/>
      <c r="K1113" s="71"/>
      <c r="L1113" s="71"/>
      <c r="M1113" s="5"/>
    </row>
    <row r="1114" spans="1:13" s="3" customFormat="1">
      <c r="A1114" s="1"/>
      <c r="B1114" s="8"/>
      <c r="C1114" s="5"/>
      <c r="D1114" s="12"/>
      <c r="E1114" s="23"/>
      <c r="F1114" s="9"/>
      <c r="G1114" s="5"/>
      <c r="H1114" s="16"/>
      <c r="I1114" s="69"/>
      <c r="J1114" s="70"/>
      <c r="K1114" s="71"/>
      <c r="L1114" s="71"/>
      <c r="M1114" s="5"/>
    </row>
    <row r="1115" spans="1:13" s="3" customFormat="1">
      <c r="A1115" s="1"/>
      <c r="B1115" s="8"/>
      <c r="C1115" s="5"/>
      <c r="D1115" s="12"/>
      <c r="E1115" s="23"/>
      <c r="F1115" s="9"/>
      <c r="G1115" s="5"/>
      <c r="H1115" s="16"/>
      <c r="I1115" s="69"/>
      <c r="J1115" s="70"/>
      <c r="K1115" s="71"/>
      <c r="L1115" s="71"/>
      <c r="M1115" s="5"/>
    </row>
    <row r="1116" spans="1:13" s="3" customFormat="1">
      <c r="A1116" s="1"/>
      <c r="B1116" s="8"/>
      <c r="C1116" s="5"/>
      <c r="D1116" s="12"/>
      <c r="E1116" s="23"/>
      <c r="F1116" s="9"/>
      <c r="G1116" s="5"/>
      <c r="H1116" s="16"/>
      <c r="I1116" s="69"/>
      <c r="J1116" s="70"/>
      <c r="K1116" s="71"/>
      <c r="L1116" s="71"/>
      <c r="M1116" s="5"/>
    </row>
    <row r="1117" spans="1:13" s="3" customFormat="1">
      <c r="A1117" s="1"/>
      <c r="B1117" s="8"/>
      <c r="C1117" s="5"/>
      <c r="D1117" s="12"/>
      <c r="E1117" s="23"/>
      <c r="F1117" s="9"/>
      <c r="G1117" s="5"/>
      <c r="H1117" s="16"/>
      <c r="I1117" s="69"/>
      <c r="J1117" s="70"/>
      <c r="K1117" s="71"/>
      <c r="L1117" s="71"/>
      <c r="M1117" s="5"/>
    </row>
    <row r="1118" spans="1:13" s="3" customFormat="1">
      <c r="A1118" s="1"/>
      <c r="B1118" s="8"/>
      <c r="C1118" s="5"/>
      <c r="D1118" s="12"/>
      <c r="E1118" s="23"/>
      <c r="F1118" s="9"/>
      <c r="G1118" s="5"/>
      <c r="H1118" s="16"/>
      <c r="I1118" s="69"/>
      <c r="J1118" s="70"/>
      <c r="K1118" s="71"/>
      <c r="L1118" s="71"/>
      <c r="M1118" s="5"/>
    </row>
    <row r="1119" spans="1:13" s="3" customFormat="1">
      <c r="A1119" s="1"/>
      <c r="B1119" s="8"/>
      <c r="C1119" s="5"/>
      <c r="D1119" s="12"/>
      <c r="E1119" s="23"/>
      <c r="F1119" s="9"/>
      <c r="G1119" s="5"/>
      <c r="H1119" s="16"/>
      <c r="I1119" s="69"/>
      <c r="J1119" s="70"/>
      <c r="K1119" s="71"/>
      <c r="L1119" s="71"/>
      <c r="M1119" s="5"/>
    </row>
    <row r="1120" spans="1:13" s="3" customFormat="1">
      <c r="A1120" s="1"/>
      <c r="B1120" s="8"/>
      <c r="C1120" s="5"/>
      <c r="D1120" s="12"/>
      <c r="E1120" s="23"/>
      <c r="F1120" s="9"/>
      <c r="G1120" s="5"/>
      <c r="H1120" s="16"/>
      <c r="I1120" s="69"/>
      <c r="J1120" s="70"/>
      <c r="K1120" s="71"/>
      <c r="L1120" s="71"/>
      <c r="M1120" s="5"/>
    </row>
    <row r="1121" spans="1:13" s="3" customFormat="1">
      <c r="A1121" s="1"/>
      <c r="B1121" s="8"/>
      <c r="C1121" s="5"/>
      <c r="D1121" s="12"/>
      <c r="E1121" s="23"/>
      <c r="F1121" s="9"/>
      <c r="G1121" s="5"/>
      <c r="H1121" s="16"/>
      <c r="I1121" s="69"/>
      <c r="J1121" s="70"/>
      <c r="K1121" s="71"/>
      <c r="L1121" s="71"/>
      <c r="M1121" s="5"/>
    </row>
    <row r="1122" spans="1:13" s="3" customFormat="1">
      <c r="A1122" s="1"/>
      <c r="B1122" s="8"/>
      <c r="C1122" s="5"/>
      <c r="D1122" s="12"/>
      <c r="E1122" s="23"/>
      <c r="F1122" s="9"/>
      <c r="G1122" s="5"/>
      <c r="H1122" s="16"/>
      <c r="I1122" s="69"/>
      <c r="J1122" s="70"/>
      <c r="K1122" s="71"/>
      <c r="L1122" s="71"/>
      <c r="M1122" s="5"/>
    </row>
    <row r="1123" spans="1:13" s="3" customFormat="1">
      <c r="A1123" s="1"/>
      <c r="B1123" s="8"/>
      <c r="C1123" s="5"/>
      <c r="D1123" s="12"/>
      <c r="E1123" s="23"/>
      <c r="F1123" s="9"/>
      <c r="G1123" s="5"/>
      <c r="H1123" s="16"/>
      <c r="I1123" s="69"/>
      <c r="J1123" s="70"/>
      <c r="K1123" s="71"/>
      <c r="L1123" s="71"/>
      <c r="M1123" s="5"/>
    </row>
    <row r="1124" spans="1:13" s="3" customFormat="1">
      <c r="A1124" s="1"/>
      <c r="B1124" s="8"/>
      <c r="C1124" s="5"/>
      <c r="D1124" s="12"/>
      <c r="E1124" s="23"/>
      <c r="F1124" s="9"/>
      <c r="G1124" s="5"/>
      <c r="H1124" s="16"/>
      <c r="I1124" s="69"/>
      <c r="J1124" s="70"/>
      <c r="K1124" s="71"/>
      <c r="L1124" s="71"/>
      <c r="M1124" s="5"/>
    </row>
    <row r="1125" spans="1:13" s="3" customFormat="1">
      <c r="A1125" s="1"/>
      <c r="B1125" s="8"/>
      <c r="C1125" s="5"/>
      <c r="D1125" s="12"/>
      <c r="E1125" s="23"/>
      <c r="F1125" s="9"/>
      <c r="G1125" s="5"/>
      <c r="H1125" s="16"/>
      <c r="I1125" s="69"/>
      <c r="J1125" s="70"/>
      <c r="K1125" s="71"/>
      <c r="L1125" s="71"/>
      <c r="M1125" s="5"/>
    </row>
    <row r="1126" spans="1:13" s="3" customFormat="1">
      <c r="A1126" s="1"/>
      <c r="B1126" s="8"/>
      <c r="C1126" s="5"/>
      <c r="D1126" s="12"/>
      <c r="E1126" s="23"/>
      <c r="F1126" s="9"/>
      <c r="G1126" s="5"/>
      <c r="H1126" s="16"/>
      <c r="I1126" s="69"/>
      <c r="J1126" s="70"/>
      <c r="K1126" s="71"/>
      <c r="L1126" s="71"/>
      <c r="M1126" s="5"/>
    </row>
    <row r="1127" spans="1:13" s="3" customFormat="1">
      <c r="A1127" s="1"/>
      <c r="B1127" s="8"/>
      <c r="C1127" s="5"/>
      <c r="D1127" s="12"/>
      <c r="E1127" s="23"/>
      <c r="F1127" s="9"/>
      <c r="G1127" s="5"/>
      <c r="H1127" s="16"/>
      <c r="I1127" s="69"/>
      <c r="J1127" s="70"/>
      <c r="K1127" s="71"/>
      <c r="L1127" s="71"/>
      <c r="M1127" s="5"/>
    </row>
    <row r="1128" spans="1:13" s="3" customFormat="1">
      <c r="A1128" s="1"/>
      <c r="B1128" s="8"/>
      <c r="C1128" s="5"/>
      <c r="D1128" s="12"/>
      <c r="E1128" s="23"/>
      <c r="F1128" s="9"/>
      <c r="G1128" s="5"/>
      <c r="H1128" s="16"/>
      <c r="I1128" s="69"/>
      <c r="J1128" s="70"/>
      <c r="K1128" s="71"/>
      <c r="L1128" s="71"/>
      <c r="M1128" s="5"/>
    </row>
    <row r="1129" spans="1:13" s="3" customFormat="1">
      <c r="A1129" s="1"/>
      <c r="B1129" s="8"/>
      <c r="C1129" s="5"/>
      <c r="D1129" s="12"/>
      <c r="E1129" s="23"/>
      <c r="F1129" s="9"/>
      <c r="G1129" s="5"/>
      <c r="H1129" s="16"/>
      <c r="I1129" s="69"/>
      <c r="J1129" s="70"/>
      <c r="K1129" s="71"/>
      <c r="L1129" s="71"/>
      <c r="M1129" s="5"/>
    </row>
    <row r="1130" spans="1:13" s="3" customFormat="1">
      <c r="A1130" s="1"/>
      <c r="B1130" s="8"/>
      <c r="C1130" s="5"/>
      <c r="D1130" s="12"/>
      <c r="E1130" s="23"/>
      <c r="F1130" s="9"/>
      <c r="G1130" s="5"/>
      <c r="H1130" s="16"/>
      <c r="I1130" s="69"/>
      <c r="J1130" s="70"/>
      <c r="K1130" s="71"/>
      <c r="L1130" s="71"/>
      <c r="M1130" s="5"/>
    </row>
    <row r="1131" spans="1:13" s="3" customFormat="1">
      <c r="A1131" s="1"/>
      <c r="B1131" s="8"/>
      <c r="C1131" s="5"/>
      <c r="D1131" s="12"/>
      <c r="E1131" s="23"/>
      <c r="F1131" s="9"/>
      <c r="G1131" s="5"/>
      <c r="H1131" s="16"/>
      <c r="I1131" s="69"/>
      <c r="J1131" s="70"/>
      <c r="K1131" s="71"/>
      <c r="L1131" s="71"/>
      <c r="M1131" s="5"/>
    </row>
    <row r="1132" spans="1:13" s="3" customFormat="1">
      <c r="A1132" s="1"/>
      <c r="B1132" s="8"/>
      <c r="C1132" s="5"/>
      <c r="D1132" s="12"/>
      <c r="E1132" s="23"/>
      <c r="F1132" s="9"/>
      <c r="G1132" s="5"/>
      <c r="H1132" s="16"/>
      <c r="I1132" s="69"/>
      <c r="J1132" s="70"/>
      <c r="K1132" s="71"/>
      <c r="L1132" s="71"/>
      <c r="M1132" s="5"/>
    </row>
    <row r="1133" spans="1:13" s="3" customFormat="1">
      <c r="A1133" s="1"/>
      <c r="B1133" s="8"/>
      <c r="C1133" s="5"/>
      <c r="D1133" s="12"/>
      <c r="E1133" s="23"/>
      <c r="F1133" s="9"/>
      <c r="G1133" s="5"/>
      <c r="H1133" s="16"/>
      <c r="I1133" s="69"/>
      <c r="J1133" s="70"/>
      <c r="K1133" s="71"/>
      <c r="L1133" s="71"/>
      <c r="M1133" s="5"/>
    </row>
    <row r="1134" spans="1:13" s="3" customFormat="1">
      <c r="A1134" s="1"/>
      <c r="B1134" s="8"/>
      <c r="C1134" s="5"/>
      <c r="D1134" s="12"/>
      <c r="E1134" s="23"/>
      <c r="F1134" s="9"/>
      <c r="G1134" s="5"/>
      <c r="H1134" s="16"/>
      <c r="I1134" s="69"/>
      <c r="J1134" s="70"/>
      <c r="K1134" s="71"/>
      <c r="L1134" s="71"/>
      <c r="M1134" s="5"/>
    </row>
    <row r="1135" spans="1:13" s="3" customFormat="1">
      <c r="A1135" s="1"/>
      <c r="B1135" s="8"/>
      <c r="C1135" s="5"/>
      <c r="D1135" s="12"/>
      <c r="E1135" s="23"/>
      <c r="F1135" s="9"/>
      <c r="G1135" s="5"/>
      <c r="H1135" s="16"/>
      <c r="I1135" s="69"/>
      <c r="J1135" s="70"/>
      <c r="K1135" s="71"/>
      <c r="L1135" s="71"/>
      <c r="M1135" s="5"/>
    </row>
    <row r="1136" spans="1:13" s="3" customFormat="1">
      <c r="A1136" s="1"/>
      <c r="B1136" s="8"/>
      <c r="C1136" s="5"/>
      <c r="D1136" s="12"/>
      <c r="E1136" s="23"/>
      <c r="F1136" s="9"/>
      <c r="G1136" s="5"/>
      <c r="H1136" s="16"/>
      <c r="I1136" s="69"/>
      <c r="J1136" s="70"/>
      <c r="K1136" s="71"/>
      <c r="L1136" s="71"/>
      <c r="M1136" s="5"/>
    </row>
    <row r="1137" spans="1:13" s="3" customFormat="1">
      <c r="A1137" s="1"/>
      <c r="B1137" s="8"/>
      <c r="C1137" s="5"/>
      <c r="D1137" s="12"/>
      <c r="E1137" s="23"/>
      <c r="F1137" s="9"/>
      <c r="G1137" s="5"/>
      <c r="H1137" s="16"/>
      <c r="I1137" s="69"/>
      <c r="J1137" s="70"/>
      <c r="K1137" s="71"/>
      <c r="L1137" s="71"/>
      <c r="M1137" s="5"/>
    </row>
    <row r="1138" spans="1:13" s="3" customFormat="1">
      <c r="A1138" s="1"/>
      <c r="B1138" s="8"/>
      <c r="C1138" s="5"/>
      <c r="D1138" s="12"/>
      <c r="E1138" s="23"/>
      <c r="F1138" s="9"/>
      <c r="G1138" s="5"/>
      <c r="H1138" s="16"/>
      <c r="I1138" s="69"/>
      <c r="J1138" s="70"/>
      <c r="K1138" s="71"/>
      <c r="L1138" s="71"/>
      <c r="M1138" s="5"/>
    </row>
    <row r="1139" spans="1:13" s="3" customFormat="1">
      <c r="A1139" s="1"/>
      <c r="B1139" s="8"/>
      <c r="C1139" s="5"/>
      <c r="D1139" s="12"/>
      <c r="E1139" s="23"/>
      <c r="F1139" s="9"/>
      <c r="G1139" s="5"/>
      <c r="H1139" s="16"/>
      <c r="I1139" s="69"/>
      <c r="J1139" s="70"/>
      <c r="K1139" s="71"/>
      <c r="L1139" s="71"/>
      <c r="M1139" s="5"/>
    </row>
    <row r="1140" spans="1:13" s="3" customFormat="1">
      <c r="A1140" s="1"/>
      <c r="B1140" s="8"/>
      <c r="C1140" s="5"/>
      <c r="D1140" s="12"/>
      <c r="E1140" s="23"/>
      <c r="F1140" s="9"/>
      <c r="G1140" s="5"/>
      <c r="H1140" s="16"/>
      <c r="I1140" s="69"/>
      <c r="J1140" s="70"/>
      <c r="K1140" s="71"/>
      <c r="L1140" s="71"/>
      <c r="M1140" s="5"/>
    </row>
    <row r="1141" spans="1:13" s="3" customFormat="1">
      <c r="A1141" s="1"/>
      <c r="B1141" s="8"/>
      <c r="C1141" s="5"/>
      <c r="D1141" s="12"/>
      <c r="E1141" s="23"/>
      <c r="F1141" s="9"/>
      <c r="G1141" s="5"/>
      <c r="H1141" s="16"/>
      <c r="I1141" s="69"/>
      <c r="J1141" s="70"/>
      <c r="K1141" s="71"/>
      <c r="L1141" s="71"/>
      <c r="M1141" s="5"/>
    </row>
    <row r="1142" spans="1:13" s="3" customFormat="1">
      <c r="A1142" s="1"/>
      <c r="B1142" s="8"/>
      <c r="C1142" s="5"/>
      <c r="D1142" s="12"/>
      <c r="E1142" s="23"/>
      <c r="F1142" s="9"/>
      <c r="G1142" s="5"/>
      <c r="H1142" s="16"/>
      <c r="I1142" s="69"/>
      <c r="J1142" s="70"/>
      <c r="K1142" s="71"/>
      <c r="L1142" s="71"/>
      <c r="M1142" s="5"/>
    </row>
    <row r="1143" spans="1:13" s="3" customFormat="1">
      <c r="A1143" s="1"/>
      <c r="B1143" s="8"/>
      <c r="C1143" s="5"/>
      <c r="D1143" s="12"/>
      <c r="E1143" s="23"/>
      <c r="F1143" s="9"/>
      <c r="G1143" s="5"/>
      <c r="H1143" s="16"/>
      <c r="I1143" s="69"/>
      <c r="J1143" s="70"/>
      <c r="K1143" s="71"/>
      <c r="L1143" s="71"/>
      <c r="M1143" s="5"/>
    </row>
    <row r="1144" spans="1:13" s="3" customFormat="1">
      <c r="A1144" s="1"/>
      <c r="B1144" s="8"/>
      <c r="C1144" s="5"/>
      <c r="D1144" s="12"/>
      <c r="E1144" s="23"/>
      <c r="F1144" s="9"/>
      <c r="G1144" s="5"/>
      <c r="H1144" s="16"/>
      <c r="I1144" s="69"/>
      <c r="J1144" s="70"/>
      <c r="K1144" s="71"/>
      <c r="L1144" s="71"/>
      <c r="M1144" s="5"/>
    </row>
    <row r="1145" spans="1:13" s="3" customFormat="1">
      <c r="A1145" s="1"/>
      <c r="B1145" s="8"/>
      <c r="C1145" s="5"/>
      <c r="D1145" s="12"/>
      <c r="E1145" s="23"/>
      <c r="F1145" s="9"/>
      <c r="G1145" s="5"/>
      <c r="H1145" s="16"/>
      <c r="I1145" s="69"/>
      <c r="J1145" s="70"/>
      <c r="K1145" s="71"/>
      <c r="L1145" s="71"/>
      <c r="M1145" s="5"/>
    </row>
    <row r="1146" spans="1:13" s="3" customFormat="1">
      <c r="A1146" s="1"/>
      <c r="B1146" s="8"/>
      <c r="C1146" s="5"/>
      <c r="D1146" s="12"/>
      <c r="E1146" s="23"/>
      <c r="F1146" s="9"/>
      <c r="G1146" s="5"/>
      <c r="H1146" s="16"/>
      <c r="I1146" s="69"/>
      <c r="J1146" s="70"/>
      <c r="K1146" s="71"/>
      <c r="L1146" s="71"/>
      <c r="M1146" s="5"/>
    </row>
    <row r="1147" spans="1:13" s="3" customFormat="1">
      <c r="A1147" s="1"/>
      <c r="B1147" s="8"/>
      <c r="C1147" s="5"/>
      <c r="D1147" s="12"/>
      <c r="E1147" s="23"/>
      <c r="F1147" s="9"/>
      <c r="G1147" s="5"/>
      <c r="H1147" s="16"/>
      <c r="I1147" s="69"/>
      <c r="J1147" s="70"/>
      <c r="K1147" s="71"/>
      <c r="L1147" s="71"/>
      <c r="M1147" s="5"/>
    </row>
    <row r="1148" spans="1:13" s="3" customFormat="1">
      <c r="A1148" s="1"/>
      <c r="B1148" s="8"/>
      <c r="C1148" s="5"/>
      <c r="D1148" s="12"/>
      <c r="E1148" s="23"/>
      <c r="F1148" s="9"/>
      <c r="G1148" s="5"/>
      <c r="H1148" s="16"/>
      <c r="I1148" s="69"/>
      <c r="J1148" s="70"/>
      <c r="K1148" s="71"/>
      <c r="L1148" s="71"/>
      <c r="M1148" s="5"/>
    </row>
    <row r="1149" spans="1:13" s="3" customFormat="1">
      <c r="A1149" s="1"/>
      <c r="B1149" s="8"/>
      <c r="C1149" s="5"/>
      <c r="D1149" s="12"/>
      <c r="E1149" s="23"/>
      <c r="F1149" s="9"/>
      <c r="G1149" s="5"/>
      <c r="H1149" s="16"/>
      <c r="I1149" s="69"/>
      <c r="J1149" s="70"/>
      <c r="K1149" s="71"/>
      <c r="L1149" s="71"/>
      <c r="M1149" s="5"/>
    </row>
    <row r="1150" spans="1:13" s="3" customFormat="1">
      <c r="A1150" s="1"/>
      <c r="B1150" s="8"/>
      <c r="C1150" s="5"/>
      <c r="D1150" s="12"/>
      <c r="E1150" s="23"/>
      <c r="F1150" s="9"/>
      <c r="G1150" s="5"/>
      <c r="H1150" s="16"/>
      <c r="I1150" s="69"/>
      <c r="J1150" s="70"/>
      <c r="K1150" s="71"/>
      <c r="L1150" s="71"/>
      <c r="M1150" s="5"/>
    </row>
    <row r="1151" spans="1:13" s="3" customFormat="1">
      <c r="A1151" s="1"/>
      <c r="B1151" s="8"/>
      <c r="C1151" s="5"/>
      <c r="D1151" s="12"/>
      <c r="E1151" s="23"/>
      <c r="F1151" s="9"/>
      <c r="G1151" s="5"/>
      <c r="H1151" s="16"/>
      <c r="I1151" s="69"/>
      <c r="J1151" s="70"/>
      <c r="K1151" s="71"/>
      <c r="L1151" s="71"/>
      <c r="M1151" s="5"/>
    </row>
    <row r="1152" spans="1:13" s="3" customFormat="1">
      <c r="A1152" s="1"/>
      <c r="B1152" s="8"/>
      <c r="C1152" s="5"/>
      <c r="D1152" s="12"/>
      <c r="E1152" s="23"/>
      <c r="F1152" s="9"/>
      <c r="G1152" s="5"/>
      <c r="H1152" s="16"/>
      <c r="I1152" s="69"/>
      <c r="J1152" s="70"/>
      <c r="K1152" s="71"/>
      <c r="L1152" s="71"/>
      <c r="M1152" s="5"/>
    </row>
    <row r="1153" spans="1:13" s="3" customFormat="1">
      <c r="A1153" s="1"/>
      <c r="B1153" s="8"/>
      <c r="C1153" s="5"/>
      <c r="D1153" s="12"/>
      <c r="E1153" s="23"/>
      <c r="F1153" s="9"/>
      <c r="G1153" s="5"/>
      <c r="H1153" s="16"/>
      <c r="I1153" s="69"/>
      <c r="J1153" s="70"/>
      <c r="K1153" s="71"/>
      <c r="L1153" s="71"/>
      <c r="M1153" s="5"/>
    </row>
    <row r="1154" spans="1:13" s="3" customFormat="1">
      <c r="A1154" s="1"/>
      <c r="B1154" s="8"/>
      <c r="C1154" s="5"/>
      <c r="D1154" s="12"/>
      <c r="E1154" s="23"/>
      <c r="F1154" s="9"/>
      <c r="G1154" s="5"/>
      <c r="H1154" s="16"/>
      <c r="I1154" s="69"/>
      <c r="J1154" s="70"/>
      <c r="K1154" s="71"/>
      <c r="L1154" s="71"/>
      <c r="M1154" s="5"/>
    </row>
    <row r="1155" spans="1:13" s="3" customFormat="1">
      <c r="A1155" s="1"/>
      <c r="B1155" s="8"/>
      <c r="C1155" s="5"/>
      <c r="D1155" s="12"/>
      <c r="E1155" s="23"/>
      <c r="F1155" s="9"/>
      <c r="G1155" s="5"/>
      <c r="H1155" s="16"/>
      <c r="I1155" s="69"/>
      <c r="J1155" s="70"/>
      <c r="K1155" s="71"/>
      <c r="L1155" s="71"/>
      <c r="M1155" s="5"/>
    </row>
    <row r="1156" spans="1:13" s="3" customFormat="1">
      <c r="A1156" s="1"/>
      <c r="B1156" s="8"/>
      <c r="C1156" s="5"/>
      <c r="D1156" s="12"/>
      <c r="E1156" s="23"/>
      <c r="F1156" s="9"/>
      <c r="G1156" s="5"/>
      <c r="H1156" s="16"/>
      <c r="I1156" s="69"/>
      <c r="J1156" s="70"/>
      <c r="K1156" s="71"/>
      <c r="L1156" s="71"/>
      <c r="M1156" s="5"/>
    </row>
    <row r="1157" spans="1:13" s="3" customFormat="1">
      <c r="A1157" s="1"/>
      <c r="B1157" s="8"/>
      <c r="C1157" s="5"/>
      <c r="D1157" s="12"/>
      <c r="E1157" s="23"/>
      <c r="F1157" s="9"/>
      <c r="G1157" s="5"/>
      <c r="H1157" s="16"/>
      <c r="I1157" s="69"/>
      <c r="J1157" s="70"/>
      <c r="K1157" s="71"/>
      <c r="L1157" s="71"/>
      <c r="M1157" s="5"/>
    </row>
    <row r="1158" spans="1:13" s="3" customFormat="1">
      <c r="A1158" s="1"/>
      <c r="B1158" s="8"/>
      <c r="C1158" s="5"/>
      <c r="D1158" s="12"/>
      <c r="E1158" s="23"/>
      <c r="F1158" s="9"/>
      <c r="G1158" s="5"/>
      <c r="H1158" s="16"/>
      <c r="I1158" s="69"/>
      <c r="J1158" s="70"/>
      <c r="K1158" s="71"/>
      <c r="L1158" s="71"/>
      <c r="M1158" s="5"/>
    </row>
    <row r="1159" spans="1:13" s="3" customFormat="1">
      <c r="A1159" s="1"/>
      <c r="B1159" s="8"/>
      <c r="C1159" s="5"/>
      <c r="D1159" s="12"/>
      <c r="E1159" s="23"/>
      <c r="F1159" s="9"/>
      <c r="G1159" s="5"/>
      <c r="H1159" s="16"/>
      <c r="I1159" s="69"/>
      <c r="J1159" s="70"/>
      <c r="K1159" s="71"/>
      <c r="L1159" s="71"/>
      <c r="M1159" s="5"/>
    </row>
    <row r="1160" spans="1:13" s="3" customFormat="1">
      <c r="A1160" s="1"/>
      <c r="B1160" s="8"/>
      <c r="C1160" s="5"/>
      <c r="D1160" s="12"/>
      <c r="E1160" s="23"/>
      <c r="F1160" s="9"/>
      <c r="G1160" s="5"/>
      <c r="H1160" s="16"/>
      <c r="I1160" s="69"/>
      <c r="J1160" s="70"/>
      <c r="K1160" s="71"/>
      <c r="L1160" s="71"/>
      <c r="M1160" s="5"/>
    </row>
    <row r="1161" spans="1:13" s="3" customFormat="1">
      <c r="A1161" s="1"/>
      <c r="B1161" s="8"/>
      <c r="C1161" s="5"/>
      <c r="D1161" s="12"/>
      <c r="E1161" s="23"/>
      <c r="F1161" s="9"/>
      <c r="G1161" s="5"/>
      <c r="H1161" s="16"/>
      <c r="I1161" s="69"/>
      <c r="J1161" s="70"/>
      <c r="K1161" s="71"/>
      <c r="L1161" s="71"/>
      <c r="M1161" s="5"/>
    </row>
    <row r="1162" spans="1:13" s="3" customFormat="1">
      <c r="A1162" s="1"/>
      <c r="B1162" s="8"/>
      <c r="C1162" s="5"/>
      <c r="D1162" s="12"/>
      <c r="E1162" s="23"/>
      <c r="F1162" s="9"/>
      <c r="G1162" s="5"/>
      <c r="H1162" s="16"/>
      <c r="I1162" s="69"/>
      <c r="J1162" s="70"/>
      <c r="K1162" s="71"/>
      <c r="L1162" s="71"/>
      <c r="M1162" s="5"/>
    </row>
    <row r="1163" spans="1:13" s="3" customFormat="1">
      <c r="A1163" s="1"/>
      <c r="B1163" s="8"/>
      <c r="C1163" s="5"/>
      <c r="D1163" s="12"/>
      <c r="E1163" s="23"/>
      <c r="F1163" s="9"/>
      <c r="G1163" s="5"/>
      <c r="H1163" s="16"/>
      <c r="I1163" s="69"/>
      <c r="J1163" s="70"/>
      <c r="K1163" s="71"/>
      <c r="L1163" s="71"/>
      <c r="M1163" s="5"/>
    </row>
    <row r="1164" spans="1:13" s="3" customFormat="1">
      <c r="A1164" s="1"/>
      <c r="B1164" s="8"/>
      <c r="C1164" s="5"/>
      <c r="D1164" s="12"/>
      <c r="E1164" s="23"/>
      <c r="F1164" s="9"/>
      <c r="G1164" s="5"/>
      <c r="H1164" s="16"/>
      <c r="I1164" s="69"/>
      <c r="J1164" s="70"/>
      <c r="K1164" s="71"/>
      <c r="L1164" s="71"/>
      <c r="M1164" s="5"/>
    </row>
    <row r="1165" spans="1:13" s="3" customFormat="1">
      <c r="A1165" s="1"/>
      <c r="B1165" s="8"/>
      <c r="C1165" s="5"/>
      <c r="D1165" s="12"/>
      <c r="E1165" s="23"/>
      <c r="F1165" s="9"/>
      <c r="G1165" s="5"/>
      <c r="H1165" s="16"/>
      <c r="I1165" s="69"/>
      <c r="J1165" s="70"/>
      <c r="K1165" s="71"/>
      <c r="L1165" s="71"/>
      <c r="M1165" s="5"/>
    </row>
    <row r="1166" spans="1:13" s="3" customFormat="1">
      <c r="A1166" s="1"/>
      <c r="B1166" s="8"/>
      <c r="C1166" s="5"/>
      <c r="D1166" s="12"/>
      <c r="E1166" s="23"/>
      <c r="F1166" s="9"/>
      <c r="G1166" s="5"/>
      <c r="H1166" s="16"/>
      <c r="I1166" s="69"/>
      <c r="J1166" s="70"/>
      <c r="K1166" s="71"/>
      <c r="L1166" s="71"/>
      <c r="M1166" s="5"/>
    </row>
    <row r="1167" spans="1:13" s="3" customFormat="1">
      <c r="A1167" s="1"/>
      <c r="B1167" s="8"/>
      <c r="C1167" s="5"/>
      <c r="D1167" s="12"/>
      <c r="E1167" s="23"/>
      <c r="F1167" s="9"/>
      <c r="G1167" s="5"/>
      <c r="H1167" s="16"/>
      <c r="I1167" s="69"/>
      <c r="J1167" s="70"/>
      <c r="K1167" s="71"/>
      <c r="L1167" s="71"/>
      <c r="M1167" s="5"/>
    </row>
    <row r="1168" spans="1:13" s="3" customFormat="1">
      <c r="A1168" s="1"/>
      <c r="B1168" s="8"/>
      <c r="C1168" s="5"/>
      <c r="D1168" s="12"/>
      <c r="E1168" s="23"/>
      <c r="F1168" s="9"/>
      <c r="G1168" s="5"/>
      <c r="H1168" s="16"/>
      <c r="I1168" s="69"/>
      <c r="J1168" s="70"/>
      <c r="K1168" s="71"/>
      <c r="L1168" s="71"/>
      <c r="M1168" s="5"/>
    </row>
    <row r="1169" spans="1:13" s="3" customFormat="1">
      <c r="A1169" s="1"/>
      <c r="B1169" s="8"/>
      <c r="C1169" s="5"/>
      <c r="D1169" s="12"/>
      <c r="E1169" s="23"/>
      <c r="F1169" s="9"/>
      <c r="G1169" s="5"/>
      <c r="H1169" s="16"/>
      <c r="I1169" s="69"/>
      <c r="J1169" s="70"/>
      <c r="K1169" s="71"/>
      <c r="L1169" s="71"/>
      <c r="M1169" s="5"/>
    </row>
    <row r="1170" spans="1:13" s="3" customFormat="1">
      <c r="A1170" s="1"/>
      <c r="B1170" s="8"/>
      <c r="C1170" s="5"/>
      <c r="D1170" s="12"/>
      <c r="E1170" s="23"/>
      <c r="F1170" s="9"/>
      <c r="G1170" s="5"/>
      <c r="H1170" s="16"/>
      <c r="I1170" s="69"/>
      <c r="J1170" s="70"/>
      <c r="K1170" s="71"/>
      <c r="L1170" s="71"/>
      <c r="M1170" s="5"/>
    </row>
    <row r="1171" spans="1:13" s="3" customFormat="1">
      <c r="A1171" s="1"/>
      <c r="B1171" s="8"/>
      <c r="C1171" s="5"/>
      <c r="D1171" s="12"/>
      <c r="E1171" s="23"/>
      <c r="F1171" s="9"/>
      <c r="G1171" s="5"/>
      <c r="H1171" s="16"/>
      <c r="I1171" s="69"/>
      <c r="J1171" s="70"/>
      <c r="K1171" s="71"/>
      <c r="L1171" s="71"/>
      <c r="M1171" s="5"/>
    </row>
    <row r="1172" spans="1:13" s="3" customFormat="1">
      <c r="A1172" s="1"/>
      <c r="B1172" s="8"/>
      <c r="C1172" s="5"/>
      <c r="D1172" s="12"/>
      <c r="E1172" s="23"/>
      <c r="F1172" s="9"/>
      <c r="G1172" s="5"/>
      <c r="H1172" s="16"/>
      <c r="I1172" s="69"/>
      <c r="J1172" s="70"/>
      <c r="K1172" s="71"/>
      <c r="L1172" s="71"/>
      <c r="M1172" s="5"/>
    </row>
    <row r="1173" spans="1:13" s="3" customFormat="1">
      <c r="A1173" s="1"/>
      <c r="B1173" s="8"/>
      <c r="C1173" s="5"/>
      <c r="D1173" s="12"/>
      <c r="E1173" s="23"/>
      <c r="F1173" s="9"/>
      <c r="G1173" s="5"/>
      <c r="H1173" s="16"/>
      <c r="I1173" s="69"/>
      <c r="J1173" s="70"/>
      <c r="K1173" s="71"/>
      <c r="L1173" s="71"/>
      <c r="M1173" s="5"/>
    </row>
    <row r="1174" spans="1:13" s="3" customFormat="1">
      <c r="A1174" s="1"/>
      <c r="B1174" s="8"/>
      <c r="C1174" s="5"/>
      <c r="D1174" s="12"/>
      <c r="E1174" s="23"/>
      <c r="F1174" s="9"/>
      <c r="G1174" s="5"/>
      <c r="H1174" s="16"/>
      <c r="I1174" s="69"/>
      <c r="J1174" s="70"/>
      <c r="K1174" s="71"/>
      <c r="L1174" s="71"/>
      <c r="M1174" s="5"/>
    </row>
    <row r="1175" spans="1:13" s="3" customFormat="1">
      <c r="A1175" s="1"/>
      <c r="B1175" s="8"/>
      <c r="C1175" s="5"/>
      <c r="D1175" s="12"/>
      <c r="E1175" s="23"/>
      <c r="F1175" s="9"/>
      <c r="G1175" s="5"/>
      <c r="H1175" s="16"/>
      <c r="I1175" s="69"/>
      <c r="J1175" s="70"/>
      <c r="K1175" s="71"/>
      <c r="L1175" s="71"/>
      <c r="M1175" s="5"/>
    </row>
    <row r="1176" spans="1:13" s="3" customFormat="1">
      <c r="A1176" s="1"/>
      <c r="B1176" s="8"/>
      <c r="C1176" s="5"/>
      <c r="D1176" s="12"/>
      <c r="E1176" s="23"/>
      <c r="F1176" s="9"/>
      <c r="G1176" s="5"/>
      <c r="H1176" s="16"/>
      <c r="I1176" s="69"/>
      <c r="J1176" s="70"/>
      <c r="K1176" s="71"/>
      <c r="L1176" s="71"/>
      <c r="M1176" s="5"/>
    </row>
    <row r="1177" spans="1:13" s="3" customFormat="1">
      <c r="A1177" s="1"/>
      <c r="B1177" s="8"/>
      <c r="C1177" s="5"/>
      <c r="D1177" s="12"/>
      <c r="E1177" s="23"/>
      <c r="F1177" s="9"/>
      <c r="G1177" s="5"/>
      <c r="H1177" s="16"/>
      <c r="I1177" s="69"/>
      <c r="J1177" s="70"/>
      <c r="K1177" s="71"/>
      <c r="L1177" s="71"/>
      <c r="M1177" s="5"/>
    </row>
    <row r="1178" spans="1:13" s="3" customFormat="1">
      <c r="A1178" s="1"/>
      <c r="B1178" s="8"/>
      <c r="C1178" s="5"/>
      <c r="D1178" s="12"/>
      <c r="E1178" s="23"/>
      <c r="F1178" s="9"/>
      <c r="G1178" s="5"/>
      <c r="H1178" s="16"/>
      <c r="I1178" s="69"/>
      <c r="J1178" s="70"/>
      <c r="K1178" s="71"/>
      <c r="L1178" s="71"/>
      <c r="M1178" s="5"/>
    </row>
    <row r="1179" spans="1:13" s="3" customFormat="1">
      <c r="A1179" s="1"/>
      <c r="B1179" s="8"/>
      <c r="C1179" s="5"/>
      <c r="D1179" s="12"/>
      <c r="E1179" s="23"/>
      <c r="F1179" s="9"/>
      <c r="G1179" s="5"/>
      <c r="H1179" s="16"/>
      <c r="I1179" s="69"/>
      <c r="J1179" s="70"/>
      <c r="K1179" s="71"/>
      <c r="L1179" s="71"/>
      <c r="M1179" s="5"/>
    </row>
    <row r="1180" spans="1:13" s="3" customFormat="1">
      <c r="A1180" s="1"/>
      <c r="B1180" s="8"/>
      <c r="C1180" s="5"/>
      <c r="D1180" s="12"/>
      <c r="E1180" s="23"/>
      <c r="F1180" s="9"/>
      <c r="G1180" s="5"/>
      <c r="H1180" s="16"/>
      <c r="I1180" s="69"/>
      <c r="J1180" s="70"/>
      <c r="K1180" s="71"/>
      <c r="L1180" s="71"/>
      <c r="M1180" s="5"/>
    </row>
    <row r="1181" spans="1:13" s="3" customFormat="1">
      <c r="A1181" s="1"/>
      <c r="B1181" s="8"/>
      <c r="C1181" s="5"/>
      <c r="D1181" s="12"/>
      <c r="E1181" s="23"/>
      <c r="F1181" s="9"/>
      <c r="G1181" s="5"/>
      <c r="H1181" s="16"/>
      <c r="I1181" s="69"/>
      <c r="J1181" s="70"/>
      <c r="K1181" s="71"/>
      <c r="L1181" s="71"/>
      <c r="M1181" s="5"/>
    </row>
    <row r="1182" spans="1:13" s="3" customFormat="1">
      <c r="A1182" s="1"/>
      <c r="B1182" s="8"/>
      <c r="C1182" s="5"/>
      <c r="D1182" s="12"/>
      <c r="E1182" s="23"/>
      <c r="F1182" s="9"/>
      <c r="G1182" s="5"/>
      <c r="H1182" s="16"/>
      <c r="I1182" s="69"/>
      <c r="J1182" s="70"/>
      <c r="K1182" s="71"/>
      <c r="L1182" s="71"/>
      <c r="M1182" s="5"/>
    </row>
    <row r="1183" spans="1:13" s="3" customFormat="1">
      <c r="A1183" s="1"/>
      <c r="B1183" s="8"/>
      <c r="C1183" s="5"/>
      <c r="D1183" s="12"/>
      <c r="E1183" s="23"/>
      <c r="F1183" s="9"/>
      <c r="G1183" s="5"/>
      <c r="H1183" s="16"/>
      <c r="I1183" s="69"/>
      <c r="J1183" s="70"/>
      <c r="K1183" s="71"/>
      <c r="L1183" s="71"/>
      <c r="M1183" s="5"/>
    </row>
    <row r="1184" spans="1:13" s="3" customFormat="1">
      <c r="A1184" s="1"/>
      <c r="B1184" s="8"/>
      <c r="C1184" s="5"/>
      <c r="D1184" s="12"/>
      <c r="E1184" s="23"/>
      <c r="F1184" s="9"/>
      <c r="G1184" s="5"/>
      <c r="H1184" s="16"/>
      <c r="I1184" s="69"/>
      <c r="J1184" s="70"/>
      <c r="K1184" s="71"/>
      <c r="L1184" s="71"/>
      <c r="M1184" s="5"/>
    </row>
    <row r="1185" spans="1:13" s="3" customFormat="1">
      <c r="A1185" s="1"/>
      <c r="B1185" s="8"/>
      <c r="C1185" s="5"/>
      <c r="D1185" s="12"/>
      <c r="E1185" s="23"/>
      <c r="F1185" s="9"/>
      <c r="G1185" s="5"/>
      <c r="H1185" s="16"/>
      <c r="I1185" s="69"/>
      <c r="J1185" s="70"/>
      <c r="K1185" s="71"/>
      <c r="L1185" s="71"/>
      <c r="M1185" s="5"/>
    </row>
    <row r="1186" spans="1:13" s="3" customFormat="1">
      <c r="A1186" s="1"/>
      <c r="B1186" s="8"/>
      <c r="C1186" s="5"/>
      <c r="D1186" s="12"/>
      <c r="E1186" s="23"/>
      <c r="F1186" s="9"/>
      <c r="G1186" s="5"/>
      <c r="H1186" s="16"/>
      <c r="I1186" s="69"/>
      <c r="J1186" s="70"/>
      <c r="K1186" s="71"/>
      <c r="L1186" s="71"/>
      <c r="M1186" s="5"/>
    </row>
    <row r="1187" spans="1:13" s="3" customFormat="1">
      <c r="A1187" s="1"/>
      <c r="B1187" s="8"/>
      <c r="C1187" s="5"/>
      <c r="D1187" s="12"/>
      <c r="E1187" s="23"/>
      <c r="F1187" s="9"/>
      <c r="G1187" s="5"/>
      <c r="H1187" s="16"/>
      <c r="I1187" s="69"/>
      <c r="J1187" s="70"/>
      <c r="K1187" s="71"/>
      <c r="L1187" s="71"/>
      <c r="M1187" s="5"/>
    </row>
    <row r="1188" spans="1:13" s="3" customFormat="1">
      <c r="A1188" s="1"/>
      <c r="B1188" s="8"/>
      <c r="C1188" s="5"/>
      <c r="D1188" s="12"/>
      <c r="E1188" s="23"/>
      <c r="F1188" s="9"/>
      <c r="G1188" s="5"/>
      <c r="H1188" s="16"/>
      <c r="I1188" s="69"/>
      <c r="J1188" s="70"/>
      <c r="K1188" s="71"/>
      <c r="L1188" s="71"/>
      <c r="M1188" s="5"/>
    </row>
    <row r="1189" spans="1:13" s="3" customFormat="1">
      <c r="A1189" s="1"/>
      <c r="B1189" s="8"/>
      <c r="C1189" s="5"/>
      <c r="D1189" s="12"/>
      <c r="E1189" s="23"/>
      <c r="F1189" s="9"/>
      <c r="G1189" s="5"/>
      <c r="H1189" s="16"/>
      <c r="I1189" s="69"/>
      <c r="J1189" s="70"/>
      <c r="K1189" s="71"/>
      <c r="L1189" s="71"/>
      <c r="M1189" s="5"/>
    </row>
    <row r="1190" spans="1:13" s="3" customFormat="1">
      <c r="A1190" s="1"/>
      <c r="B1190" s="8"/>
      <c r="C1190" s="5"/>
      <c r="D1190" s="12"/>
      <c r="E1190" s="23"/>
      <c r="F1190" s="9"/>
      <c r="G1190" s="5"/>
      <c r="H1190" s="16"/>
      <c r="I1190" s="69"/>
      <c r="J1190" s="70"/>
      <c r="K1190" s="71"/>
      <c r="L1190" s="71"/>
      <c r="M1190" s="5"/>
    </row>
    <row r="1191" spans="1:13" s="3" customFormat="1">
      <c r="A1191" s="1"/>
      <c r="B1191" s="8"/>
      <c r="C1191" s="5"/>
      <c r="D1191" s="12"/>
      <c r="E1191" s="23"/>
      <c r="F1191" s="9"/>
      <c r="G1191" s="5"/>
      <c r="H1191" s="16"/>
      <c r="I1191" s="69"/>
      <c r="J1191" s="70"/>
      <c r="K1191" s="71"/>
      <c r="L1191" s="71"/>
      <c r="M1191" s="5"/>
    </row>
    <row r="1192" spans="1:13" s="3" customFormat="1">
      <c r="A1192" s="1"/>
      <c r="B1192" s="8"/>
      <c r="C1192" s="5"/>
      <c r="D1192" s="12"/>
      <c r="E1192" s="23"/>
      <c r="F1192" s="9"/>
      <c r="G1192" s="5"/>
      <c r="H1192" s="16"/>
      <c r="I1192" s="69"/>
      <c r="J1192" s="70"/>
      <c r="K1192" s="71"/>
      <c r="L1192" s="71"/>
      <c r="M1192" s="5"/>
    </row>
    <row r="1193" spans="1:13" s="3" customFormat="1">
      <c r="A1193" s="1"/>
      <c r="B1193" s="8"/>
      <c r="C1193" s="5"/>
      <c r="D1193" s="12"/>
      <c r="E1193" s="23"/>
      <c r="F1193" s="9"/>
      <c r="G1193" s="5"/>
      <c r="H1193" s="16"/>
      <c r="I1193" s="69"/>
      <c r="J1193" s="70"/>
      <c r="K1193" s="71"/>
      <c r="L1193" s="71"/>
      <c r="M1193" s="5"/>
    </row>
    <row r="1194" spans="1:13" s="3" customFormat="1">
      <c r="A1194" s="1"/>
      <c r="B1194" s="8"/>
      <c r="C1194" s="5"/>
      <c r="D1194" s="12"/>
      <c r="E1194" s="23"/>
      <c r="F1194" s="9"/>
      <c r="G1194" s="5"/>
      <c r="H1194" s="16"/>
      <c r="I1194" s="69"/>
      <c r="J1194" s="70"/>
      <c r="K1194" s="71"/>
      <c r="L1194" s="71"/>
      <c r="M1194" s="5"/>
    </row>
    <row r="1195" spans="1:13" s="3" customFormat="1">
      <c r="A1195" s="1"/>
      <c r="B1195" s="8"/>
      <c r="C1195" s="5"/>
      <c r="D1195" s="12"/>
      <c r="E1195" s="23"/>
      <c r="F1195" s="9"/>
      <c r="G1195" s="5"/>
      <c r="H1195" s="16"/>
      <c r="I1195" s="69"/>
      <c r="J1195" s="70"/>
      <c r="K1195" s="71"/>
      <c r="L1195" s="71"/>
      <c r="M1195" s="5"/>
    </row>
    <row r="1196" spans="1:13" s="3" customFormat="1">
      <c r="A1196" s="1"/>
      <c r="B1196" s="8"/>
      <c r="C1196" s="5"/>
      <c r="D1196" s="12"/>
      <c r="E1196" s="23"/>
      <c r="F1196" s="9"/>
      <c r="G1196" s="5"/>
      <c r="H1196" s="16"/>
      <c r="I1196" s="69"/>
      <c r="J1196" s="70"/>
      <c r="K1196" s="71"/>
      <c r="L1196" s="71"/>
      <c r="M1196" s="5"/>
    </row>
    <row r="1197" spans="1:13" s="3" customFormat="1">
      <c r="A1197" s="1"/>
      <c r="B1197" s="8"/>
      <c r="C1197" s="5"/>
      <c r="D1197" s="12"/>
      <c r="E1197" s="23"/>
      <c r="F1197" s="9"/>
      <c r="G1197" s="5"/>
      <c r="H1197" s="16"/>
      <c r="I1197" s="69"/>
      <c r="J1197" s="70"/>
      <c r="K1197" s="71"/>
      <c r="L1197" s="71"/>
      <c r="M1197" s="5"/>
    </row>
    <row r="1198" spans="1:13" s="3" customFormat="1">
      <c r="A1198" s="1"/>
      <c r="B1198" s="8"/>
      <c r="C1198" s="5"/>
      <c r="D1198" s="12"/>
      <c r="E1198" s="23"/>
      <c r="F1198" s="9"/>
      <c r="G1198" s="5"/>
      <c r="H1198" s="16"/>
      <c r="I1198" s="69"/>
      <c r="J1198" s="70"/>
      <c r="K1198" s="71"/>
      <c r="L1198" s="71"/>
      <c r="M1198" s="5"/>
    </row>
    <row r="1199" spans="1:13" s="3" customFormat="1">
      <c r="A1199" s="1"/>
      <c r="B1199" s="8"/>
      <c r="C1199" s="5"/>
      <c r="D1199" s="12"/>
      <c r="E1199" s="23"/>
      <c r="F1199" s="9"/>
      <c r="G1199" s="5"/>
      <c r="H1199" s="16"/>
      <c r="I1199" s="69"/>
      <c r="J1199" s="70"/>
      <c r="K1199" s="71"/>
      <c r="L1199" s="71"/>
      <c r="M1199" s="5"/>
    </row>
    <row r="1200" spans="1:13" s="3" customFormat="1">
      <c r="A1200" s="1"/>
      <c r="B1200" s="8"/>
      <c r="C1200" s="5"/>
      <c r="D1200" s="12"/>
      <c r="E1200" s="23"/>
      <c r="F1200" s="9"/>
      <c r="G1200" s="5"/>
      <c r="H1200" s="16"/>
      <c r="I1200" s="69"/>
      <c r="J1200" s="70"/>
      <c r="K1200" s="71"/>
      <c r="L1200" s="71"/>
      <c r="M1200" s="5"/>
    </row>
    <row r="1201" spans="1:13" s="3" customFormat="1">
      <c r="A1201" s="1"/>
      <c r="B1201" s="8"/>
      <c r="C1201" s="5"/>
      <c r="D1201" s="12"/>
      <c r="E1201" s="23"/>
      <c r="F1201" s="9"/>
      <c r="G1201" s="5"/>
      <c r="H1201" s="16"/>
      <c r="I1201" s="69"/>
      <c r="J1201" s="70"/>
      <c r="K1201" s="71"/>
      <c r="L1201" s="71"/>
      <c r="M1201" s="5"/>
    </row>
    <row r="1202" spans="1:13" s="3" customFormat="1">
      <c r="A1202" s="1"/>
      <c r="B1202" s="8"/>
      <c r="C1202" s="5"/>
      <c r="D1202" s="12"/>
      <c r="E1202" s="23"/>
      <c r="F1202" s="9"/>
      <c r="G1202" s="5"/>
      <c r="H1202" s="16"/>
      <c r="I1202" s="69"/>
      <c r="J1202" s="70"/>
      <c r="K1202" s="71"/>
      <c r="L1202" s="71"/>
      <c r="M1202" s="5"/>
    </row>
    <row r="1203" spans="1:13" s="3" customFormat="1">
      <c r="A1203" s="1"/>
      <c r="B1203" s="8"/>
      <c r="C1203" s="5"/>
      <c r="D1203" s="12"/>
      <c r="E1203" s="23"/>
      <c r="F1203" s="9"/>
      <c r="G1203" s="5"/>
      <c r="H1203" s="16"/>
      <c r="I1203" s="69"/>
      <c r="J1203" s="70"/>
      <c r="K1203" s="71"/>
      <c r="L1203" s="71"/>
      <c r="M1203" s="5"/>
    </row>
    <row r="1204" spans="1:13" s="3" customFormat="1">
      <c r="A1204" s="1"/>
      <c r="B1204" s="8"/>
      <c r="C1204" s="5"/>
      <c r="D1204" s="12"/>
      <c r="E1204" s="23"/>
      <c r="F1204" s="9"/>
      <c r="G1204" s="5"/>
      <c r="H1204" s="16"/>
      <c r="I1204" s="69"/>
      <c r="J1204" s="70"/>
      <c r="K1204" s="71"/>
      <c r="L1204" s="71"/>
      <c r="M1204" s="5"/>
    </row>
    <row r="1205" spans="1:13" s="3" customFormat="1">
      <c r="A1205" s="1"/>
      <c r="B1205" s="8"/>
      <c r="C1205" s="5"/>
      <c r="D1205" s="12"/>
      <c r="E1205" s="23"/>
      <c r="F1205" s="9"/>
      <c r="G1205" s="5"/>
      <c r="H1205" s="16"/>
      <c r="I1205" s="69"/>
      <c r="J1205" s="70"/>
      <c r="K1205" s="71"/>
      <c r="L1205" s="71"/>
      <c r="M1205" s="5"/>
    </row>
    <row r="1206" spans="1:13" s="3" customFormat="1">
      <c r="A1206" s="1"/>
      <c r="B1206" s="8"/>
      <c r="C1206" s="5"/>
      <c r="D1206" s="12"/>
      <c r="E1206" s="23"/>
      <c r="F1206" s="9"/>
      <c r="G1206" s="5"/>
      <c r="H1206" s="16"/>
      <c r="I1206" s="69"/>
      <c r="J1206" s="70"/>
      <c r="K1206" s="71"/>
      <c r="L1206" s="71"/>
      <c r="M1206" s="5"/>
    </row>
    <row r="1207" spans="1:13" s="3" customFormat="1">
      <c r="A1207" s="1"/>
      <c r="B1207" s="8"/>
      <c r="C1207" s="5"/>
      <c r="D1207" s="12"/>
      <c r="E1207" s="23"/>
      <c r="F1207" s="9"/>
      <c r="G1207" s="5"/>
      <c r="H1207" s="16"/>
      <c r="I1207" s="69"/>
      <c r="J1207" s="70"/>
      <c r="K1207" s="71"/>
      <c r="L1207" s="71"/>
      <c r="M1207" s="5"/>
    </row>
    <row r="1208" spans="1:13" s="3" customFormat="1">
      <c r="A1208" s="1"/>
      <c r="B1208" s="8"/>
      <c r="C1208" s="5"/>
      <c r="D1208" s="12"/>
      <c r="E1208" s="23"/>
      <c r="F1208" s="9"/>
      <c r="G1208" s="5"/>
      <c r="H1208" s="16"/>
      <c r="I1208" s="69"/>
      <c r="J1208" s="70"/>
      <c r="K1208" s="71"/>
      <c r="L1208" s="71"/>
      <c r="M1208" s="5"/>
    </row>
    <row r="1209" spans="1:13" s="3" customFormat="1">
      <c r="A1209" s="1"/>
      <c r="B1209" s="8"/>
      <c r="C1209" s="5"/>
      <c r="D1209" s="12"/>
      <c r="E1209" s="23"/>
      <c r="F1209" s="9"/>
      <c r="G1209" s="5"/>
      <c r="H1209" s="16"/>
      <c r="I1209" s="69"/>
      <c r="J1209" s="70"/>
      <c r="K1209" s="71"/>
      <c r="L1209" s="71"/>
      <c r="M1209" s="5"/>
    </row>
    <row r="1210" spans="1:13" s="3" customFormat="1">
      <c r="A1210" s="1"/>
      <c r="B1210" s="8"/>
      <c r="C1210" s="5"/>
      <c r="D1210" s="12"/>
      <c r="E1210" s="23"/>
      <c r="F1210" s="9"/>
      <c r="G1210" s="5"/>
      <c r="H1210" s="16"/>
      <c r="I1210" s="69"/>
      <c r="J1210" s="70"/>
      <c r="K1210" s="71"/>
      <c r="L1210" s="71"/>
      <c r="M1210" s="5"/>
    </row>
    <row r="1211" spans="1:13" s="3" customFormat="1">
      <c r="A1211" s="1"/>
      <c r="B1211" s="8"/>
      <c r="C1211" s="5"/>
      <c r="D1211" s="12"/>
      <c r="E1211" s="23"/>
      <c r="F1211" s="9"/>
      <c r="G1211" s="5"/>
      <c r="H1211" s="16"/>
      <c r="I1211" s="69"/>
      <c r="J1211" s="70"/>
      <c r="K1211" s="71"/>
      <c r="L1211" s="71"/>
      <c r="M1211" s="5"/>
    </row>
    <row r="1212" spans="1:13" s="3" customFormat="1">
      <c r="A1212" s="1"/>
      <c r="B1212" s="8"/>
      <c r="C1212" s="5"/>
      <c r="D1212" s="12"/>
      <c r="E1212" s="23"/>
      <c r="F1212" s="9"/>
      <c r="G1212" s="5"/>
      <c r="H1212" s="16"/>
      <c r="I1212" s="69"/>
      <c r="J1212" s="70"/>
      <c r="K1212" s="71"/>
      <c r="L1212" s="71"/>
      <c r="M1212" s="5"/>
    </row>
    <row r="1213" spans="1:13" s="3" customFormat="1">
      <c r="A1213" s="1"/>
      <c r="B1213" s="8"/>
      <c r="C1213" s="5"/>
      <c r="D1213" s="12"/>
      <c r="E1213" s="23"/>
      <c r="F1213" s="9"/>
      <c r="G1213" s="5"/>
      <c r="H1213" s="16"/>
      <c r="I1213" s="69"/>
      <c r="J1213" s="70"/>
      <c r="K1213" s="71"/>
      <c r="L1213" s="71"/>
      <c r="M1213" s="5"/>
    </row>
    <row r="1214" spans="1:13" s="3" customFormat="1">
      <c r="A1214" s="1"/>
      <c r="B1214" s="8"/>
      <c r="C1214" s="5"/>
      <c r="D1214" s="12"/>
      <c r="E1214" s="23"/>
      <c r="F1214" s="9"/>
      <c r="G1214" s="5"/>
      <c r="H1214" s="16"/>
      <c r="I1214" s="69"/>
      <c r="J1214" s="70"/>
      <c r="K1214" s="71"/>
      <c r="L1214" s="71"/>
      <c r="M1214" s="5"/>
    </row>
    <row r="1215" spans="1:13" s="3" customFormat="1">
      <c r="A1215" s="1"/>
      <c r="B1215" s="8"/>
      <c r="C1215" s="5"/>
      <c r="D1215" s="12"/>
      <c r="E1215" s="23"/>
      <c r="F1215" s="9"/>
      <c r="G1215" s="5"/>
      <c r="H1215" s="16"/>
      <c r="I1215" s="69"/>
      <c r="J1215" s="70"/>
      <c r="K1215" s="71"/>
      <c r="L1215" s="71"/>
      <c r="M1215" s="5"/>
    </row>
    <row r="1216" spans="1:13" s="3" customFormat="1">
      <c r="A1216" s="1"/>
      <c r="B1216" s="8"/>
      <c r="C1216" s="5"/>
      <c r="D1216" s="12"/>
      <c r="E1216" s="23"/>
      <c r="F1216" s="9"/>
      <c r="G1216" s="5"/>
      <c r="H1216" s="16"/>
      <c r="I1216" s="69"/>
      <c r="J1216" s="70"/>
      <c r="K1216" s="71"/>
      <c r="L1216" s="71"/>
      <c r="M1216" s="5"/>
    </row>
    <row r="1217" spans="1:13" s="3" customFormat="1">
      <c r="A1217" s="1"/>
      <c r="B1217" s="8"/>
      <c r="C1217" s="5"/>
      <c r="D1217" s="12"/>
      <c r="E1217" s="23"/>
      <c r="F1217" s="9"/>
      <c r="G1217" s="5"/>
      <c r="H1217" s="16"/>
      <c r="I1217" s="69"/>
      <c r="J1217" s="70"/>
      <c r="K1217" s="71"/>
      <c r="L1217" s="71"/>
      <c r="M1217" s="5"/>
    </row>
    <row r="1218" spans="1:13" s="3" customFormat="1">
      <c r="A1218" s="1"/>
      <c r="B1218" s="8"/>
      <c r="C1218" s="5"/>
      <c r="D1218" s="12"/>
      <c r="E1218" s="23"/>
      <c r="F1218" s="9"/>
      <c r="G1218" s="5"/>
      <c r="H1218" s="16"/>
      <c r="I1218" s="69"/>
      <c r="J1218" s="70"/>
      <c r="K1218" s="71"/>
      <c r="L1218" s="71"/>
      <c r="M1218" s="5"/>
    </row>
    <row r="1219" spans="1:13" s="3" customFormat="1">
      <c r="A1219" s="1"/>
      <c r="B1219" s="8"/>
      <c r="C1219" s="5"/>
      <c r="D1219" s="12"/>
      <c r="E1219" s="23"/>
      <c r="F1219" s="9"/>
      <c r="G1219" s="5"/>
      <c r="H1219" s="16"/>
      <c r="I1219" s="69"/>
      <c r="J1219" s="70"/>
      <c r="K1219" s="71"/>
      <c r="L1219" s="71"/>
      <c r="M1219" s="5"/>
    </row>
    <row r="1220" spans="1:13" s="3" customFormat="1">
      <c r="A1220" s="1"/>
      <c r="B1220" s="8"/>
      <c r="C1220" s="5"/>
      <c r="D1220" s="12"/>
      <c r="E1220" s="23"/>
      <c r="F1220" s="9"/>
      <c r="G1220" s="5"/>
      <c r="H1220" s="16"/>
      <c r="I1220" s="69"/>
      <c r="J1220" s="70"/>
      <c r="K1220" s="71"/>
      <c r="L1220" s="71"/>
      <c r="M1220" s="5"/>
    </row>
    <row r="1221" spans="1:13" s="3" customFormat="1">
      <c r="A1221" s="1"/>
      <c r="B1221" s="8"/>
      <c r="C1221" s="5"/>
      <c r="D1221" s="12"/>
      <c r="E1221" s="23"/>
      <c r="F1221" s="9"/>
      <c r="G1221" s="5"/>
      <c r="H1221" s="16"/>
      <c r="I1221" s="69"/>
      <c r="J1221" s="70"/>
      <c r="K1221" s="71"/>
      <c r="L1221" s="71"/>
      <c r="M1221" s="5"/>
    </row>
    <row r="1222" spans="1:13" s="3" customFormat="1">
      <c r="A1222" s="1"/>
      <c r="B1222" s="8"/>
      <c r="C1222" s="5"/>
      <c r="D1222" s="12"/>
      <c r="E1222" s="23"/>
      <c r="F1222" s="9"/>
      <c r="G1222" s="5"/>
      <c r="H1222" s="16"/>
      <c r="I1222" s="69"/>
      <c r="J1222" s="70"/>
      <c r="K1222" s="71"/>
      <c r="L1222" s="71"/>
      <c r="M1222" s="5"/>
    </row>
    <row r="1223" spans="1:13" s="3" customFormat="1">
      <c r="A1223" s="1"/>
      <c r="B1223" s="8"/>
      <c r="C1223" s="5"/>
      <c r="D1223" s="12"/>
      <c r="E1223" s="23"/>
      <c r="F1223" s="9"/>
      <c r="G1223" s="5"/>
      <c r="H1223" s="16"/>
      <c r="I1223" s="69"/>
      <c r="J1223" s="70"/>
      <c r="K1223" s="71"/>
      <c r="L1223" s="71"/>
      <c r="M1223" s="5"/>
    </row>
    <row r="1224" spans="1:13" s="3" customFormat="1">
      <c r="A1224" s="1"/>
      <c r="B1224" s="8"/>
      <c r="C1224" s="5"/>
      <c r="D1224" s="12"/>
      <c r="E1224" s="23"/>
      <c r="F1224" s="9"/>
      <c r="G1224" s="5"/>
      <c r="H1224" s="16"/>
      <c r="I1224" s="69"/>
      <c r="J1224" s="70"/>
      <c r="K1224" s="71"/>
      <c r="L1224" s="71"/>
      <c r="M1224" s="5"/>
    </row>
    <row r="1225" spans="1:13" s="3" customFormat="1">
      <c r="A1225" s="1"/>
      <c r="B1225" s="8"/>
      <c r="C1225" s="5"/>
      <c r="D1225" s="12"/>
      <c r="E1225" s="23"/>
      <c r="F1225" s="9"/>
      <c r="G1225" s="5"/>
      <c r="H1225" s="16"/>
      <c r="I1225" s="69"/>
      <c r="J1225" s="70"/>
      <c r="K1225" s="71"/>
      <c r="L1225" s="71"/>
      <c r="M1225" s="5"/>
    </row>
    <row r="1226" spans="1:13" s="3" customFormat="1">
      <c r="A1226" s="1"/>
      <c r="B1226" s="8"/>
      <c r="C1226" s="5"/>
      <c r="D1226" s="12"/>
      <c r="E1226" s="23"/>
      <c r="F1226" s="9"/>
      <c r="G1226" s="5"/>
      <c r="H1226" s="16"/>
      <c r="I1226" s="69"/>
      <c r="J1226" s="70"/>
      <c r="K1226" s="71"/>
      <c r="L1226" s="71"/>
      <c r="M1226" s="5"/>
    </row>
    <row r="1227" spans="1:13" s="3" customFormat="1">
      <c r="A1227" s="1"/>
      <c r="B1227" s="8"/>
      <c r="C1227" s="5"/>
      <c r="D1227" s="12"/>
      <c r="E1227" s="23"/>
      <c r="F1227" s="9"/>
      <c r="G1227" s="5"/>
      <c r="H1227" s="16"/>
      <c r="I1227" s="69"/>
      <c r="J1227" s="70"/>
      <c r="K1227" s="71"/>
      <c r="L1227" s="71"/>
      <c r="M1227" s="5"/>
    </row>
    <row r="1228" spans="1:13" s="3" customFormat="1">
      <c r="A1228" s="1"/>
      <c r="B1228" s="8"/>
      <c r="C1228" s="5"/>
      <c r="D1228" s="12"/>
      <c r="E1228" s="23"/>
      <c r="F1228" s="9"/>
      <c r="G1228" s="5"/>
      <c r="H1228" s="16"/>
      <c r="I1228" s="69"/>
      <c r="J1228" s="70"/>
      <c r="K1228" s="71"/>
      <c r="L1228" s="71"/>
      <c r="M1228" s="5"/>
    </row>
    <row r="1229" spans="1:13" s="3" customFormat="1">
      <c r="A1229" s="1"/>
      <c r="B1229" s="8"/>
      <c r="C1229" s="5"/>
      <c r="D1229" s="12"/>
      <c r="E1229" s="23"/>
      <c r="F1229" s="9"/>
      <c r="G1229" s="5"/>
      <c r="H1229" s="16"/>
      <c r="I1229" s="69"/>
      <c r="J1229" s="70"/>
      <c r="K1229" s="71"/>
      <c r="L1229" s="71"/>
      <c r="M1229" s="5"/>
    </row>
    <row r="1230" spans="1:13" s="3" customFormat="1">
      <c r="A1230" s="1"/>
      <c r="B1230" s="8"/>
      <c r="C1230" s="5"/>
      <c r="D1230" s="12"/>
      <c r="E1230" s="23"/>
      <c r="F1230" s="9"/>
      <c r="G1230" s="5"/>
      <c r="H1230" s="16"/>
      <c r="I1230" s="69"/>
      <c r="J1230" s="70"/>
      <c r="K1230" s="71"/>
      <c r="L1230" s="71"/>
      <c r="M1230" s="5"/>
    </row>
    <row r="1231" spans="1:13" s="3" customFormat="1">
      <c r="A1231" s="1"/>
      <c r="B1231" s="8"/>
      <c r="C1231" s="5"/>
      <c r="D1231" s="12"/>
      <c r="E1231" s="23"/>
      <c r="F1231" s="9"/>
      <c r="G1231" s="5"/>
      <c r="H1231" s="16"/>
      <c r="I1231" s="69"/>
      <c r="J1231" s="70"/>
      <c r="K1231" s="71"/>
      <c r="L1231" s="71"/>
      <c r="M1231" s="5"/>
    </row>
    <row r="1232" spans="1:13" s="3" customFormat="1">
      <c r="A1232" s="1"/>
      <c r="B1232" s="8"/>
      <c r="C1232" s="5"/>
      <c r="D1232" s="12"/>
      <c r="E1232" s="23"/>
      <c r="F1232" s="9"/>
      <c r="G1232" s="5"/>
      <c r="H1232" s="16"/>
      <c r="I1232" s="69"/>
      <c r="J1232" s="70"/>
      <c r="K1232" s="71"/>
      <c r="L1232" s="71"/>
      <c r="M1232" s="5"/>
    </row>
    <row r="1233" spans="1:13" s="3" customFormat="1">
      <c r="A1233" s="1"/>
      <c r="B1233" s="8"/>
      <c r="C1233" s="5"/>
      <c r="D1233" s="12"/>
      <c r="E1233" s="23"/>
      <c r="F1233" s="9"/>
      <c r="G1233" s="5"/>
      <c r="H1233" s="16"/>
      <c r="I1233" s="69"/>
      <c r="J1233" s="70"/>
      <c r="K1233" s="71"/>
      <c r="L1233" s="71"/>
      <c r="M1233" s="5"/>
    </row>
    <row r="1234" spans="1:13" s="3" customFormat="1">
      <c r="A1234" s="1"/>
      <c r="B1234" s="8"/>
      <c r="C1234" s="5"/>
      <c r="D1234" s="12"/>
      <c r="E1234" s="23"/>
      <c r="F1234" s="9"/>
      <c r="G1234" s="5"/>
      <c r="H1234" s="16"/>
      <c r="I1234" s="69"/>
      <c r="J1234" s="70"/>
      <c r="K1234" s="71"/>
      <c r="L1234" s="71"/>
      <c r="M1234" s="5"/>
    </row>
    <row r="1235" spans="1:13" s="3" customFormat="1">
      <c r="A1235" s="1"/>
      <c r="B1235" s="8"/>
      <c r="C1235" s="5"/>
      <c r="D1235" s="12"/>
      <c r="E1235" s="23"/>
      <c r="F1235" s="9"/>
      <c r="G1235" s="5"/>
      <c r="H1235" s="16"/>
      <c r="I1235" s="69"/>
      <c r="J1235" s="70"/>
      <c r="K1235" s="71"/>
      <c r="L1235" s="71"/>
      <c r="M1235" s="5"/>
    </row>
    <row r="1236" spans="1:13" s="3" customFormat="1">
      <c r="A1236" s="1"/>
      <c r="B1236" s="8"/>
      <c r="C1236" s="5"/>
      <c r="D1236" s="12"/>
      <c r="E1236" s="23"/>
      <c r="F1236" s="9"/>
      <c r="G1236" s="5"/>
      <c r="H1236" s="16"/>
      <c r="I1236" s="69"/>
      <c r="J1236" s="70"/>
      <c r="K1236" s="71"/>
      <c r="L1236" s="71"/>
      <c r="M1236" s="5"/>
    </row>
    <row r="1237" spans="1:13" s="3" customFormat="1">
      <c r="A1237" s="1"/>
      <c r="B1237" s="8"/>
      <c r="C1237" s="5"/>
      <c r="D1237" s="12"/>
      <c r="E1237" s="23"/>
      <c r="F1237" s="9"/>
      <c r="G1237" s="5"/>
      <c r="H1237" s="16"/>
      <c r="I1237" s="69"/>
      <c r="J1237" s="70"/>
      <c r="K1237" s="71"/>
      <c r="L1237" s="71"/>
      <c r="M1237" s="5"/>
    </row>
    <row r="1238" spans="1:13" s="3" customFormat="1">
      <c r="A1238" s="1"/>
      <c r="B1238" s="8"/>
      <c r="C1238" s="5"/>
      <c r="D1238" s="12"/>
      <c r="E1238" s="23"/>
      <c r="F1238" s="9"/>
      <c r="G1238" s="5"/>
      <c r="H1238" s="16"/>
      <c r="I1238" s="69"/>
      <c r="J1238" s="70"/>
      <c r="K1238" s="71"/>
      <c r="L1238" s="71"/>
      <c r="M1238" s="5"/>
    </row>
    <row r="1239" spans="1:13" s="3" customFormat="1">
      <c r="A1239" s="1"/>
      <c r="B1239" s="8"/>
      <c r="C1239" s="5"/>
      <c r="D1239" s="12"/>
      <c r="E1239" s="23"/>
      <c r="F1239" s="9"/>
      <c r="G1239" s="5"/>
      <c r="H1239" s="16"/>
      <c r="I1239" s="69"/>
      <c r="J1239" s="70"/>
      <c r="K1239" s="71"/>
      <c r="L1239" s="71"/>
      <c r="M1239" s="5"/>
    </row>
    <row r="1240" spans="1:13" s="3" customFormat="1">
      <c r="A1240" s="1"/>
      <c r="B1240" s="8"/>
      <c r="C1240" s="5"/>
      <c r="D1240" s="12"/>
      <c r="E1240" s="23"/>
      <c r="F1240" s="9"/>
      <c r="G1240" s="5"/>
      <c r="H1240" s="16"/>
      <c r="I1240" s="69"/>
      <c r="J1240" s="70"/>
      <c r="K1240" s="71"/>
      <c r="L1240" s="71"/>
      <c r="M1240" s="5"/>
    </row>
    <row r="1241" spans="1:13" s="3" customFormat="1">
      <c r="A1241" s="1"/>
      <c r="B1241" s="8"/>
      <c r="C1241" s="5"/>
      <c r="D1241" s="12"/>
      <c r="E1241" s="23"/>
      <c r="F1241" s="9"/>
      <c r="G1241" s="5"/>
      <c r="H1241" s="16"/>
      <c r="I1241" s="69"/>
      <c r="J1241" s="70"/>
      <c r="K1241" s="71"/>
      <c r="L1241" s="71"/>
      <c r="M1241" s="5"/>
    </row>
    <row r="1242" spans="1:13" s="3" customFormat="1">
      <c r="A1242" s="1"/>
      <c r="B1242" s="8"/>
      <c r="C1242" s="5"/>
      <c r="D1242" s="12"/>
      <c r="E1242" s="23"/>
      <c r="F1242" s="9"/>
      <c r="G1242" s="5"/>
      <c r="H1242" s="16"/>
      <c r="I1242" s="69"/>
      <c r="J1242" s="70"/>
      <c r="K1242" s="71"/>
      <c r="L1242" s="71"/>
      <c r="M1242" s="5"/>
    </row>
    <row r="1243" spans="1:13" s="3" customFormat="1">
      <c r="A1243" s="1"/>
      <c r="B1243" s="8"/>
      <c r="C1243" s="5"/>
      <c r="D1243" s="12"/>
      <c r="E1243" s="23"/>
      <c r="F1243" s="9"/>
      <c r="G1243" s="5"/>
      <c r="H1243" s="16"/>
      <c r="I1243" s="69"/>
      <c r="J1243" s="70"/>
      <c r="K1243" s="71"/>
      <c r="L1243" s="71"/>
      <c r="M1243" s="5"/>
    </row>
    <row r="1244" spans="1:13" s="3" customFormat="1">
      <c r="A1244" s="1"/>
      <c r="B1244" s="8"/>
      <c r="C1244" s="5"/>
      <c r="D1244" s="12"/>
      <c r="E1244" s="23"/>
      <c r="F1244" s="9"/>
      <c r="G1244" s="5"/>
      <c r="H1244" s="16"/>
      <c r="I1244" s="69"/>
      <c r="J1244" s="70"/>
      <c r="K1244" s="71"/>
      <c r="L1244" s="71"/>
      <c r="M1244" s="5"/>
    </row>
    <row r="1245" spans="1:13" s="3" customFormat="1">
      <c r="A1245" s="1"/>
      <c r="B1245" s="8"/>
      <c r="C1245" s="5"/>
      <c r="D1245" s="12"/>
      <c r="E1245" s="23"/>
      <c r="F1245" s="9"/>
      <c r="G1245" s="5"/>
      <c r="H1245" s="16"/>
      <c r="I1245" s="69"/>
      <c r="J1245" s="70"/>
      <c r="K1245" s="71"/>
      <c r="L1245" s="71"/>
      <c r="M1245" s="5"/>
    </row>
    <row r="1246" spans="1:13" s="3" customFormat="1">
      <c r="A1246" s="1"/>
      <c r="B1246" s="8"/>
      <c r="C1246" s="5"/>
      <c r="D1246" s="12"/>
      <c r="E1246" s="23"/>
      <c r="F1246" s="9"/>
      <c r="G1246" s="5"/>
      <c r="H1246" s="16"/>
      <c r="I1246" s="69"/>
      <c r="J1246" s="70"/>
      <c r="K1246" s="71"/>
      <c r="L1246" s="71"/>
      <c r="M1246" s="5"/>
    </row>
    <row r="1247" spans="1:13" s="3" customFormat="1">
      <c r="A1247" s="1"/>
      <c r="B1247" s="8"/>
      <c r="C1247" s="5"/>
      <c r="D1247" s="12"/>
      <c r="E1247" s="23"/>
      <c r="F1247" s="9"/>
      <c r="G1247" s="5"/>
      <c r="H1247" s="16"/>
      <c r="I1247" s="69"/>
      <c r="J1247" s="70"/>
      <c r="K1247" s="71"/>
      <c r="L1247" s="71"/>
      <c r="M1247" s="5"/>
    </row>
    <row r="1248" spans="1:13" s="3" customFormat="1">
      <c r="A1248" s="1"/>
      <c r="B1248" s="8"/>
      <c r="C1248" s="5"/>
      <c r="D1248" s="12"/>
      <c r="E1248" s="23"/>
      <c r="F1248" s="9"/>
      <c r="G1248" s="5"/>
      <c r="H1248" s="16"/>
      <c r="I1248" s="69"/>
      <c r="J1248" s="70"/>
      <c r="K1248" s="71"/>
      <c r="L1248" s="71"/>
      <c r="M1248" s="5"/>
    </row>
    <row r="1249" spans="1:13" s="3" customFormat="1">
      <c r="A1249" s="1"/>
      <c r="B1249" s="8"/>
      <c r="C1249" s="5"/>
      <c r="D1249" s="12"/>
      <c r="E1249" s="23"/>
      <c r="F1249" s="9"/>
      <c r="G1249" s="5"/>
      <c r="H1249" s="16"/>
      <c r="I1249" s="69"/>
      <c r="J1249" s="70"/>
      <c r="K1249" s="71"/>
      <c r="L1249" s="71"/>
      <c r="M1249" s="5"/>
    </row>
    <row r="1250" spans="1:13" s="3" customFormat="1">
      <c r="A1250" s="1"/>
      <c r="B1250" s="8"/>
      <c r="C1250" s="5"/>
      <c r="D1250" s="12"/>
      <c r="E1250" s="23"/>
      <c r="F1250" s="9"/>
      <c r="G1250" s="5"/>
      <c r="H1250" s="16"/>
      <c r="I1250" s="69"/>
      <c r="J1250" s="70"/>
      <c r="K1250" s="71"/>
      <c r="L1250" s="71"/>
      <c r="M1250" s="5"/>
    </row>
    <row r="1251" spans="1:13" s="3" customFormat="1">
      <c r="A1251" s="1"/>
      <c r="B1251" s="8"/>
      <c r="C1251" s="5"/>
      <c r="D1251" s="12"/>
      <c r="E1251" s="23"/>
      <c r="F1251" s="9"/>
      <c r="G1251" s="5"/>
      <c r="H1251" s="16"/>
      <c r="I1251" s="69"/>
      <c r="J1251" s="70"/>
      <c r="K1251" s="71"/>
      <c r="L1251" s="71"/>
      <c r="M1251" s="5"/>
    </row>
    <row r="1252" spans="1:13" s="3" customFormat="1">
      <c r="A1252" s="1"/>
      <c r="B1252" s="8"/>
      <c r="C1252" s="5"/>
      <c r="D1252" s="12"/>
      <c r="E1252" s="23"/>
      <c r="F1252" s="9"/>
      <c r="G1252" s="5"/>
      <c r="H1252" s="16"/>
      <c r="I1252" s="69"/>
      <c r="J1252" s="70"/>
      <c r="K1252" s="71"/>
      <c r="L1252" s="71"/>
      <c r="M1252" s="5"/>
    </row>
    <row r="1253" spans="1:13" s="3" customFormat="1">
      <c r="A1253" s="1"/>
      <c r="B1253" s="8"/>
      <c r="C1253" s="5"/>
      <c r="D1253" s="12"/>
      <c r="E1253" s="23"/>
      <c r="F1253" s="9"/>
      <c r="G1253" s="5"/>
      <c r="H1253" s="16"/>
      <c r="I1253" s="69"/>
      <c r="J1253" s="70"/>
      <c r="K1253" s="71"/>
      <c r="L1253" s="71"/>
      <c r="M1253" s="5"/>
    </row>
    <row r="1254" spans="1:13" s="3" customFormat="1">
      <c r="A1254" s="1"/>
      <c r="B1254" s="8"/>
      <c r="C1254" s="5"/>
      <c r="D1254" s="12"/>
      <c r="E1254" s="23"/>
      <c r="F1254" s="9"/>
      <c r="G1254" s="5"/>
      <c r="H1254" s="16"/>
      <c r="I1254" s="69"/>
      <c r="J1254" s="70"/>
      <c r="K1254" s="71"/>
      <c r="L1254" s="71"/>
      <c r="M1254" s="5"/>
    </row>
    <row r="1255" spans="1:13" s="3" customFormat="1">
      <c r="A1255" s="1"/>
      <c r="B1255" s="8"/>
      <c r="C1255" s="5"/>
      <c r="D1255" s="12"/>
      <c r="E1255" s="23"/>
      <c r="F1255" s="9"/>
      <c r="G1255" s="5"/>
      <c r="H1255" s="16"/>
      <c r="I1255" s="69"/>
      <c r="J1255" s="70"/>
      <c r="K1255" s="71"/>
      <c r="L1255" s="71"/>
      <c r="M1255" s="5"/>
    </row>
    <row r="1256" spans="1:13" s="3" customFormat="1">
      <c r="A1256" s="1"/>
      <c r="B1256" s="8"/>
      <c r="C1256" s="5"/>
      <c r="D1256" s="12"/>
      <c r="E1256" s="23"/>
      <c r="F1256" s="9"/>
      <c r="G1256" s="5"/>
      <c r="H1256" s="16"/>
      <c r="I1256" s="69"/>
      <c r="J1256" s="70"/>
      <c r="K1256" s="71"/>
      <c r="L1256" s="71"/>
      <c r="M1256" s="5"/>
    </row>
    <row r="1257" spans="1:13" s="3" customFormat="1">
      <c r="A1257" s="1"/>
      <c r="B1257" s="8"/>
      <c r="C1257" s="5"/>
      <c r="D1257" s="12"/>
      <c r="E1257" s="23"/>
      <c r="F1257" s="9"/>
      <c r="G1257" s="5"/>
      <c r="H1257" s="16"/>
      <c r="I1257" s="69"/>
      <c r="J1257" s="70"/>
      <c r="K1257" s="71"/>
      <c r="L1257" s="71"/>
      <c r="M1257" s="5"/>
    </row>
    <row r="1258" spans="1:13" s="3" customFormat="1">
      <c r="A1258" s="1"/>
      <c r="B1258" s="8"/>
      <c r="C1258" s="5"/>
      <c r="D1258" s="12"/>
      <c r="E1258" s="23"/>
      <c r="F1258" s="9"/>
      <c r="G1258" s="5"/>
      <c r="H1258" s="16"/>
      <c r="I1258" s="69"/>
      <c r="J1258" s="70"/>
      <c r="K1258" s="71"/>
      <c r="L1258" s="71"/>
      <c r="M1258" s="5"/>
    </row>
    <row r="1259" spans="1:13" s="3" customFormat="1">
      <c r="A1259" s="1"/>
      <c r="B1259" s="8"/>
      <c r="C1259" s="5"/>
      <c r="D1259" s="12"/>
      <c r="E1259" s="23"/>
      <c r="F1259" s="9"/>
      <c r="G1259" s="5"/>
      <c r="H1259" s="16"/>
      <c r="I1259" s="69"/>
      <c r="J1259" s="70"/>
      <c r="K1259" s="71"/>
      <c r="L1259" s="71"/>
      <c r="M1259" s="5"/>
    </row>
    <row r="1260" spans="1:13" s="3" customFormat="1">
      <c r="A1260" s="1"/>
      <c r="B1260" s="8"/>
      <c r="C1260" s="5"/>
      <c r="D1260" s="12"/>
      <c r="E1260" s="23"/>
      <c r="F1260" s="9"/>
      <c r="G1260" s="5"/>
      <c r="H1260" s="16"/>
      <c r="I1260" s="69"/>
      <c r="J1260" s="70"/>
      <c r="K1260" s="71"/>
      <c r="L1260" s="71"/>
      <c r="M1260" s="5"/>
    </row>
    <row r="1261" spans="1:13" s="3" customFormat="1">
      <c r="A1261" s="1"/>
      <c r="B1261" s="8"/>
      <c r="C1261" s="5"/>
      <c r="D1261" s="12"/>
      <c r="E1261" s="23"/>
      <c r="F1261" s="9"/>
      <c r="G1261" s="5"/>
      <c r="H1261" s="16"/>
      <c r="I1261" s="69"/>
      <c r="J1261" s="70"/>
      <c r="K1261" s="71"/>
      <c r="L1261" s="71"/>
      <c r="M1261" s="5"/>
    </row>
    <row r="1262" spans="1:13" s="3" customFormat="1">
      <c r="A1262" s="1"/>
      <c r="B1262" s="8"/>
      <c r="C1262" s="5"/>
      <c r="D1262" s="12"/>
      <c r="E1262" s="23"/>
      <c r="F1262" s="9"/>
      <c r="G1262" s="5"/>
      <c r="H1262" s="16"/>
      <c r="I1262" s="69"/>
      <c r="J1262" s="70"/>
      <c r="K1262" s="71"/>
      <c r="L1262" s="71"/>
      <c r="M1262" s="5"/>
    </row>
    <row r="1263" spans="1:13" s="3" customFormat="1">
      <c r="A1263" s="1"/>
      <c r="B1263" s="8"/>
      <c r="C1263" s="5"/>
      <c r="D1263" s="12"/>
      <c r="E1263" s="23"/>
      <c r="F1263" s="9"/>
      <c r="G1263" s="5"/>
      <c r="H1263" s="16"/>
      <c r="I1263" s="69"/>
      <c r="J1263" s="70"/>
      <c r="K1263" s="71"/>
      <c r="L1263" s="71"/>
      <c r="M1263" s="5"/>
    </row>
    <row r="1264" spans="1:13" s="3" customFormat="1">
      <c r="A1264" s="1"/>
      <c r="B1264" s="8"/>
      <c r="C1264" s="5"/>
      <c r="D1264" s="12"/>
      <c r="E1264" s="23"/>
      <c r="F1264" s="9"/>
      <c r="G1264" s="5"/>
      <c r="H1264" s="16"/>
      <c r="I1264" s="69"/>
      <c r="J1264" s="70"/>
      <c r="K1264" s="71"/>
      <c r="L1264" s="71"/>
      <c r="M1264" s="5"/>
    </row>
    <row r="1265" spans="1:13" s="3" customFormat="1">
      <c r="A1265" s="1"/>
      <c r="B1265" s="8"/>
      <c r="C1265" s="5"/>
      <c r="D1265" s="12"/>
      <c r="E1265" s="23"/>
      <c r="F1265" s="9"/>
      <c r="G1265" s="5"/>
      <c r="H1265" s="16"/>
      <c r="I1265" s="69"/>
      <c r="J1265" s="70"/>
      <c r="K1265" s="71"/>
      <c r="L1265" s="71"/>
      <c r="M1265" s="5"/>
    </row>
    <row r="1266" spans="1:13" s="3" customFormat="1">
      <c r="A1266" s="1"/>
      <c r="B1266" s="8"/>
      <c r="C1266" s="5"/>
      <c r="D1266" s="12"/>
      <c r="E1266" s="23"/>
      <c r="F1266" s="9"/>
      <c r="G1266" s="5"/>
      <c r="H1266" s="16"/>
      <c r="I1266" s="69"/>
      <c r="J1266" s="70"/>
      <c r="K1266" s="71"/>
      <c r="L1266" s="71"/>
      <c r="M1266" s="5"/>
    </row>
    <row r="1267" spans="1:13" s="3" customFormat="1">
      <c r="A1267" s="1"/>
      <c r="B1267" s="8"/>
      <c r="C1267" s="5"/>
      <c r="D1267" s="12"/>
      <c r="E1267" s="23"/>
      <c r="F1267" s="9"/>
      <c r="G1267" s="5"/>
      <c r="H1267" s="16"/>
      <c r="I1267" s="69"/>
      <c r="J1267" s="70"/>
      <c r="K1267" s="71"/>
      <c r="L1267" s="71"/>
      <c r="M1267" s="5"/>
    </row>
    <row r="1268" spans="1:13" s="3" customFormat="1">
      <c r="A1268" s="1"/>
      <c r="B1268" s="8"/>
      <c r="C1268" s="5"/>
      <c r="D1268" s="12"/>
      <c r="E1268" s="23"/>
      <c r="F1268" s="9"/>
      <c r="G1268" s="5"/>
      <c r="H1268" s="16"/>
      <c r="I1268" s="69"/>
      <c r="J1268" s="70"/>
      <c r="K1268" s="71"/>
      <c r="L1268" s="71"/>
      <c r="M1268" s="5"/>
    </row>
    <row r="1269" spans="1:13" s="3" customFormat="1">
      <c r="A1269" s="1"/>
      <c r="B1269" s="8"/>
      <c r="C1269" s="5"/>
      <c r="D1269" s="12"/>
      <c r="E1269" s="23"/>
      <c r="F1269" s="9"/>
      <c r="G1269" s="5"/>
      <c r="H1269" s="16"/>
      <c r="I1269" s="69"/>
      <c r="J1269" s="70"/>
      <c r="K1269" s="71"/>
      <c r="L1269" s="71"/>
      <c r="M1269" s="5"/>
    </row>
    <row r="1270" spans="1:13" s="3" customFormat="1">
      <c r="A1270" s="1"/>
      <c r="B1270" s="8"/>
      <c r="C1270" s="5"/>
      <c r="D1270" s="12"/>
      <c r="E1270" s="23"/>
      <c r="F1270" s="9"/>
      <c r="G1270" s="5"/>
      <c r="H1270" s="16"/>
      <c r="I1270" s="69"/>
      <c r="J1270" s="70"/>
      <c r="K1270" s="71"/>
      <c r="L1270" s="71"/>
      <c r="M1270" s="5"/>
    </row>
    <row r="1271" spans="1:13" s="3" customFormat="1">
      <c r="A1271" s="1"/>
      <c r="B1271" s="8"/>
      <c r="C1271" s="5"/>
      <c r="D1271" s="12"/>
      <c r="E1271" s="23"/>
      <c r="F1271" s="9"/>
      <c r="G1271" s="5"/>
      <c r="H1271" s="16"/>
      <c r="I1271" s="69"/>
      <c r="J1271" s="70"/>
      <c r="K1271" s="71"/>
      <c r="L1271" s="71"/>
      <c r="M1271" s="5"/>
    </row>
    <row r="1272" spans="1:13" s="3" customFormat="1">
      <c r="A1272" s="1"/>
      <c r="B1272" s="8"/>
      <c r="C1272" s="5"/>
      <c r="D1272" s="12"/>
      <c r="E1272" s="23"/>
      <c r="F1272" s="9"/>
      <c r="G1272" s="5"/>
      <c r="H1272" s="16"/>
      <c r="I1272" s="69"/>
      <c r="J1272" s="70"/>
      <c r="K1272" s="71"/>
      <c r="L1272" s="71"/>
      <c r="M1272" s="5"/>
    </row>
    <row r="1273" spans="1:13" s="3" customFormat="1">
      <c r="A1273" s="1"/>
      <c r="B1273" s="8"/>
      <c r="C1273" s="5"/>
      <c r="D1273" s="12"/>
      <c r="E1273" s="23"/>
      <c r="F1273" s="9"/>
      <c r="G1273" s="5"/>
      <c r="H1273" s="16"/>
      <c r="I1273" s="69"/>
      <c r="J1273" s="70"/>
      <c r="K1273" s="71"/>
      <c r="L1273" s="71"/>
      <c r="M1273" s="5"/>
    </row>
    <row r="1274" spans="1:13" s="3" customFormat="1">
      <c r="A1274" s="1"/>
      <c r="B1274" s="8"/>
      <c r="C1274" s="5"/>
      <c r="D1274" s="12"/>
      <c r="E1274" s="23"/>
      <c r="F1274" s="9"/>
      <c r="G1274" s="5"/>
      <c r="H1274" s="16"/>
      <c r="I1274" s="69"/>
      <c r="J1274" s="70"/>
      <c r="K1274" s="71"/>
      <c r="L1274" s="71"/>
      <c r="M1274" s="5"/>
    </row>
    <row r="1275" spans="1:13" s="3" customFormat="1">
      <c r="A1275" s="1"/>
      <c r="B1275" s="8"/>
      <c r="C1275" s="5"/>
      <c r="D1275" s="12"/>
      <c r="E1275" s="23"/>
      <c r="F1275" s="9"/>
      <c r="G1275" s="5"/>
      <c r="H1275" s="16"/>
      <c r="I1275" s="69"/>
      <c r="J1275" s="70"/>
      <c r="K1275" s="71"/>
      <c r="L1275" s="71"/>
      <c r="M1275" s="5"/>
    </row>
    <row r="1276" spans="1:13" s="3" customFormat="1">
      <c r="A1276" s="1"/>
      <c r="B1276" s="8"/>
      <c r="C1276" s="5"/>
      <c r="D1276" s="12"/>
      <c r="E1276" s="23"/>
      <c r="F1276" s="9"/>
      <c r="G1276" s="5"/>
      <c r="H1276" s="16"/>
      <c r="I1276" s="69"/>
      <c r="J1276" s="70"/>
      <c r="K1276" s="71"/>
      <c r="L1276" s="71"/>
      <c r="M1276" s="5"/>
    </row>
    <row r="1277" spans="1:13" s="3" customFormat="1">
      <c r="A1277" s="1"/>
      <c r="B1277" s="8"/>
      <c r="C1277" s="5"/>
      <c r="D1277" s="12"/>
      <c r="E1277" s="23"/>
      <c r="F1277" s="9"/>
      <c r="G1277" s="5"/>
      <c r="H1277" s="16"/>
      <c r="I1277" s="69"/>
      <c r="J1277" s="70"/>
      <c r="K1277" s="71"/>
      <c r="L1277" s="71"/>
      <c r="M1277" s="5"/>
    </row>
    <row r="1278" spans="1:13" s="3" customFormat="1">
      <c r="A1278" s="1"/>
      <c r="B1278" s="8"/>
      <c r="C1278" s="5"/>
      <c r="D1278" s="12"/>
      <c r="E1278" s="23"/>
      <c r="F1278" s="9"/>
      <c r="G1278" s="5"/>
      <c r="H1278" s="16"/>
      <c r="I1278" s="69"/>
      <c r="J1278" s="70"/>
      <c r="K1278" s="71"/>
      <c r="L1278" s="71"/>
      <c r="M1278" s="5"/>
    </row>
    <row r="1279" spans="1:13" s="3" customFormat="1">
      <c r="A1279" s="1"/>
      <c r="B1279" s="8"/>
      <c r="C1279" s="5"/>
      <c r="D1279" s="12"/>
      <c r="E1279" s="23"/>
      <c r="F1279" s="9"/>
      <c r="G1279" s="5"/>
      <c r="H1279" s="16"/>
      <c r="I1279" s="69"/>
      <c r="J1279" s="70"/>
      <c r="K1279" s="71"/>
      <c r="L1279" s="71"/>
      <c r="M1279" s="5"/>
    </row>
    <row r="1280" spans="1:13" s="3" customFormat="1">
      <c r="A1280" s="1"/>
      <c r="B1280" s="8"/>
      <c r="C1280" s="5"/>
      <c r="D1280" s="12"/>
      <c r="E1280" s="23"/>
      <c r="F1280" s="9"/>
      <c r="G1280" s="5"/>
      <c r="H1280" s="16"/>
      <c r="I1280" s="69"/>
      <c r="J1280" s="70"/>
      <c r="K1280" s="71"/>
      <c r="L1280" s="71"/>
      <c r="M1280" s="5"/>
    </row>
    <row r="1281" spans="1:13" s="3" customFormat="1">
      <c r="A1281" s="1"/>
      <c r="B1281" s="8"/>
      <c r="C1281" s="5"/>
      <c r="D1281" s="12"/>
      <c r="E1281" s="23"/>
      <c r="F1281" s="9"/>
      <c r="G1281" s="5"/>
      <c r="H1281" s="16"/>
      <c r="I1281" s="69"/>
      <c r="J1281" s="70"/>
      <c r="K1281" s="71"/>
      <c r="L1281" s="71"/>
      <c r="M1281" s="5"/>
    </row>
    <row r="1282" spans="1:13" s="3" customFormat="1">
      <c r="A1282" s="1"/>
      <c r="B1282" s="8"/>
      <c r="C1282" s="5"/>
      <c r="D1282" s="12"/>
      <c r="E1282" s="23"/>
      <c r="F1282" s="9"/>
      <c r="G1282" s="5"/>
      <c r="H1282" s="16"/>
      <c r="I1282" s="69"/>
      <c r="J1282" s="70"/>
      <c r="K1282" s="71"/>
      <c r="L1282" s="71"/>
      <c r="M1282" s="5"/>
    </row>
    <row r="1283" spans="1:13" s="3" customFormat="1">
      <c r="A1283" s="1"/>
      <c r="B1283" s="8"/>
      <c r="C1283" s="5"/>
      <c r="D1283" s="12"/>
      <c r="E1283" s="23"/>
      <c r="F1283" s="9"/>
      <c r="G1283" s="5"/>
      <c r="H1283" s="16"/>
      <c r="I1283" s="69"/>
      <c r="J1283" s="70"/>
      <c r="K1283" s="71"/>
      <c r="L1283" s="71"/>
      <c r="M1283" s="5"/>
    </row>
    <row r="1284" spans="1:13" s="3" customFormat="1">
      <c r="A1284" s="1"/>
      <c r="B1284" s="8"/>
      <c r="C1284" s="5"/>
      <c r="D1284" s="12"/>
      <c r="E1284" s="23"/>
      <c r="F1284" s="9"/>
      <c r="G1284" s="5"/>
      <c r="H1284" s="16"/>
      <c r="I1284" s="69"/>
      <c r="J1284" s="70"/>
      <c r="K1284" s="71"/>
      <c r="L1284" s="71"/>
      <c r="M1284" s="5"/>
    </row>
    <row r="1285" spans="1:13" s="3" customFormat="1">
      <c r="A1285" s="1"/>
      <c r="B1285" s="8"/>
      <c r="C1285" s="5"/>
      <c r="D1285" s="12"/>
      <c r="E1285" s="23"/>
      <c r="F1285" s="9"/>
      <c r="G1285" s="5"/>
      <c r="H1285" s="16"/>
      <c r="I1285" s="69"/>
      <c r="J1285" s="70"/>
      <c r="K1285" s="71"/>
      <c r="L1285" s="71"/>
      <c r="M1285" s="5"/>
    </row>
    <row r="1286" spans="1:13" s="3" customFormat="1">
      <c r="A1286" s="1"/>
      <c r="B1286" s="8"/>
      <c r="C1286" s="5"/>
      <c r="D1286" s="12"/>
      <c r="E1286" s="23"/>
      <c r="F1286" s="9"/>
      <c r="G1286" s="5"/>
      <c r="H1286" s="16"/>
      <c r="I1286" s="69"/>
      <c r="J1286" s="70"/>
      <c r="K1286" s="71"/>
      <c r="L1286" s="71"/>
      <c r="M1286" s="5"/>
    </row>
    <row r="1287" spans="1:13" s="3" customFormat="1">
      <c r="A1287" s="1"/>
      <c r="B1287" s="8"/>
      <c r="C1287" s="5"/>
      <c r="D1287" s="12"/>
      <c r="E1287" s="23"/>
      <c r="F1287" s="9"/>
      <c r="G1287" s="5"/>
      <c r="H1287" s="16"/>
      <c r="I1287" s="69"/>
      <c r="J1287" s="70"/>
      <c r="K1287" s="71"/>
      <c r="L1287" s="71"/>
      <c r="M1287" s="5"/>
    </row>
    <row r="1288" spans="1:13" s="3" customFormat="1">
      <c r="A1288" s="1"/>
      <c r="B1288" s="8"/>
      <c r="C1288" s="5"/>
      <c r="D1288" s="12"/>
      <c r="E1288" s="23"/>
      <c r="F1288" s="9"/>
      <c r="G1288" s="5"/>
      <c r="H1288" s="16"/>
      <c r="I1288" s="69"/>
      <c r="J1288" s="70"/>
      <c r="K1288" s="71"/>
      <c r="L1288" s="71"/>
      <c r="M1288" s="5"/>
    </row>
    <row r="1289" spans="1:13" s="3" customFormat="1">
      <c r="A1289" s="1"/>
      <c r="B1289" s="8"/>
      <c r="C1289" s="5"/>
      <c r="D1289" s="12"/>
      <c r="E1289" s="23"/>
      <c r="F1289" s="9"/>
      <c r="G1289" s="5"/>
      <c r="H1289" s="16"/>
      <c r="I1289" s="69"/>
      <c r="J1289" s="70"/>
      <c r="K1289" s="71"/>
      <c r="L1289" s="71"/>
      <c r="M1289" s="5"/>
    </row>
    <row r="1290" spans="1:13" s="3" customFormat="1">
      <c r="A1290" s="1"/>
      <c r="B1290" s="8"/>
      <c r="C1290" s="5"/>
      <c r="D1290" s="12"/>
      <c r="E1290" s="23"/>
      <c r="F1290" s="9"/>
      <c r="G1290" s="5"/>
      <c r="H1290" s="16"/>
      <c r="I1290" s="69"/>
      <c r="J1290" s="70"/>
      <c r="K1290" s="71"/>
      <c r="L1290" s="71"/>
      <c r="M1290" s="5"/>
    </row>
    <row r="1291" spans="1:13" s="3" customFormat="1">
      <c r="A1291" s="1"/>
      <c r="B1291" s="8"/>
      <c r="C1291" s="5"/>
      <c r="D1291" s="12"/>
      <c r="E1291" s="23"/>
      <c r="F1291" s="9"/>
      <c r="G1291" s="5"/>
      <c r="H1291" s="16"/>
      <c r="I1291" s="69"/>
      <c r="J1291" s="70"/>
      <c r="K1291" s="71"/>
      <c r="L1291" s="71"/>
      <c r="M1291" s="5"/>
    </row>
    <row r="1292" spans="1:13" s="3" customFormat="1">
      <c r="A1292" s="1"/>
      <c r="B1292" s="8"/>
      <c r="C1292" s="5"/>
      <c r="D1292" s="12"/>
      <c r="E1292" s="23"/>
      <c r="F1292" s="9"/>
      <c r="G1292" s="5"/>
      <c r="H1292" s="16"/>
      <c r="I1292" s="69"/>
      <c r="J1292" s="70"/>
      <c r="K1292" s="71"/>
      <c r="L1292" s="71"/>
      <c r="M1292" s="5"/>
    </row>
    <row r="1293" spans="1:13" s="3" customFormat="1">
      <c r="A1293" s="1"/>
      <c r="B1293" s="8"/>
      <c r="C1293" s="5"/>
      <c r="D1293" s="12"/>
      <c r="E1293" s="23"/>
      <c r="F1293" s="9"/>
      <c r="G1293" s="5"/>
      <c r="H1293" s="16"/>
      <c r="I1293" s="69"/>
      <c r="J1293" s="70"/>
      <c r="K1293" s="71"/>
      <c r="L1293" s="71"/>
      <c r="M1293" s="5"/>
    </row>
    <row r="1294" spans="1:13" s="3" customFormat="1">
      <c r="A1294" s="1"/>
      <c r="B1294" s="8"/>
      <c r="C1294" s="5"/>
      <c r="D1294" s="12"/>
      <c r="E1294" s="23"/>
      <c r="F1294" s="9"/>
      <c r="G1294" s="5"/>
      <c r="H1294" s="16"/>
      <c r="I1294" s="69"/>
      <c r="J1294" s="70"/>
      <c r="K1294" s="71"/>
      <c r="L1294" s="71"/>
      <c r="M1294" s="5"/>
    </row>
    <row r="1295" spans="1:13" s="3" customFormat="1">
      <c r="A1295" s="1"/>
      <c r="B1295" s="8"/>
      <c r="C1295" s="5"/>
      <c r="D1295" s="12"/>
      <c r="E1295" s="23"/>
      <c r="F1295" s="9"/>
      <c r="G1295" s="5"/>
      <c r="H1295" s="16"/>
      <c r="I1295" s="69"/>
      <c r="J1295" s="70"/>
      <c r="K1295" s="71"/>
      <c r="L1295" s="71"/>
      <c r="M1295" s="5"/>
    </row>
    <row r="1296" spans="1:13" s="3" customFormat="1">
      <c r="A1296" s="1"/>
      <c r="B1296" s="8"/>
      <c r="C1296" s="5"/>
      <c r="D1296" s="12"/>
      <c r="E1296" s="23"/>
      <c r="F1296" s="9"/>
      <c r="G1296" s="5"/>
      <c r="H1296" s="16"/>
      <c r="I1296" s="69"/>
      <c r="J1296" s="70"/>
      <c r="K1296" s="71"/>
      <c r="L1296" s="71"/>
      <c r="M1296" s="5"/>
    </row>
    <row r="1297" spans="1:13" s="3" customFormat="1">
      <c r="A1297" s="1"/>
      <c r="B1297" s="8"/>
      <c r="C1297" s="5"/>
      <c r="D1297" s="12"/>
      <c r="E1297" s="23"/>
      <c r="F1297" s="9"/>
      <c r="G1297" s="5"/>
      <c r="H1297" s="16"/>
      <c r="I1297" s="69"/>
      <c r="J1297" s="70"/>
      <c r="K1297" s="71"/>
      <c r="L1297" s="71"/>
      <c r="M1297" s="5"/>
    </row>
    <row r="1298" spans="1:13" s="3" customFormat="1">
      <c r="A1298" s="1"/>
      <c r="B1298" s="8"/>
      <c r="C1298" s="5"/>
      <c r="D1298" s="12"/>
      <c r="E1298" s="23"/>
      <c r="F1298" s="9"/>
      <c r="G1298" s="5"/>
      <c r="H1298" s="16"/>
      <c r="I1298" s="69"/>
      <c r="J1298" s="70"/>
      <c r="K1298" s="71"/>
      <c r="L1298" s="71"/>
      <c r="M1298" s="5"/>
    </row>
    <row r="1299" spans="1:13" s="3" customFormat="1">
      <c r="A1299" s="1"/>
      <c r="B1299" s="8"/>
      <c r="C1299" s="5"/>
      <c r="D1299" s="12"/>
      <c r="E1299" s="23"/>
      <c r="F1299" s="9"/>
      <c r="G1299" s="5"/>
      <c r="H1299" s="16"/>
      <c r="I1299" s="69"/>
      <c r="J1299" s="70"/>
      <c r="K1299" s="71"/>
      <c r="L1299" s="71"/>
      <c r="M1299" s="5"/>
    </row>
    <row r="1300" spans="1:13" s="3" customFormat="1">
      <c r="A1300" s="1"/>
      <c r="B1300" s="8"/>
      <c r="C1300" s="5"/>
      <c r="D1300" s="12"/>
      <c r="E1300" s="23"/>
      <c r="F1300" s="9"/>
      <c r="G1300" s="5"/>
      <c r="H1300" s="16"/>
      <c r="I1300" s="69"/>
      <c r="J1300" s="70"/>
      <c r="K1300" s="71"/>
      <c r="L1300" s="71"/>
      <c r="M1300" s="5"/>
    </row>
    <row r="1301" spans="1:13" s="3" customFormat="1">
      <c r="A1301" s="1"/>
      <c r="B1301" s="8"/>
      <c r="C1301" s="5"/>
      <c r="D1301" s="12"/>
      <c r="E1301" s="23"/>
      <c r="F1301" s="9"/>
      <c r="G1301" s="5"/>
      <c r="H1301" s="16"/>
      <c r="I1301" s="69"/>
      <c r="J1301" s="70"/>
      <c r="K1301" s="71"/>
      <c r="L1301" s="71"/>
      <c r="M1301" s="5"/>
    </row>
    <row r="1302" spans="1:13" s="3" customFormat="1">
      <c r="A1302" s="1"/>
      <c r="B1302" s="8"/>
      <c r="C1302" s="5"/>
      <c r="D1302" s="12"/>
      <c r="E1302" s="23"/>
      <c r="F1302" s="9"/>
      <c r="G1302" s="5"/>
      <c r="H1302" s="16"/>
      <c r="I1302" s="69"/>
      <c r="J1302" s="70"/>
      <c r="K1302" s="71"/>
      <c r="L1302" s="71"/>
      <c r="M1302" s="5"/>
    </row>
    <row r="1303" spans="1:13" s="3" customFormat="1">
      <c r="A1303" s="1"/>
      <c r="B1303" s="8"/>
      <c r="C1303" s="5"/>
      <c r="D1303" s="12"/>
      <c r="E1303" s="23"/>
      <c r="F1303" s="9"/>
      <c r="G1303" s="5"/>
      <c r="H1303" s="16"/>
      <c r="I1303" s="69"/>
      <c r="J1303" s="70"/>
      <c r="K1303" s="71"/>
      <c r="L1303" s="71"/>
      <c r="M1303" s="5"/>
    </row>
    <row r="1304" spans="1:13" s="3" customFormat="1">
      <c r="A1304" s="1"/>
      <c r="B1304" s="8"/>
      <c r="C1304" s="5"/>
      <c r="D1304" s="12"/>
      <c r="E1304" s="23"/>
      <c r="F1304" s="9"/>
      <c r="G1304" s="5"/>
      <c r="H1304" s="16"/>
      <c r="I1304" s="69"/>
      <c r="J1304" s="70"/>
      <c r="K1304" s="71"/>
      <c r="L1304" s="71"/>
      <c r="M1304" s="5"/>
    </row>
    <row r="1305" spans="1:13" s="3" customFormat="1">
      <c r="A1305" s="1"/>
      <c r="B1305" s="8"/>
      <c r="C1305" s="5"/>
      <c r="D1305" s="12"/>
      <c r="E1305" s="23"/>
      <c r="F1305" s="9"/>
      <c r="G1305" s="5"/>
      <c r="H1305" s="16"/>
      <c r="I1305" s="69"/>
      <c r="J1305" s="70"/>
      <c r="K1305" s="71"/>
      <c r="L1305" s="71"/>
      <c r="M1305" s="5"/>
    </row>
    <row r="1306" spans="1:13" s="3" customFormat="1">
      <c r="A1306" s="1"/>
      <c r="B1306" s="8"/>
      <c r="C1306" s="5"/>
      <c r="D1306" s="12"/>
      <c r="E1306" s="23"/>
      <c r="F1306" s="9"/>
      <c r="G1306" s="5"/>
      <c r="H1306" s="16"/>
      <c r="I1306" s="69"/>
      <c r="J1306" s="70"/>
      <c r="K1306" s="71"/>
      <c r="L1306" s="71"/>
      <c r="M1306" s="5"/>
    </row>
    <row r="1307" spans="1:13" s="3" customFormat="1">
      <c r="A1307" s="1"/>
      <c r="B1307" s="8"/>
      <c r="C1307" s="5"/>
      <c r="D1307" s="12"/>
      <c r="E1307" s="23"/>
      <c r="F1307" s="9"/>
      <c r="G1307" s="5"/>
      <c r="H1307" s="16"/>
      <c r="I1307" s="69"/>
      <c r="J1307" s="70"/>
      <c r="K1307" s="71"/>
      <c r="L1307" s="71"/>
      <c r="M1307" s="5"/>
    </row>
    <row r="1308" spans="1:13" s="3" customFormat="1">
      <c r="A1308" s="1"/>
      <c r="B1308" s="8"/>
      <c r="C1308" s="5"/>
      <c r="D1308" s="12"/>
      <c r="E1308" s="23"/>
      <c r="F1308" s="9"/>
      <c r="G1308" s="5"/>
      <c r="H1308" s="16"/>
      <c r="I1308" s="69"/>
      <c r="J1308" s="70"/>
      <c r="K1308" s="71"/>
      <c r="L1308" s="71"/>
      <c r="M1308" s="5"/>
    </row>
    <row r="1309" spans="1:13" s="3" customFormat="1">
      <c r="A1309" s="1"/>
      <c r="B1309" s="8"/>
      <c r="C1309" s="5"/>
      <c r="D1309" s="12"/>
      <c r="E1309" s="23"/>
      <c r="F1309" s="9"/>
      <c r="G1309" s="5"/>
      <c r="H1309" s="16"/>
      <c r="I1309" s="69"/>
      <c r="J1309" s="70"/>
      <c r="K1309" s="71"/>
      <c r="L1309" s="71"/>
      <c r="M1309" s="5"/>
    </row>
    <row r="1310" spans="1:13" s="3" customFormat="1">
      <c r="A1310" s="1"/>
      <c r="B1310" s="8"/>
      <c r="C1310" s="5"/>
      <c r="D1310" s="12"/>
      <c r="E1310" s="23"/>
      <c r="F1310" s="9"/>
      <c r="G1310" s="5"/>
      <c r="H1310" s="16"/>
      <c r="I1310" s="69"/>
      <c r="J1310" s="70"/>
      <c r="K1310" s="71"/>
      <c r="L1310" s="71"/>
      <c r="M1310" s="5"/>
    </row>
    <row r="1311" spans="1:13" s="3" customFormat="1">
      <c r="A1311" s="1"/>
      <c r="B1311" s="8"/>
      <c r="C1311" s="5"/>
      <c r="D1311" s="12"/>
      <c r="E1311" s="23"/>
      <c r="F1311" s="9"/>
      <c r="G1311" s="5"/>
      <c r="H1311" s="16"/>
      <c r="I1311" s="69"/>
      <c r="J1311" s="70"/>
      <c r="K1311" s="71"/>
      <c r="L1311" s="71"/>
      <c r="M1311" s="5"/>
    </row>
    <row r="1312" spans="1:13" s="3" customFormat="1">
      <c r="A1312" s="1"/>
      <c r="B1312" s="8"/>
      <c r="C1312" s="5"/>
      <c r="D1312" s="12"/>
      <c r="E1312" s="23"/>
      <c r="F1312" s="9"/>
      <c r="G1312" s="5"/>
      <c r="H1312" s="16"/>
      <c r="I1312" s="69"/>
      <c r="J1312" s="70"/>
      <c r="K1312" s="71"/>
      <c r="L1312" s="71"/>
      <c r="M1312" s="5"/>
    </row>
    <row r="1313" spans="1:13" s="3" customFormat="1">
      <c r="A1313" s="1"/>
      <c r="B1313" s="8"/>
      <c r="C1313" s="5"/>
      <c r="D1313" s="12"/>
      <c r="E1313" s="23"/>
      <c r="F1313" s="9"/>
      <c r="G1313" s="5"/>
      <c r="H1313" s="16"/>
      <c r="I1313" s="69"/>
      <c r="J1313" s="70"/>
      <c r="K1313" s="71"/>
      <c r="L1313" s="71"/>
      <c r="M1313" s="5"/>
    </row>
    <row r="1314" spans="1:13" s="3" customFormat="1">
      <c r="A1314" s="1"/>
      <c r="B1314" s="8"/>
      <c r="C1314" s="5"/>
      <c r="D1314" s="12"/>
      <c r="E1314" s="23"/>
      <c r="F1314" s="9"/>
      <c r="G1314" s="5"/>
      <c r="H1314" s="16"/>
      <c r="I1314" s="69"/>
      <c r="J1314" s="70"/>
      <c r="K1314" s="71"/>
      <c r="L1314" s="71"/>
      <c r="M1314" s="5"/>
    </row>
    <row r="1315" spans="1:13" s="3" customFormat="1">
      <c r="A1315" s="1"/>
      <c r="B1315" s="8"/>
      <c r="C1315" s="5"/>
      <c r="D1315" s="12"/>
      <c r="E1315" s="23"/>
      <c r="F1315" s="9"/>
      <c r="G1315" s="5"/>
      <c r="H1315" s="16"/>
      <c r="I1315" s="69"/>
      <c r="J1315" s="70"/>
      <c r="K1315" s="71"/>
      <c r="L1315" s="71"/>
      <c r="M1315" s="5"/>
    </row>
    <row r="1316" spans="1:13" s="3" customFormat="1">
      <c r="A1316" s="1"/>
      <c r="B1316" s="8"/>
      <c r="C1316" s="5"/>
      <c r="D1316" s="12"/>
      <c r="E1316" s="23"/>
      <c r="F1316" s="9"/>
      <c r="G1316" s="5"/>
      <c r="H1316" s="16"/>
      <c r="I1316" s="69"/>
      <c r="J1316" s="70"/>
      <c r="K1316" s="71"/>
      <c r="L1316" s="71"/>
      <c r="M1316" s="5"/>
    </row>
    <row r="1317" spans="1:13" s="3" customFormat="1">
      <c r="A1317" s="1"/>
      <c r="B1317" s="8"/>
      <c r="C1317" s="5"/>
      <c r="D1317" s="12"/>
      <c r="E1317" s="23"/>
      <c r="F1317" s="9"/>
      <c r="G1317" s="5"/>
      <c r="H1317" s="16"/>
      <c r="I1317" s="69"/>
      <c r="J1317" s="70"/>
      <c r="K1317" s="71"/>
      <c r="L1317" s="71"/>
      <c r="M1317" s="5"/>
    </row>
    <row r="1318" spans="1:13" s="3" customFormat="1">
      <c r="A1318" s="1"/>
      <c r="B1318" s="8"/>
      <c r="C1318" s="5"/>
      <c r="D1318" s="12"/>
      <c r="E1318" s="23"/>
      <c r="F1318" s="9"/>
      <c r="G1318" s="5"/>
      <c r="H1318" s="16"/>
      <c r="I1318" s="69"/>
      <c r="J1318" s="70"/>
      <c r="K1318" s="71"/>
      <c r="L1318" s="71"/>
      <c r="M1318" s="5"/>
    </row>
    <row r="1319" spans="1:13" s="3" customFormat="1">
      <c r="A1319" s="1"/>
      <c r="B1319" s="8"/>
      <c r="C1319" s="5"/>
      <c r="D1319" s="12"/>
      <c r="E1319" s="23"/>
      <c r="F1319" s="9"/>
      <c r="G1319" s="5"/>
      <c r="H1319" s="16"/>
      <c r="I1319" s="69"/>
      <c r="J1319" s="70"/>
      <c r="K1319" s="71"/>
      <c r="L1319" s="71"/>
      <c r="M1319" s="5"/>
    </row>
    <row r="1320" spans="1:13" s="3" customFormat="1">
      <c r="A1320" s="1"/>
      <c r="B1320" s="8"/>
      <c r="C1320" s="5"/>
      <c r="D1320" s="12"/>
      <c r="E1320" s="23"/>
      <c r="F1320" s="9"/>
      <c r="G1320" s="5"/>
      <c r="H1320" s="16"/>
      <c r="I1320" s="69"/>
      <c r="J1320" s="70"/>
      <c r="K1320" s="71"/>
      <c r="L1320" s="71"/>
      <c r="M1320" s="5"/>
    </row>
    <row r="1321" spans="1:13" s="3" customFormat="1">
      <c r="A1321" s="1"/>
      <c r="B1321" s="8"/>
      <c r="C1321" s="5"/>
      <c r="D1321" s="12"/>
      <c r="E1321" s="23"/>
      <c r="F1321" s="9"/>
      <c r="G1321" s="5"/>
      <c r="H1321" s="16"/>
      <c r="I1321" s="69"/>
      <c r="J1321" s="70"/>
      <c r="K1321" s="71"/>
      <c r="L1321" s="71"/>
      <c r="M1321" s="5"/>
    </row>
    <row r="1322" spans="1:13" s="3" customFormat="1">
      <c r="A1322" s="1"/>
      <c r="B1322" s="8"/>
      <c r="C1322" s="5"/>
      <c r="D1322" s="12"/>
      <c r="E1322" s="23"/>
      <c r="F1322" s="9"/>
      <c r="G1322" s="5"/>
      <c r="H1322" s="16"/>
      <c r="I1322" s="69"/>
      <c r="J1322" s="70"/>
      <c r="K1322" s="71"/>
      <c r="L1322" s="71"/>
      <c r="M1322" s="5"/>
    </row>
    <row r="1323" spans="1:13" s="3" customFormat="1">
      <c r="A1323" s="1"/>
      <c r="B1323" s="8"/>
      <c r="C1323" s="5"/>
      <c r="D1323" s="12"/>
      <c r="E1323" s="23"/>
      <c r="F1323" s="9"/>
      <c r="G1323" s="5"/>
      <c r="H1323" s="16"/>
      <c r="I1323" s="69"/>
      <c r="J1323" s="70"/>
      <c r="K1323" s="71"/>
      <c r="L1323" s="71"/>
      <c r="M1323" s="5"/>
    </row>
    <row r="1324" spans="1:13" s="3" customFormat="1">
      <c r="A1324" s="1"/>
      <c r="B1324" s="8"/>
      <c r="C1324" s="5"/>
      <c r="D1324" s="12"/>
      <c r="E1324" s="23"/>
      <c r="F1324" s="9"/>
      <c r="G1324" s="5"/>
      <c r="H1324" s="16"/>
      <c r="I1324" s="69"/>
      <c r="J1324" s="70"/>
      <c r="K1324" s="71"/>
      <c r="L1324" s="71"/>
      <c r="M1324" s="5"/>
    </row>
    <row r="1325" spans="1:13" s="3" customFormat="1">
      <c r="A1325" s="1"/>
      <c r="B1325" s="8"/>
      <c r="C1325" s="5"/>
      <c r="D1325" s="12"/>
      <c r="E1325" s="23"/>
      <c r="F1325" s="9"/>
      <c r="G1325" s="5"/>
      <c r="H1325" s="16"/>
      <c r="I1325" s="69"/>
      <c r="J1325" s="70"/>
      <c r="K1325" s="71"/>
      <c r="L1325" s="71"/>
      <c r="M1325" s="5"/>
    </row>
    <row r="1326" spans="1:13" s="3" customFormat="1">
      <c r="A1326" s="1"/>
      <c r="B1326" s="8"/>
      <c r="C1326" s="5"/>
      <c r="D1326" s="12"/>
      <c r="E1326" s="23"/>
      <c r="F1326" s="9"/>
      <c r="G1326" s="5"/>
      <c r="H1326" s="16"/>
      <c r="I1326" s="69"/>
      <c r="J1326" s="70"/>
      <c r="K1326" s="71"/>
      <c r="L1326" s="71"/>
      <c r="M1326" s="5"/>
    </row>
    <row r="1327" spans="1:13" s="3" customFormat="1">
      <c r="A1327" s="1"/>
      <c r="B1327" s="8"/>
      <c r="C1327" s="5"/>
      <c r="D1327" s="12"/>
      <c r="E1327" s="23"/>
      <c r="F1327" s="9"/>
      <c r="G1327" s="5"/>
      <c r="H1327" s="16"/>
      <c r="I1327" s="69"/>
      <c r="J1327" s="70"/>
      <c r="K1327" s="71"/>
      <c r="L1327" s="71"/>
      <c r="M1327" s="5"/>
    </row>
    <row r="1328" spans="1:13" s="3" customFormat="1">
      <c r="A1328" s="1"/>
      <c r="B1328" s="8"/>
      <c r="C1328" s="5"/>
      <c r="D1328" s="12"/>
      <c r="E1328" s="23"/>
      <c r="F1328" s="9"/>
      <c r="G1328" s="5"/>
      <c r="H1328" s="16"/>
      <c r="I1328" s="69"/>
      <c r="J1328" s="70"/>
      <c r="K1328" s="71"/>
      <c r="L1328" s="71"/>
      <c r="M1328" s="5"/>
    </row>
    <row r="1329" spans="1:13" s="3" customFormat="1">
      <c r="A1329" s="1"/>
      <c r="B1329" s="8"/>
      <c r="C1329" s="5"/>
      <c r="D1329" s="12"/>
      <c r="E1329" s="23"/>
      <c r="F1329" s="9"/>
      <c r="G1329" s="5"/>
      <c r="H1329" s="16"/>
      <c r="I1329" s="69"/>
      <c r="J1329" s="70"/>
      <c r="K1329" s="71"/>
      <c r="L1329" s="71"/>
      <c r="M1329" s="5"/>
    </row>
    <row r="1330" spans="1:13" s="3" customFormat="1">
      <c r="A1330" s="1"/>
      <c r="B1330" s="8"/>
      <c r="C1330" s="5"/>
      <c r="D1330" s="12"/>
      <c r="E1330" s="23"/>
      <c r="F1330" s="9"/>
      <c r="G1330" s="5"/>
      <c r="H1330" s="16"/>
      <c r="I1330" s="69"/>
      <c r="J1330" s="70"/>
      <c r="K1330" s="71"/>
      <c r="L1330" s="71"/>
      <c r="M1330" s="5"/>
    </row>
    <row r="1331" spans="1:13" s="3" customFormat="1">
      <c r="A1331" s="1"/>
      <c r="B1331" s="8"/>
      <c r="C1331" s="5"/>
      <c r="D1331" s="12"/>
      <c r="E1331" s="23"/>
      <c r="F1331" s="9"/>
      <c r="G1331" s="5"/>
      <c r="H1331" s="16"/>
      <c r="I1331" s="69"/>
      <c r="J1331" s="70"/>
      <c r="K1331" s="71"/>
      <c r="L1331" s="71"/>
      <c r="M1331" s="5"/>
    </row>
    <row r="1332" spans="1:13" s="3" customFormat="1">
      <c r="A1332" s="1"/>
      <c r="B1332" s="8"/>
      <c r="C1332" s="5"/>
      <c r="D1332" s="12"/>
      <c r="E1332" s="23"/>
      <c r="F1332" s="9"/>
      <c r="G1332" s="5"/>
      <c r="H1332" s="16"/>
      <c r="I1332" s="69"/>
      <c r="J1332" s="70"/>
      <c r="K1332" s="71"/>
      <c r="L1332" s="71"/>
      <c r="M1332" s="5"/>
    </row>
    <row r="1333" spans="1:13" s="3" customFormat="1">
      <c r="A1333" s="1"/>
      <c r="B1333" s="8"/>
      <c r="C1333" s="5"/>
      <c r="D1333" s="12"/>
      <c r="E1333" s="23"/>
      <c r="F1333" s="9"/>
      <c r="G1333" s="5"/>
      <c r="H1333" s="16"/>
      <c r="I1333" s="69"/>
      <c r="J1333" s="70"/>
      <c r="K1333" s="71"/>
      <c r="L1333" s="71"/>
      <c r="M1333" s="5"/>
    </row>
    <row r="1334" spans="1:13" s="3" customFormat="1">
      <c r="A1334" s="1"/>
      <c r="B1334" s="8"/>
      <c r="C1334" s="5"/>
      <c r="D1334" s="12"/>
      <c r="E1334" s="23"/>
      <c r="F1334" s="9"/>
      <c r="G1334" s="5"/>
      <c r="H1334" s="16"/>
      <c r="I1334" s="69"/>
      <c r="J1334" s="70"/>
      <c r="K1334" s="71"/>
      <c r="L1334" s="71"/>
      <c r="M1334" s="5"/>
    </row>
    <row r="1335" spans="1:13" s="3" customFormat="1">
      <c r="A1335" s="1"/>
      <c r="B1335" s="8"/>
      <c r="C1335" s="5"/>
      <c r="D1335" s="12"/>
      <c r="E1335" s="23"/>
      <c r="F1335" s="9"/>
      <c r="G1335" s="5"/>
      <c r="H1335" s="16"/>
      <c r="I1335" s="69"/>
      <c r="J1335" s="70"/>
      <c r="K1335" s="71"/>
      <c r="L1335" s="71"/>
      <c r="M1335" s="5"/>
    </row>
    <row r="1336" spans="1:13" s="3" customFormat="1">
      <c r="A1336" s="1"/>
      <c r="B1336" s="8"/>
      <c r="C1336" s="5"/>
      <c r="D1336" s="12"/>
      <c r="E1336" s="23"/>
      <c r="F1336" s="9"/>
      <c r="G1336" s="5"/>
      <c r="H1336" s="16"/>
      <c r="I1336" s="69"/>
      <c r="J1336" s="70"/>
      <c r="K1336" s="71"/>
      <c r="L1336" s="71"/>
      <c r="M1336" s="5"/>
    </row>
    <row r="1337" spans="1:13" s="3" customFormat="1">
      <c r="A1337" s="1"/>
      <c r="B1337" s="8"/>
      <c r="C1337" s="5"/>
      <c r="D1337" s="12"/>
      <c r="E1337" s="23"/>
      <c r="F1337" s="9"/>
      <c r="G1337" s="5"/>
      <c r="H1337" s="16"/>
      <c r="I1337" s="69"/>
      <c r="J1337" s="70"/>
      <c r="K1337" s="71"/>
      <c r="L1337" s="71"/>
      <c r="M1337" s="5"/>
    </row>
    <row r="1338" spans="1:13" s="3" customFormat="1">
      <c r="A1338" s="1"/>
      <c r="B1338" s="8"/>
      <c r="C1338" s="5"/>
      <c r="D1338" s="12"/>
      <c r="E1338" s="23"/>
      <c r="F1338" s="9"/>
      <c r="G1338" s="5"/>
      <c r="H1338" s="16"/>
      <c r="I1338" s="69"/>
      <c r="J1338" s="70"/>
      <c r="K1338" s="71"/>
      <c r="L1338" s="71"/>
      <c r="M1338" s="5"/>
    </row>
    <row r="1339" spans="1:13" s="3" customFormat="1">
      <c r="A1339" s="1"/>
      <c r="B1339" s="8"/>
      <c r="C1339" s="5"/>
      <c r="D1339" s="12"/>
      <c r="E1339" s="23"/>
      <c r="F1339" s="9"/>
      <c r="G1339" s="5"/>
      <c r="H1339" s="16"/>
      <c r="I1339" s="69"/>
      <c r="J1339" s="70"/>
      <c r="K1339" s="71"/>
      <c r="L1339" s="71"/>
      <c r="M1339" s="5"/>
    </row>
    <row r="1340" spans="1:13" s="3" customFormat="1">
      <c r="A1340" s="1"/>
      <c r="B1340" s="8"/>
      <c r="C1340" s="5"/>
      <c r="D1340" s="12"/>
      <c r="E1340" s="23"/>
      <c r="F1340" s="9"/>
      <c r="G1340" s="5"/>
      <c r="H1340" s="16"/>
      <c r="I1340" s="69"/>
      <c r="J1340" s="70"/>
      <c r="K1340" s="71"/>
      <c r="L1340" s="71"/>
      <c r="M1340" s="5"/>
    </row>
    <row r="1341" spans="1:13" s="3" customFormat="1">
      <c r="A1341" s="1"/>
      <c r="B1341" s="8"/>
      <c r="C1341" s="5"/>
      <c r="D1341" s="12"/>
      <c r="E1341" s="23"/>
      <c r="F1341" s="9"/>
      <c r="G1341" s="5"/>
      <c r="H1341" s="16"/>
      <c r="I1341" s="69"/>
      <c r="J1341" s="70"/>
      <c r="K1341" s="71"/>
      <c r="L1341" s="71"/>
      <c r="M1341" s="5"/>
    </row>
    <row r="1342" spans="1:13" s="3" customFormat="1">
      <c r="A1342" s="1"/>
      <c r="B1342" s="8"/>
      <c r="C1342" s="5"/>
      <c r="D1342" s="12"/>
      <c r="E1342" s="23"/>
      <c r="F1342" s="9"/>
      <c r="G1342" s="5"/>
      <c r="H1342" s="16"/>
      <c r="I1342" s="69"/>
      <c r="J1342" s="70"/>
      <c r="K1342" s="71"/>
      <c r="L1342" s="71"/>
      <c r="M1342" s="5"/>
    </row>
    <row r="1343" spans="1:13" s="3" customFormat="1">
      <c r="A1343" s="1"/>
      <c r="B1343" s="8"/>
      <c r="C1343" s="5"/>
      <c r="D1343" s="12"/>
      <c r="E1343" s="23"/>
      <c r="F1343" s="9"/>
      <c r="G1343" s="5"/>
      <c r="H1343" s="16"/>
      <c r="I1343" s="69"/>
      <c r="J1343" s="70"/>
      <c r="K1343" s="71"/>
      <c r="L1343" s="71"/>
      <c r="M1343" s="5"/>
    </row>
    <row r="1344" spans="1:13" s="3" customFormat="1">
      <c r="A1344" s="1"/>
      <c r="B1344" s="8"/>
      <c r="C1344" s="5"/>
      <c r="D1344" s="12"/>
      <c r="E1344" s="23"/>
      <c r="F1344" s="9"/>
      <c r="G1344" s="5"/>
      <c r="H1344" s="16"/>
      <c r="I1344" s="69"/>
      <c r="J1344" s="70"/>
      <c r="K1344" s="71"/>
      <c r="L1344" s="71"/>
      <c r="M1344" s="5"/>
    </row>
    <row r="1345" spans="1:13" s="3" customFormat="1">
      <c r="A1345" s="1"/>
      <c r="B1345" s="8"/>
      <c r="C1345" s="5"/>
      <c r="D1345" s="12"/>
      <c r="E1345" s="23"/>
      <c r="F1345" s="9"/>
      <c r="G1345" s="5"/>
      <c r="H1345" s="16"/>
      <c r="I1345" s="69"/>
      <c r="J1345" s="70"/>
      <c r="K1345" s="71"/>
      <c r="L1345" s="71"/>
      <c r="M1345" s="5"/>
    </row>
    <row r="1346" spans="1:13" s="3" customFormat="1">
      <c r="A1346" s="1"/>
      <c r="B1346" s="8"/>
      <c r="C1346" s="5"/>
      <c r="D1346" s="12"/>
      <c r="E1346" s="23"/>
      <c r="F1346" s="9"/>
      <c r="G1346" s="5"/>
      <c r="H1346" s="16"/>
      <c r="I1346" s="69"/>
      <c r="J1346" s="70"/>
      <c r="K1346" s="71"/>
      <c r="L1346" s="71"/>
      <c r="M1346" s="5"/>
    </row>
    <row r="1347" spans="1:13" s="3" customFormat="1">
      <c r="A1347" s="1"/>
      <c r="B1347" s="8"/>
      <c r="C1347" s="5"/>
      <c r="D1347" s="12"/>
      <c r="E1347" s="23"/>
      <c r="F1347" s="9"/>
      <c r="G1347" s="5"/>
      <c r="H1347" s="16"/>
      <c r="I1347" s="69"/>
      <c r="J1347" s="70"/>
      <c r="K1347" s="71"/>
      <c r="L1347" s="71"/>
      <c r="M1347" s="5"/>
    </row>
    <row r="1348" spans="1:13" s="3" customFormat="1">
      <c r="A1348" s="1"/>
      <c r="B1348" s="8"/>
      <c r="C1348" s="5"/>
      <c r="D1348" s="12"/>
      <c r="E1348" s="23"/>
      <c r="F1348" s="9"/>
      <c r="G1348" s="5"/>
      <c r="H1348" s="16"/>
      <c r="I1348" s="69"/>
      <c r="J1348" s="70"/>
      <c r="K1348" s="71"/>
      <c r="L1348" s="71"/>
      <c r="M1348" s="5"/>
    </row>
    <row r="1349" spans="1:13" s="3" customFormat="1">
      <c r="A1349" s="1"/>
      <c r="B1349" s="8"/>
      <c r="C1349" s="5"/>
      <c r="D1349" s="12"/>
      <c r="E1349" s="23"/>
      <c r="F1349" s="9"/>
      <c r="G1349" s="5"/>
      <c r="H1349" s="16"/>
      <c r="I1349" s="69"/>
      <c r="J1349" s="70"/>
      <c r="K1349" s="71"/>
      <c r="L1349" s="71"/>
      <c r="M1349" s="5"/>
    </row>
    <row r="1350" spans="1:13" s="3" customFormat="1">
      <c r="A1350" s="1"/>
      <c r="B1350" s="8"/>
      <c r="C1350" s="5"/>
      <c r="D1350" s="12"/>
      <c r="E1350" s="23"/>
      <c r="F1350" s="9"/>
      <c r="G1350" s="5"/>
      <c r="H1350" s="16"/>
      <c r="I1350" s="69"/>
      <c r="J1350" s="70"/>
      <c r="K1350" s="71"/>
      <c r="L1350" s="71"/>
      <c r="M1350" s="5"/>
    </row>
    <row r="1351" spans="1:13" s="3" customFormat="1">
      <c r="A1351" s="1"/>
      <c r="B1351" s="8"/>
      <c r="C1351" s="5"/>
      <c r="D1351" s="12"/>
      <c r="E1351" s="23"/>
      <c r="F1351" s="9"/>
      <c r="G1351" s="5"/>
      <c r="H1351" s="16"/>
      <c r="I1351" s="69"/>
      <c r="J1351" s="70"/>
      <c r="K1351" s="71"/>
      <c r="L1351" s="71"/>
      <c r="M1351" s="5"/>
    </row>
    <row r="1352" spans="1:13" s="3" customFormat="1">
      <c r="A1352" s="1"/>
      <c r="B1352" s="8"/>
      <c r="C1352" s="5"/>
      <c r="D1352" s="12"/>
      <c r="E1352" s="23"/>
      <c r="F1352" s="9"/>
      <c r="G1352" s="5"/>
      <c r="H1352" s="16"/>
      <c r="I1352" s="69"/>
      <c r="J1352" s="70"/>
      <c r="K1352" s="71"/>
      <c r="L1352" s="71"/>
      <c r="M1352" s="5"/>
    </row>
    <row r="1353" spans="1:13" s="3" customFormat="1">
      <c r="A1353" s="1"/>
      <c r="B1353" s="8"/>
      <c r="C1353" s="5"/>
      <c r="D1353" s="12"/>
      <c r="E1353" s="23"/>
      <c r="F1353" s="9"/>
      <c r="G1353" s="5"/>
      <c r="H1353" s="16"/>
      <c r="I1353" s="69"/>
      <c r="J1353" s="70"/>
      <c r="K1353" s="71"/>
      <c r="L1353" s="71"/>
      <c r="M1353" s="5"/>
    </row>
    <row r="1354" spans="1:13" s="3" customFormat="1">
      <c r="A1354" s="1"/>
      <c r="B1354" s="8"/>
      <c r="C1354" s="5"/>
      <c r="D1354" s="12"/>
      <c r="E1354" s="23"/>
      <c r="F1354" s="9"/>
      <c r="G1354" s="5"/>
      <c r="H1354" s="16"/>
      <c r="I1354" s="69"/>
      <c r="J1354" s="70"/>
      <c r="K1354" s="71"/>
      <c r="L1354" s="71"/>
      <c r="M1354" s="5"/>
    </row>
    <row r="1355" spans="1:13" s="3" customFormat="1">
      <c r="A1355" s="1"/>
      <c r="B1355" s="8"/>
      <c r="C1355" s="5"/>
      <c r="D1355" s="12"/>
      <c r="E1355" s="23"/>
      <c r="F1355" s="9"/>
      <c r="G1355" s="5"/>
      <c r="H1355" s="16"/>
      <c r="I1355" s="69"/>
      <c r="J1355" s="70"/>
      <c r="K1355" s="71"/>
      <c r="L1355" s="71"/>
      <c r="M1355" s="5"/>
    </row>
    <row r="1356" spans="1:13" s="3" customFormat="1">
      <c r="A1356" s="1"/>
      <c r="B1356" s="8"/>
      <c r="C1356" s="5"/>
      <c r="D1356" s="12"/>
      <c r="E1356" s="23"/>
      <c r="F1356" s="9"/>
      <c r="G1356" s="5"/>
      <c r="H1356" s="16"/>
      <c r="I1356" s="69"/>
      <c r="J1356" s="70"/>
      <c r="K1356" s="71"/>
      <c r="L1356" s="71"/>
      <c r="M1356" s="5"/>
    </row>
    <row r="1357" spans="1:13" s="3" customFormat="1">
      <c r="A1357" s="1"/>
      <c r="B1357" s="8"/>
      <c r="C1357" s="5"/>
      <c r="D1357" s="12"/>
      <c r="E1357" s="23"/>
      <c r="F1357" s="9"/>
      <c r="G1357" s="5"/>
      <c r="H1357" s="16"/>
      <c r="I1357" s="69"/>
      <c r="J1357" s="70"/>
      <c r="K1357" s="71"/>
      <c r="L1357" s="71"/>
      <c r="M1357" s="5"/>
    </row>
    <row r="1358" spans="1:13" s="3" customFormat="1">
      <c r="A1358" s="1"/>
      <c r="B1358" s="8"/>
      <c r="C1358" s="5"/>
      <c r="D1358" s="12"/>
      <c r="E1358" s="23"/>
      <c r="F1358" s="9"/>
      <c r="G1358" s="5"/>
      <c r="H1358" s="16"/>
      <c r="I1358" s="69"/>
      <c r="J1358" s="70"/>
      <c r="K1358" s="71"/>
      <c r="L1358" s="71"/>
      <c r="M1358" s="5"/>
    </row>
    <row r="1359" spans="1:13" s="3" customFormat="1">
      <c r="A1359" s="1"/>
      <c r="B1359" s="8"/>
      <c r="C1359" s="5"/>
      <c r="D1359" s="12"/>
      <c r="E1359" s="23"/>
      <c r="F1359" s="9"/>
      <c r="G1359" s="5"/>
      <c r="H1359" s="16"/>
      <c r="I1359" s="69"/>
      <c r="J1359" s="70"/>
      <c r="K1359" s="71"/>
      <c r="L1359" s="71"/>
      <c r="M1359" s="5"/>
    </row>
    <row r="1360" spans="1:13" s="3" customFormat="1">
      <c r="A1360" s="1"/>
      <c r="B1360" s="8"/>
      <c r="C1360" s="5"/>
      <c r="D1360" s="12"/>
      <c r="E1360" s="23"/>
      <c r="F1360" s="9"/>
      <c r="G1360" s="5"/>
      <c r="H1360" s="16"/>
      <c r="I1360" s="69"/>
      <c r="J1360" s="70"/>
      <c r="K1360" s="71"/>
      <c r="L1360" s="71"/>
      <c r="M1360" s="5"/>
    </row>
    <row r="1361" spans="1:13" s="3" customFormat="1">
      <c r="A1361" s="1"/>
      <c r="B1361" s="8"/>
      <c r="C1361" s="5"/>
      <c r="D1361" s="12"/>
      <c r="E1361" s="23"/>
      <c r="F1361" s="9"/>
      <c r="G1361" s="5"/>
      <c r="H1361" s="16"/>
      <c r="I1361" s="69"/>
      <c r="J1361" s="70"/>
      <c r="K1361" s="71"/>
      <c r="L1361" s="71"/>
      <c r="M1361" s="5"/>
    </row>
    <row r="1362" spans="1:13" s="3" customFormat="1">
      <c r="A1362" s="1"/>
      <c r="B1362" s="8"/>
      <c r="C1362" s="5"/>
      <c r="D1362" s="12"/>
      <c r="E1362" s="23"/>
      <c r="F1362" s="9"/>
      <c r="G1362" s="5"/>
      <c r="H1362" s="16"/>
      <c r="I1362" s="69"/>
      <c r="J1362" s="70"/>
      <c r="K1362" s="71"/>
      <c r="L1362" s="71"/>
      <c r="M1362" s="5"/>
    </row>
    <row r="1363" spans="1:13" s="3" customFormat="1">
      <c r="A1363" s="1"/>
      <c r="B1363" s="8"/>
      <c r="C1363" s="5"/>
      <c r="D1363" s="12"/>
      <c r="E1363" s="23"/>
      <c r="F1363" s="9"/>
      <c r="G1363" s="5"/>
      <c r="H1363" s="16"/>
      <c r="I1363" s="69"/>
      <c r="J1363" s="70"/>
      <c r="K1363" s="71"/>
      <c r="L1363" s="71"/>
      <c r="M1363" s="5"/>
    </row>
    <row r="1364" spans="1:13" s="3" customFormat="1">
      <c r="A1364" s="1"/>
      <c r="B1364" s="8"/>
      <c r="C1364" s="5"/>
      <c r="D1364" s="12"/>
      <c r="E1364" s="23"/>
      <c r="F1364" s="9"/>
      <c r="G1364" s="5"/>
      <c r="H1364" s="16"/>
      <c r="I1364" s="69"/>
      <c r="J1364" s="70"/>
      <c r="K1364" s="71"/>
      <c r="L1364" s="71"/>
      <c r="M1364" s="5"/>
    </row>
    <row r="1365" spans="1:13" s="3" customFormat="1">
      <c r="A1365" s="1"/>
      <c r="B1365" s="8"/>
      <c r="C1365" s="5"/>
      <c r="D1365" s="12"/>
      <c r="E1365" s="23"/>
      <c r="F1365" s="9"/>
      <c r="G1365" s="5"/>
      <c r="H1365" s="16"/>
      <c r="I1365" s="69"/>
      <c r="J1365" s="70"/>
      <c r="K1365" s="71"/>
      <c r="L1365" s="71"/>
      <c r="M1365" s="5"/>
    </row>
    <row r="1366" spans="1:13" s="3" customFormat="1">
      <c r="A1366" s="1"/>
      <c r="B1366" s="8"/>
      <c r="C1366" s="5"/>
      <c r="D1366" s="12"/>
      <c r="E1366" s="23"/>
      <c r="F1366" s="9"/>
      <c r="G1366" s="5"/>
      <c r="H1366" s="16"/>
      <c r="I1366" s="69"/>
      <c r="J1366" s="70"/>
      <c r="K1366" s="71"/>
      <c r="L1366" s="71"/>
      <c r="M1366" s="5"/>
    </row>
    <row r="1367" spans="1:13" s="3" customFormat="1">
      <c r="A1367" s="1"/>
      <c r="B1367" s="8"/>
      <c r="C1367" s="5"/>
      <c r="D1367" s="12"/>
      <c r="E1367" s="23"/>
      <c r="F1367" s="9"/>
      <c r="G1367" s="5"/>
      <c r="H1367" s="16"/>
      <c r="I1367" s="69"/>
      <c r="J1367" s="70"/>
      <c r="K1367" s="71"/>
      <c r="L1367" s="71"/>
      <c r="M1367" s="5"/>
    </row>
    <row r="1368" spans="1:13" s="3" customFormat="1">
      <c r="A1368" s="1"/>
      <c r="B1368" s="8"/>
      <c r="C1368" s="5"/>
      <c r="D1368" s="12"/>
      <c r="E1368" s="23"/>
      <c r="F1368" s="9"/>
      <c r="G1368" s="5"/>
      <c r="H1368" s="16"/>
      <c r="I1368" s="69"/>
      <c r="J1368" s="70"/>
      <c r="K1368" s="71"/>
      <c r="L1368" s="71"/>
      <c r="M1368" s="5"/>
    </row>
    <row r="1369" spans="1:13" s="3" customFormat="1">
      <c r="A1369" s="1"/>
      <c r="B1369" s="8"/>
      <c r="C1369" s="5"/>
      <c r="D1369" s="12"/>
      <c r="E1369" s="23"/>
      <c r="F1369" s="9"/>
      <c r="G1369" s="5"/>
      <c r="H1369" s="16"/>
      <c r="I1369" s="69"/>
      <c r="J1369" s="70"/>
      <c r="K1369" s="71"/>
      <c r="L1369" s="71"/>
      <c r="M1369" s="5"/>
    </row>
    <row r="1370" spans="1:13" s="3" customFormat="1">
      <c r="A1370" s="1"/>
      <c r="B1370" s="8"/>
      <c r="C1370" s="5"/>
      <c r="D1370" s="12"/>
      <c r="E1370" s="23"/>
      <c r="F1370" s="9"/>
      <c r="G1370" s="5"/>
      <c r="H1370" s="16"/>
      <c r="I1370" s="69"/>
      <c r="J1370" s="70"/>
      <c r="K1370" s="71"/>
      <c r="L1370" s="71"/>
      <c r="M1370" s="5"/>
    </row>
    <row r="1371" spans="1:13" s="3" customFormat="1">
      <c r="A1371" s="1"/>
      <c r="B1371" s="8"/>
      <c r="C1371" s="5"/>
      <c r="D1371" s="12"/>
      <c r="E1371" s="23"/>
      <c r="F1371" s="9"/>
      <c r="G1371" s="5"/>
      <c r="H1371" s="16"/>
      <c r="I1371" s="69"/>
      <c r="J1371" s="70"/>
      <c r="K1371" s="71"/>
      <c r="L1371" s="71"/>
      <c r="M1371" s="5"/>
    </row>
    <row r="1372" spans="1:13" s="3" customFormat="1">
      <c r="A1372" s="1"/>
      <c r="B1372" s="8"/>
      <c r="C1372" s="5"/>
      <c r="D1372" s="12"/>
      <c r="E1372" s="23"/>
      <c r="F1372" s="9"/>
      <c r="G1372" s="5"/>
      <c r="H1372" s="16"/>
      <c r="I1372" s="69"/>
      <c r="J1372" s="70"/>
      <c r="K1372" s="71"/>
      <c r="L1372" s="71"/>
      <c r="M1372" s="5"/>
    </row>
    <row r="1373" spans="1:13" s="3" customFormat="1">
      <c r="A1373" s="1"/>
      <c r="B1373" s="8"/>
      <c r="C1373" s="5"/>
      <c r="D1373" s="12"/>
      <c r="E1373" s="23"/>
      <c r="F1373" s="9"/>
      <c r="G1373" s="5"/>
      <c r="H1373" s="16"/>
      <c r="I1373" s="69"/>
      <c r="J1373" s="70"/>
      <c r="K1373" s="71"/>
      <c r="L1373" s="71"/>
      <c r="M1373" s="5"/>
    </row>
    <row r="1374" spans="1:13" s="3" customFormat="1">
      <c r="A1374" s="1"/>
      <c r="B1374" s="8"/>
      <c r="C1374" s="5"/>
      <c r="D1374" s="12"/>
      <c r="E1374" s="23"/>
      <c r="F1374" s="9"/>
      <c r="G1374" s="5"/>
      <c r="H1374" s="16"/>
      <c r="I1374" s="69"/>
      <c r="J1374" s="70"/>
      <c r="K1374" s="71"/>
      <c r="L1374" s="71"/>
      <c r="M1374" s="5"/>
    </row>
    <row r="1375" spans="1:13" s="3" customFormat="1">
      <c r="A1375" s="1"/>
      <c r="B1375" s="8"/>
      <c r="C1375" s="5"/>
      <c r="D1375" s="12"/>
      <c r="E1375" s="23"/>
      <c r="F1375" s="9"/>
      <c r="G1375" s="5"/>
      <c r="H1375" s="16"/>
      <c r="I1375" s="69"/>
      <c r="J1375" s="70"/>
      <c r="K1375" s="71"/>
      <c r="L1375" s="71"/>
      <c r="M1375" s="5"/>
    </row>
    <row r="1376" spans="1:13" s="3" customFormat="1">
      <c r="A1376" s="1"/>
      <c r="B1376" s="8"/>
      <c r="C1376" s="5"/>
      <c r="D1376" s="12"/>
      <c r="E1376" s="23"/>
      <c r="F1376" s="9"/>
      <c r="G1376" s="5"/>
      <c r="H1376" s="16"/>
      <c r="I1376" s="69"/>
      <c r="J1376" s="70"/>
      <c r="K1376" s="71"/>
      <c r="L1376" s="71"/>
      <c r="M1376" s="5"/>
    </row>
    <row r="1377" spans="1:13" s="3" customFormat="1">
      <c r="A1377" s="1"/>
      <c r="B1377" s="8"/>
      <c r="C1377" s="5"/>
      <c r="D1377" s="12"/>
      <c r="E1377" s="23"/>
      <c r="F1377" s="9"/>
      <c r="G1377" s="5"/>
      <c r="H1377" s="16"/>
      <c r="I1377" s="69"/>
      <c r="J1377" s="70"/>
      <c r="K1377" s="71"/>
      <c r="L1377" s="71"/>
      <c r="M1377" s="5"/>
    </row>
    <row r="1378" spans="1:13" s="3" customFormat="1">
      <c r="A1378" s="1"/>
      <c r="B1378" s="8"/>
      <c r="C1378" s="5"/>
      <c r="D1378" s="12"/>
      <c r="E1378" s="23"/>
      <c r="F1378" s="9"/>
      <c r="G1378" s="5"/>
      <c r="H1378" s="16"/>
      <c r="I1378" s="69"/>
      <c r="J1378" s="70"/>
      <c r="K1378" s="71"/>
      <c r="L1378" s="71"/>
      <c r="M1378" s="5"/>
    </row>
    <row r="1379" spans="1:13" s="3" customFormat="1">
      <c r="A1379" s="1"/>
      <c r="B1379" s="8"/>
      <c r="C1379" s="5"/>
      <c r="D1379" s="12"/>
      <c r="E1379" s="23"/>
      <c r="F1379" s="9"/>
      <c r="G1379" s="5"/>
      <c r="H1379" s="16"/>
      <c r="I1379" s="69"/>
      <c r="J1379" s="70"/>
      <c r="K1379" s="71"/>
      <c r="L1379" s="71"/>
      <c r="M1379" s="5"/>
    </row>
    <row r="1380" spans="1:13" s="3" customFormat="1">
      <c r="A1380" s="1"/>
      <c r="B1380" s="8"/>
      <c r="C1380" s="5"/>
      <c r="D1380" s="12"/>
      <c r="E1380" s="23"/>
      <c r="F1380" s="9"/>
      <c r="G1380" s="5"/>
      <c r="H1380" s="16"/>
      <c r="I1380" s="69"/>
      <c r="J1380" s="70"/>
      <c r="K1380" s="71"/>
      <c r="L1380" s="71"/>
      <c r="M1380" s="5"/>
    </row>
    <row r="1381" spans="1:13" s="3" customFormat="1">
      <c r="A1381" s="1"/>
      <c r="B1381" s="8"/>
      <c r="C1381" s="5"/>
      <c r="D1381" s="12"/>
      <c r="E1381" s="23"/>
      <c r="F1381" s="9"/>
      <c r="G1381" s="5"/>
      <c r="H1381" s="16"/>
      <c r="I1381" s="69"/>
      <c r="J1381" s="70"/>
      <c r="K1381" s="71"/>
      <c r="L1381" s="71"/>
      <c r="M1381" s="5"/>
    </row>
    <row r="1382" spans="1:13" s="3" customFormat="1">
      <c r="A1382" s="1"/>
      <c r="B1382" s="8"/>
      <c r="C1382" s="5"/>
      <c r="D1382" s="12"/>
      <c r="E1382" s="23"/>
      <c r="F1382" s="9"/>
      <c r="G1382" s="5"/>
      <c r="H1382" s="16"/>
      <c r="I1382" s="69"/>
      <c r="J1382" s="70"/>
      <c r="K1382" s="71"/>
      <c r="L1382" s="71"/>
      <c r="M1382" s="5"/>
    </row>
    <row r="1383" spans="1:13" s="3" customFormat="1">
      <c r="A1383" s="1"/>
      <c r="B1383" s="8"/>
      <c r="C1383" s="5"/>
      <c r="D1383" s="12"/>
      <c r="E1383" s="23"/>
      <c r="F1383" s="9"/>
      <c r="G1383" s="5"/>
      <c r="H1383" s="16"/>
      <c r="I1383" s="69"/>
      <c r="J1383" s="70"/>
      <c r="K1383" s="71"/>
      <c r="L1383" s="71"/>
      <c r="M1383" s="5"/>
    </row>
    <row r="1384" spans="1:13" s="3" customFormat="1">
      <c r="A1384" s="1"/>
      <c r="B1384" s="8"/>
      <c r="C1384" s="5"/>
      <c r="D1384" s="12"/>
      <c r="E1384" s="23"/>
      <c r="F1384" s="9"/>
      <c r="G1384" s="5"/>
      <c r="H1384" s="16"/>
      <c r="I1384" s="69"/>
      <c r="J1384" s="70"/>
      <c r="K1384" s="71"/>
      <c r="L1384" s="71"/>
      <c r="M1384" s="5"/>
    </row>
    <row r="1385" spans="1:13" s="3" customFormat="1">
      <c r="A1385" s="1"/>
      <c r="B1385" s="8"/>
      <c r="C1385" s="5"/>
      <c r="D1385" s="12"/>
      <c r="E1385" s="23"/>
      <c r="F1385" s="9"/>
      <c r="G1385" s="5"/>
      <c r="H1385" s="16"/>
      <c r="I1385" s="69"/>
      <c r="J1385" s="70"/>
      <c r="K1385" s="71"/>
      <c r="L1385" s="71"/>
      <c r="M1385" s="5"/>
    </row>
    <row r="1386" spans="1:13" s="3" customFormat="1">
      <c r="A1386" s="1"/>
      <c r="B1386" s="8"/>
      <c r="C1386" s="5"/>
      <c r="D1386" s="12"/>
      <c r="E1386" s="23"/>
      <c r="F1386" s="9"/>
      <c r="G1386" s="5"/>
      <c r="H1386" s="16"/>
      <c r="I1386" s="69"/>
      <c r="J1386" s="70"/>
      <c r="K1386" s="71"/>
      <c r="L1386" s="71"/>
      <c r="M1386" s="5"/>
    </row>
    <row r="1387" spans="1:13" s="3" customFormat="1">
      <c r="A1387" s="1"/>
      <c r="B1387" s="8"/>
      <c r="C1387" s="5"/>
      <c r="D1387" s="12"/>
      <c r="E1387" s="23"/>
      <c r="F1387" s="9"/>
      <c r="G1387" s="5"/>
      <c r="H1387" s="16"/>
      <c r="I1387" s="69"/>
      <c r="J1387" s="70"/>
      <c r="K1387" s="71"/>
      <c r="L1387" s="71"/>
      <c r="M1387" s="5"/>
    </row>
    <row r="1388" spans="1:13" s="3" customFormat="1">
      <c r="A1388" s="1"/>
      <c r="B1388" s="8"/>
      <c r="C1388" s="5"/>
      <c r="D1388" s="12"/>
      <c r="E1388" s="23"/>
      <c r="F1388" s="9"/>
      <c r="G1388" s="5"/>
      <c r="H1388" s="16"/>
      <c r="I1388" s="69"/>
      <c r="J1388" s="70"/>
      <c r="K1388" s="71"/>
      <c r="L1388" s="71"/>
      <c r="M1388" s="5"/>
    </row>
    <row r="1389" spans="1:13" s="3" customFormat="1">
      <c r="A1389" s="1"/>
      <c r="B1389" s="8"/>
      <c r="C1389" s="5"/>
      <c r="D1389" s="12"/>
      <c r="E1389" s="23"/>
      <c r="F1389" s="9"/>
      <c r="G1389" s="5"/>
      <c r="H1389" s="16"/>
      <c r="I1389" s="69"/>
      <c r="J1389" s="70"/>
      <c r="K1389" s="71"/>
      <c r="L1389" s="71"/>
      <c r="M1389" s="5"/>
    </row>
    <row r="1390" spans="1:13" s="3" customFormat="1">
      <c r="A1390" s="1"/>
      <c r="B1390" s="8"/>
      <c r="C1390" s="5"/>
      <c r="D1390" s="12"/>
      <c r="E1390" s="23"/>
      <c r="F1390" s="9"/>
      <c r="G1390" s="5"/>
      <c r="H1390" s="16"/>
      <c r="I1390" s="69"/>
      <c r="J1390" s="70"/>
      <c r="K1390" s="71"/>
      <c r="L1390" s="71"/>
      <c r="M1390" s="5"/>
    </row>
    <row r="1391" spans="1:13" s="3" customFormat="1">
      <c r="A1391" s="1"/>
      <c r="B1391" s="8"/>
      <c r="C1391" s="5"/>
      <c r="D1391" s="12"/>
      <c r="E1391" s="23"/>
      <c r="F1391" s="9"/>
      <c r="G1391" s="5"/>
      <c r="H1391" s="16"/>
      <c r="I1391" s="69"/>
      <c r="J1391" s="70"/>
      <c r="K1391" s="71"/>
      <c r="L1391" s="71"/>
      <c r="M1391" s="5"/>
    </row>
    <row r="1392" spans="1:13" s="3" customFormat="1">
      <c r="A1392" s="1"/>
      <c r="B1392" s="8"/>
      <c r="C1392" s="5"/>
      <c r="D1392" s="12"/>
      <c r="E1392" s="23"/>
      <c r="F1392" s="9"/>
      <c r="G1392" s="5"/>
      <c r="H1392" s="16"/>
      <c r="I1392" s="69"/>
      <c r="J1392" s="70"/>
      <c r="K1392" s="71"/>
      <c r="L1392" s="71"/>
      <c r="M1392" s="5"/>
    </row>
    <row r="1393" spans="1:13" s="3" customFormat="1">
      <c r="A1393" s="1"/>
      <c r="B1393" s="8"/>
      <c r="C1393" s="5"/>
      <c r="D1393" s="12"/>
      <c r="E1393" s="23"/>
      <c r="F1393" s="9"/>
      <c r="G1393" s="5"/>
      <c r="H1393" s="16"/>
      <c r="I1393" s="69"/>
      <c r="J1393" s="70"/>
      <c r="K1393" s="71"/>
      <c r="L1393" s="71"/>
      <c r="M1393" s="5"/>
    </row>
    <row r="1394" spans="1:13" s="3" customFormat="1">
      <c r="A1394" s="1"/>
      <c r="B1394" s="8"/>
      <c r="C1394" s="5"/>
      <c r="D1394" s="12"/>
      <c r="E1394" s="23"/>
      <c r="F1394" s="9"/>
      <c r="G1394" s="5"/>
      <c r="H1394" s="16"/>
      <c r="I1394" s="69"/>
      <c r="J1394" s="70"/>
      <c r="K1394" s="71"/>
      <c r="L1394" s="71"/>
      <c r="M1394" s="5"/>
    </row>
    <row r="1395" spans="1:13" s="3" customFormat="1">
      <c r="A1395" s="1"/>
      <c r="B1395" s="8"/>
      <c r="C1395" s="5"/>
      <c r="D1395" s="12"/>
      <c r="E1395" s="23"/>
      <c r="F1395" s="9"/>
      <c r="G1395" s="5"/>
      <c r="H1395" s="16"/>
      <c r="I1395" s="69"/>
      <c r="J1395" s="70"/>
      <c r="K1395" s="71"/>
      <c r="L1395" s="71"/>
      <c r="M1395" s="5"/>
    </row>
    <row r="1396" spans="1:13" s="3" customFormat="1">
      <c r="A1396" s="1"/>
      <c r="B1396" s="8"/>
      <c r="C1396" s="5"/>
      <c r="D1396" s="12"/>
      <c r="E1396" s="23"/>
      <c r="F1396" s="9"/>
      <c r="G1396" s="5"/>
      <c r="H1396" s="16"/>
      <c r="I1396" s="69"/>
      <c r="J1396" s="70"/>
      <c r="K1396" s="71"/>
      <c r="L1396" s="71"/>
      <c r="M1396" s="5"/>
    </row>
    <row r="1397" spans="1:13" s="3" customFormat="1">
      <c r="A1397" s="1"/>
      <c r="B1397" s="8"/>
      <c r="C1397" s="5"/>
      <c r="D1397" s="12"/>
      <c r="E1397" s="23"/>
      <c r="F1397" s="9"/>
      <c r="G1397" s="5"/>
      <c r="H1397" s="16"/>
      <c r="I1397" s="69"/>
      <c r="J1397" s="70"/>
      <c r="K1397" s="71"/>
      <c r="L1397" s="71"/>
      <c r="M1397" s="5"/>
    </row>
    <row r="1398" spans="1:13" s="3" customFormat="1">
      <c r="A1398" s="1"/>
      <c r="B1398" s="8"/>
      <c r="C1398" s="5"/>
      <c r="D1398" s="12"/>
      <c r="E1398" s="23"/>
      <c r="F1398" s="9"/>
      <c r="G1398" s="5"/>
      <c r="H1398" s="16"/>
      <c r="I1398" s="69"/>
      <c r="J1398" s="70"/>
      <c r="K1398" s="71"/>
      <c r="L1398" s="71"/>
      <c r="M1398" s="5"/>
    </row>
    <row r="1399" spans="1:13" s="3" customFormat="1">
      <c r="A1399" s="1"/>
      <c r="B1399" s="8"/>
      <c r="C1399" s="5"/>
      <c r="D1399" s="12"/>
      <c r="E1399" s="23"/>
      <c r="F1399" s="9"/>
      <c r="G1399" s="5"/>
      <c r="H1399" s="16"/>
      <c r="I1399" s="69"/>
      <c r="J1399" s="70"/>
      <c r="K1399" s="71"/>
      <c r="L1399" s="71"/>
      <c r="M1399" s="5"/>
    </row>
    <row r="1400" spans="1:13" s="3" customFormat="1">
      <c r="A1400" s="1"/>
      <c r="B1400" s="8"/>
      <c r="C1400" s="5"/>
      <c r="D1400" s="12"/>
      <c r="E1400" s="23"/>
      <c r="F1400" s="9"/>
      <c r="G1400" s="5"/>
      <c r="H1400" s="16"/>
      <c r="I1400" s="69"/>
      <c r="J1400" s="70"/>
      <c r="K1400" s="71"/>
      <c r="L1400" s="71"/>
      <c r="M1400" s="5"/>
    </row>
    <row r="1401" spans="1:13" s="3" customFormat="1">
      <c r="A1401" s="1"/>
      <c r="B1401" s="8"/>
      <c r="C1401" s="5"/>
      <c r="D1401" s="12"/>
      <c r="E1401" s="23"/>
      <c r="F1401" s="9"/>
      <c r="G1401" s="5"/>
      <c r="H1401" s="16"/>
      <c r="I1401" s="69"/>
      <c r="J1401" s="70"/>
      <c r="K1401" s="71"/>
      <c r="L1401" s="71"/>
      <c r="M1401" s="5"/>
    </row>
    <row r="1402" spans="1:13" s="3" customFormat="1">
      <c r="A1402" s="1"/>
      <c r="B1402" s="8"/>
      <c r="C1402" s="5"/>
      <c r="D1402" s="12"/>
      <c r="E1402" s="23"/>
      <c r="F1402" s="9"/>
      <c r="G1402" s="5"/>
      <c r="H1402" s="16"/>
      <c r="I1402" s="69"/>
      <c r="J1402" s="70"/>
      <c r="K1402" s="71"/>
      <c r="L1402" s="71"/>
      <c r="M1402" s="5"/>
    </row>
    <row r="1403" spans="1:13" s="3" customFormat="1">
      <c r="A1403" s="1"/>
      <c r="B1403" s="8"/>
      <c r="C1403" s="5"/>
      <c r="D1403" s="12"/>
      <c r="E1403" s="23"/>
      <c r="F1403" s="9"/>
      <c r="G1403" s="5"/>
      <c r="H1403" s="16"/>
      <c r="I1403" s="69"/>
      <c r="J1403" s="70"/>
      <c r="K1403" s="71"/>
      <c r="L1403" s="71"/>
      <c r="M1403" s="5"/>
    </row>
    <row r="1404" spans="1:13" s="3" customFormat="1">
      <c r="A1404" s="1"/>
      <c r="B1404" s="8"/>
      <c r="C1404" s="5"/>
      <c r="D1404" s="12"/>
      <c r="E1404" s="23"/>
      <c r="F1404" s="9"/>
      <c r="G1404" s="5"/>
      <c r="H1404" s="16"/>
      <c r="I1404" s="69"/>
      <c r="J1404" s="70"/>
      <c r="K1404" s="71"/>
      <c r="L1404" s="71"/>
      <c r="M1404" s="5"/>
    </row>
    <row r="1405" spans="1:13" s="3" customFormat="1">
      <c r="A1405" s="1"/>
      <c r="B1405" s="8"/>
      <c r="C1405" s="5"/>
      <c r="D1405" s="12"/>
      <c r="E1405" s="23"/>
      <c r="F1405" s="9"/>
      <c r="G1405" s="5"/>
      <c r="H1405" s="16"/>
      <c r="I1405" s="69"/>
      <c r="J1405" s="70"/>
      <c r="K1405" s="71"/>
      <c r="L1405" s="71"/>
      <c r="M1405" s="5"/>
    </row>
    <row r="1406" spans="1:13" s="3" customFormat="1">
      <c r="A1406" s="1"/>
      <c r="B1406" s="8"/>
      <c r="C1406" s="5"/>
      <c r="D1406" s="12"/>
      <c r="E1406" s="23"/>
      <c r="F1406" s="9"/>
      <c r="G1406" s="5"/>
      <c r="H1406" s="16"/>
      <c r="I1406" s="69"/>
      <c r="J1406" s="70"/>
      <c r="K1406" s="71"/>
      <c r="L1406" s="71"/>
      <c r="M1406" s="5"/>
    </row>
    <row r="1407" spans="1:13" s="3" customFormat="1">
      <c r="A1407" s="1"/>
      <c r="B1407" s="8"/>
      <c r="C1407" s="5"/>
      <c r="D1407" s="12"/>
      <c r="E1407" s="23"/>
      <c r="F1407" s="9"/>
      <c r="G1407" s="5"/>
      <c r="H1407" s="16"/>
      <c r="I1407" s="69"/>
      <c r="J1407" s="70"/>
      <c r="K1407" s="71"/>
      <c r="L1407" s="71"/>
      <c r="M1407" s="5"/>
    </row>
    <row r="1408" spans="1:13" s="3" customFormat="1">
      <c r="A1408" s="1"/>
      <c r="B1408" s="8"/>
      <c r="C1408" s="5"/>
      <c r="D1408" s="12"/>
      <c r="E1408" s="23"/>
      <c r="F1408" s="9"/>
      <c r="G1408" s="5"/>
      <c r="H1408" s="16"/>
      <c r="I1408" s="69"/>
      <c r="J1408" s="70"/>
      <c r="K1408" s="71"/>
      <c r="L1408" s="71"/>
      <c r="M1408" s="5"/>
    </row>
    <row r="1409" spans="1:13" s="3" customFormat="1">
      <c r="A1409" s="1"/>
      <c r="B1409" s="8"/>
      <c r="C1409" s="5"/>
      <c r="D1409" s="12"/>
      <c r="E1409" s="23"/>
      <c r="F1409" s="9"/>
      <c r="G1409" s="5"/>
      <c r="H1409" s="16"/>
      <c r="I1409" s="69"/>
      <c r="J1409" s="70"/>
      <c r="K1409" s="71"/>
      <c r="L1409" s="71"/>
      <c r="M1409" s="5"/>
    </row>
    <row r="1410" spans="1:13" s="3" customFormat="1">
      <c r="A1410" s="1"/>
      <c r="B1410" s="8"/>
      <c r="C1410" s="5"/>
      <c r="D1410" s="12"/>
      <c r="E1410" s="23"/>
      <c r="F1410" s="9"/>
      <c r="G1410" s="5"/>
      <c r="H1410" s="16"/>
      <c r="I1410" s="69"/>
      <c r="J1410" s="70"/>
      <c r="K1410" s="71"/>
      <c r="L1410" s="71"/>
      <c r="M1410" s="5"/>
    </row>
    <row r="1411" spans="1:13" s="3" customFormat="1">
      <c r="A1411" s="1"/>
      <c r="B1411" s="8"/>
      <c r="C1411" s="5"/>
      <c r="D1411" s="12"/>
      <c r="E1411" s="23"/>
      <c r="F1411" s="9"/>
      <c r="G1411" s="5"/>
      <c r="H1411" s="16"/>
      <c r="I1411" s="69"/>
      <c r="J1411" s="70"/>
      <c r="K1411" s="71"/>
      <c r="L1411" s="71"/>
      <c r="M1411" s="5"/>
    </row>
    <row r="1412" spans="1:13" s="3" customFormat="1">
      <c r="A1412" s="1"/>
      <c r="B1412" s="8"/>
      <c r="C1412" s="5"/>
      <c r="D1412" s="12"/>
      <c r="E1412" s="23"/>
      <c r="F1412" s="9"/>
      <c r="G1412" s="5"/>
      <c r="H1412" s="16"/>
      <c r="I1412" s="69"/>
      <c r="J1412" s="70"/>
      <c r="K1412" s="71"/>
      <c r="L1412" s="71"/>
      <c r="M1412" s="5"/>
    </row>
    <row r="1413" spans="1:13" s="3" customFormat="1">
      <c r="A1413" s="1"/>
      <c r="B1413" s="8"/>
      <c r="C1413" s="5"/>
      <c r="D1413" s="12"/>
      <c r="E1413" s="23"/>
      <c r="F1413" s="9"/>
      <c r="G1413" s="5"/>
      <c r="H1413" s="16"/>
      <c r="I1413" s="69"/>
      <c r="J1413" s="70"/>
      <c r="K1413" s="71"/>
      <c r="L1413" s="71"/>
      <c r="M1413" s="5"/>
    </row>
    <row r="1414" spans="1:13" s="3" customFormat="1">
      <c r="A1414" s="1"/>
      <c r="B1414" s="8"/>
      <c r="C1414" s="5"/>
      <c r="D1414" s="12"/>
      <c r="E1414" s="23"/>
      <c r="F1414" s="9"/>
      <c r="G1414" s="5"/>
      <c r="H1414" s="16"/>
      <c r="I1414" s="69"/>
      <c r="J1414" s="70"/>
      <c r="K1414" s="71"/>
      <c r="L1414" s="71"/>
      <c r="M1414" s="5"/>
    </row>
    <row r="1415" spans="1:13" s="3" customFormat="1">
      <c r="A1415" s="1"/>
      <c r="B1415" s="8"/>
      <c r="C1415" s="5"/>
      <c r="D1415" s="12"/>
      <c r="E1415" s="23"/>
      <c r="F1415" s="9"/>
      <c r="G1415" s="5"/>
      <c r="H1415" s="16"/>
      <c r="I1415" s="69"/>
      <c r="J1415" s="70"/>
      <c r="K1415" s="71"/>
      <c r="L1415" s="71"/>
      <c r="M1415" s="5"/>
    </row>
    <row r="1416" spans="1:13" s="3" customFormat="1">
      <c r="A1416" s="1"/>
      <c r="B1416" s="8"/>
      <c r="C1416" s="5"/>
      <c r="D1416" s="12"/>
      <c r="E1416" s="23"/>
      <c r="F1416" s="9"/>
      <c r="G1416" s="5"/>
      <c r="H1416" s="16"/>
      <c r="I1416" s="69"/>
      <c r="J1416" s="70"/>
      <c r="K1416" s="71"/>
      <c r="L1416" s="71"/>
      <c r="M1416" s="5"/>
    </row>
    <row r="1417" spans="1:13" s="3" customFormat="1">
      <c r="A1417" s="1"/>
      <c r="B1417" s="8"/>
      <c r="C1417" s="5"/>
      <c r="D1417" s="12"/>
      <c r="E1417" s="23"/>
      <c r="F1417" s="9"/>
      <c r="G1417" s="5"/>
      <c r="H1417" s="16"/>
      <c r="I1417" s="69"/>
      <c r="J1417" s="70"/>
      <c r="K1417" s="71"/>
      <c r="L1417" s="71"/>
      <c r="M1417" s="5"/>
    </row>
    <row r="1418" spans="1:13" s="3" customFormat="1">
      <c r="A1418" s="1"/>
      <c r="B1418" s="8"/>
      <c r="C1418" s="5"/>
      <c r="D1418" s="12"/>
      <c r="E1418" s="23"/>
      <c r="F1418" s="9"/>
      <c r="G1418" s="5"/>
      <c r="H1418" s="16"/>
      <c r="I1418" s="69"/>
      <c r="J1418" s="70"/>
      <c r="K1418" s="71"/>
      <c r="L1418" s="71"/>
      <c r="M1418" s="5"/>
    </row>
    <row r="1419" spans="1:13" s="3" customFormat="1">
      <c r="A1419" s="1"/>
      <c r="B1419" s="8"/>
      <c r="C1419" s="5"/>
      <c r="D1419" s="12"/>
      <c r="E1419" s="23"/>
      <c r="F1419" s="9"/>
      <c r="G1419" s="5"/>
      <c r="H1419" s="16"/>
      <c r="I1419" s="69"/>
      <c r="J1419" s="70"/>
      <c r="K1419" s="71"/>
      <c r="L1419" s="71"/>
      <c r="M1419" s="5"/>
    </row>
    <row r="1420" spans="1:13" s="3" customFormat="1">
      <c r="A1420" s="1"/>
      <c r="B1420" s="8"/>
      <c r="C1420" s="5"/>
      <c r="D1420" s="12"/>
      <c r="E1420" s="23"/>
      <c r="F1420" s="9"/>
      <c r="G1420" s="5"/>
      <c r="H1420" s="16"/>
      <c r="I1420" s="69"/>
      <c r="J1420" s="70"/>
      <c r="K1420" s="71"/>
      <c r="L1420" s="71"/>
      <c r="M1420" s="5"/>
    </row>
    <row r="1421" spans="1:13" s="3" customFormat="1">
      <c r="A1421" s="1"/>
      <c r="B1421" s="8"/>
      <c r="C1421" s="5"/>
      <c r="D1421" s="12"/>
      <c r="E1421" s="23"/>
      <c r="F1421" s="9"/>
      <c r="G1421" s="5"/>
      <c r="H1421" s="16"/>
      <c r="I1421" s="69"/>
      <c r="J1421" s="70"/>
      <c r="K1421" s="71"/>
      <c r="L1421" s="71"/>
      <c r="M1421" s="5"/>
    </row>
    <row r="1422" spans="1:13" s="3" customFormat="1">
      <c r="A1422" s="1"/>
      <c r="B1422" s="8"/>
      <c r="C1422" s="5"/>
      <c r="D1422" s="12"/>
      <c r="E1422" s="23"/>
      <c r="F1422" s="9"/>
      <c r="G1422" s="5"/>
      <c r="H1422" s="16"/>
      <c r="I1422" s="69"/>
      <c r="J1422" s="70"/>
      <c r="K1422" s="71"/>
      <c r="L1422" s="71"/>
      <c r="M1422" s="5"/>
    </row>
    <row r="1423" spans="1:13" s="3" customFormat="1">
      <c r="A1423" s="1"/>
      <c r="B1423" s="8"/>
      <c r="C1423" s="5"/>
      <c r="D1423" s="12"/>
      <c r="E1423" s="23"/>
      <c r="F1423" s="9"/>
      <c r="G1423" s="5"/>
      <c r="H1423" s="16"/>
      <c r="I1423" s="69"/>
      <c r="J1423" s="70"/>
      <c r="K1423" s="71"/>
      <c r="L1423" s="71"/>
      <c r="M1423" s="5"/>
    </row>
    <row r="1424" spans="1:13" s="3" customFormat="1">
      <c r="A1424" s="1"/>
      <c r="B1424" s="8"/>
      <c r="C1424" s="5"/>
      <c r="D1424" s="12"/>
      <c r="E1424" s="23"/>
      <c r="F1424" s="9"/>
      <c r="G1424" s="5"/>
      <c r="H1424" s="16"/>
      <c r="I1424" s="69"/>
      <c r="J1424" s="70"/>
      <c r="K1424" s="71"/>
      <c r="L1424" s="71"/>
      <c r="M1424" s="5"/>
    </row>
    <row r="1425" spans="1:13" s="3" customFormat="1">
      <c r="A1425" s="1"/>
      <c r="B1425" s="8"/>
      <c r="C1425" s="5"/>
      <c r="D1425" s="12"/>
      <c r="E1425" s="23"/>
      <c r="F1425" s="9"/>
      <c r="G1425" s="5"/>
      <c r="H1425" s="16"/>
      <c r="I1425" s="69"/>
      <c r="J1425" s="70"/>
      <c r="K1425" s="71"/>
      <c r="L1425" s="71"/>
      <c r="M1425" s="5"/>
    </row>
    <row r="1426" spans="1:13" s="3" customFormat="1">
      <c r="A1426" s="1"/>
      <c r="B1426" s="8"/>
      <c r="C1426" s="5"/>
      <c r="D1426" s="12"/>
      <c r="E1426" s="23"/>
      <c r="F1426" s="9"/>
      <c r="G1426" s="5"/>
      <c r="H1426" s="16"/>
      <c r="I1426" s="69"/>
      <c r="J1426" s="70"/>
      <c r="K1426" s="71"/>
      <c r="L1426" s="71"/>
      <c r="M1426" s="5"/>
    </row>
    <row r="1427" spans="1:13" s="3" customFormat="1">
      <c r="A1427" s="1"/>
      <c r="B1427" s="8"/>
      <c r="C1427" s="5"/>
      <c r="D1427" s="12"/>
      <c r="E1427" s="23"/>
      <c r="F1427" s="9"/>
      <c r="G1427" s="5"/>
      <c r="H1427" s="16"/>
      <c r="I1427" s="69"/>
      <c r="J1427" s="70"/>
      <c r="K1427" s="71"/>
      <c r="L1427" s="71"/>
      <c r="M1427" s="5"/>
    </row>
    <row r="1428" spans="1:13" s="3" customFormat="1">
      <c r="A1428" s="1"/>
      <c r="B1428" s="8"/>
      <c r="C1428" s="5"/>
      <c r="D1428" s="12"/>
      <c r="E1428" s="23"/>
      <c r="F1428" s="9"/>
      <c r="G1428" s="5"/>
      <c r="H1428" s="16"/>
      <c r="I1428" s="69"/>
      <c r="J1428" s="70"/>
      <c r="K1428" s="71"/>
      <c r="L1428" s="71"/>
      <c r="M1428" s="5"/>
    </row>
    <row r="1429" spans="1:13" s="3" customFormat="1">
      <c r="A1429" s="1"/>
      <c r="B1429" s="8"/>
      <c r="C1429" s="5"/>
      <c r="D1429" s="12"/>
      <c r="E1429" s="23"/>
      <c r="F1429" s="9"/>
      <c r="G1429" s="5"/>
      <c r="H1429" s="16"/>
      <c r="I1429" s="69"/>
      <c r="J1429" s="70"/>
      <c r="K1429" s="71"/>
      <c r="L1429" s="71"/>
      <c r="M1429" s="5"/>
    </row>
    <row r="1430" spans="1:13" s="3" customFormat="1">
      <c r="A1430" s="1"/>
      <c r="B1430" s="8"/>
      <c r="C1430" s="5"/>
      <c r="D1430" s="12"/>
      <c r="E1430" s="23"/>
      <c r="F1430" s="9"/>
      <c r="G1430" s="5"/>
      <c r="H1430" s="16"/>
      <c r="I1430" s="69"/>
      <c r="J1430" s="70"/>
      <c r="K1430" s="71"/>
      <c r="L1430" s="71"/>
      <c r="M1430" s="5"/>
    </row>
    <row r="1431" spans="1:13" s="3" customFormat="1">
      <c r="A1431" s="1"/>
      <c r="B1431" s="8"/>
      <c r="C1431" s="5"/>
      <c r="D1431" s="12"/>
      <c r="E1431" s="23"/>
      <c r="F1431" s="9"/>
      <c r="G1431" s="5"/>
      <c r="H1431" s="16"/>
      <c r="I1431" s="69"/>
      <c r="J1431" s="70"/>
      <c r="K1431" s="71"/>
      <c r="L1431" s="71"/>
      <c r="M1431" s="5"/>
    </row>
    <row r="1432" spans="1:13" s="3" customFormat="1">
      <c r="A1432" s="1"/>
      <c r="B1432" s="8"/>
      <c r="C1432" s="5"/>
      <c r="D1432" s="12"/>
      <c r="E1432" s="23"/>
      <c r="F1432" s="9"/>
      <c r="G1432" s="5"/>
      <c r="H1432" s="16"/>
      <c r="I1432" s="69"/>
      <c r="J1432" s="70"/>
      <c r="K1432" s="71"/>
      <c r="L1432" s="71"/>
      <c r="M1432" s="5"/>
    </row>
    <row r="1433" spans="1:13" s="3" customFormat="1">
      <c r="A1433" s="1"/>
      <c r="B1433" s="8"/>
      <c r="C1433" s="5"/>
      <c r="D1433" s="12"/>
      <c r="E1433" s="23"/>
      <c r="F1433" s="9"/>
      <c r="G1433" s="5"/>
      <c r="H1433" s="16"/>
      <c r="I1433" s="69"/>
      <c r="J1433" s="70"/>
      <c r="K1433" s="71"/>
      <c r="L1433" s="71"/>
      <c r="M1433" s="5"/>
    </row>
    <row r="1434" spans="1:13" s="3" customFormat="1">
      <c r="A1434" s="1"/>
      <c r="B1434" s="8"/>
      <c r="C1434" s="5"/>
      <c r="D1434" s="12"/>
      <c r="E1434" s="23"/>
      <c r="F1434" s="9"/>
      <c r="G1434" s="5"/>
      <c r="H1434" s="16"/>
      <c r="I1434" s="69"/>
      <c r="J1434" s="70"/>
      <c r="K1434" s="71"/>
      <c r="L1434" s="71"/>
      <c r="M1434" s="5"/>
    </row>
    <row r="1435" spans="1:13" s="3" customFormat="1">
      <c r="A1435" s="1"/>
      <c r="B1435" s="8"/>
      <c r="C1435" s="5"/>
      <c r="D1435" s="12"/>
      <c r="E1435" s="23"/>
      <c r="F1435" s="9"/>
      <c r="G1435" s="5"/>
      <c r="H1435" s="16"/>
      <c r="I1435" s="69"/>
      <c r="J1435" s="70"/>
      <c r="K1435" s="71"/>
      <c r="L1435" s="71"/>
      <c r="M1435" s="5"/>
    </row>
    <row r="1436" spans="1:13" s="3" customFormat="1">
      <c r="A1436" s="1"/>
      <c r="B1436" s="8"/>
      <c r="C1436" s="5"/>
      <c r="D1436" s="12"/>
      <c r="E1436" s="23"/>
      <c r="F1436" s="9"/>
      <c r="G1436" s="5"/>
      <c r="H1436" s="16"/>
      <c r="I1436" s="69"/>
      <c r="J1436" s="70"/>
      <c r="K1436" s="71"/>
      <c r="L1436" s="71"/>
      <c r="M1436" s="5"/>
    </row>
    <row r="1437" spans="1:13" s="3" customFormat="1">
      <c r="A1437" s="1"/>
      <c r="B1437" s="8"/>
      <c r="C1437" s="5"/>
      <c r="D1437" s="12"/>
      <c r="E1437" s="23"/>
      <c r="F1437" s="9"/>
      <c r="G1437" s="5"/>
      <c r="H1437" s="16"/>
      <c r="I1437" s="69"/>
      <c r="J1437" s="70"/>
      <c r="K1437" s="71"/>
      <c r="L1437" s="71"/>
      <c r="M1437" s="5"/>
    </row>
    <row r="1438" spans="1:13" s="3" customFormat="1">
      <c r="A1438" s="1"/>
      <c r="B1438" s="8"/>
      <c r="C1438" s="5"/>
      <c r="D1438" s="12"/>
      <c r="E1438" s="23"/>
      <c r="F1438" s="9"/>
      <c r="G1438" s="5"/>
      <c r="H1438" s="16"/>
      <c r="I1438" s="69"/>
      <c r="J1438" s="70"/>
      <c r="K1438" s="71"/>
      <c r="L1438" s="71"/>
      <c r="M1438" s="5"/>
    </row>
    <row r="1439" spans="1:13" s="3" customFormat="1">
      <c r="A1439" s="1"/>
      <c r="B1439" s="8"/>
      <c r="C1439" s="5"/>
      <c r="D1439" s="12"/>
      <c r="E1439" s="23"/>
      <c r="F1439" s="9"/>
      <c r="G1439" s="5"/>
      <c r="H1439" s="16"/>
      <c r="I1439" s="69"/>
      <c r="J1439" s="70"/>
      <c r="K1439" s="71"/>
      <c r="L1439" s="71"/>
      <c r="M1439" s="5"/>
    </row>
    <row r="1440" spans="1:13" s="3" customFormat="1">
      <c r="A1440" s="1"/>
      <c r="B1440" s="8"/>
      <c r="C1440" s="5"/>
      <c r="D1440" s="12"/>
      <c r="E1440" s="23"/>
      <c r="F1440" s="9"/>
      <c r="G1440" s="5"/>
      <c r="H1440" s="16"/>
      <c r="I1440" s="69"/>
      <c r="J1440" s="70"/>
      <c r="K1440" s="71"/>
      <c r="L1440" s="71"/>
      <c r="M1440" s="5"/>
    </row>
    <row r="1441" spans="1:13" s="3" customFormat="1">
      <c r="A1441" s="1"/>
      <c r="B1441" s="8"/>
      <c r="C1441" s="5"/>
      <c r="D1441" s="12"/>
      <c r="E1441" s="23"/>
      <c r="F1441" s="9"/>
      <c r="G1441" s="5"/>
      <c r="H1441" s="16"/>
      <c r="I1441" s="69"/>
      <c r="J1441" s="70"/>
      <c r="K1441" s="71"/>
      <c r="L1441" s="71"/>
      <c r="M1441" s="5"/>
    </row>
    <row r="1442" spans="1:13" s="3" customFormat="1">
      <c r="A1442" s="1"/>
      <c r="B1442" s="8"/>
      <c r="C1442" s="5"/>
      <c r="D1442" s="12"/>
      <c r="E1442" s="23"/>
      <c r="F1442" s="9"/>
      <c r="G1442" s="5"/>
      <c r="H1442" s="16"/>
      <c r="I1442" s="69"/>
      <c r="J1442" s="70"/>
      <c r="K1442" s="71"/>
      <c r="L1442" s="71"/>
      <c r="M1442" s="5"/>
    </row>
    <row r="1443" spans="1:13" s="3" customFormat="1">
      <c r="A1443" s="1"/>
      <c r="B1443" s="8"/>
      <c r="C1443" s="5"/>
      <c r="D1443" s="12"/>
      <c r="E1443" s="23"/>
      <c r="F1443" s="9"/>
      <c r="G1443" s="5"/>
      <c r="H1443" s="16"/>
      <c r="I1443" s="69"/>
      <c r="J1443" s="70"/>
      <c r="K1443" s="71"/>
      <c r="L1443" s="71"/>
      <c r="M1443" s="5"/>
    </row>
    <row r="1444" spans="1:13" s="3" customFormat="1">
      <c r="A1444" s="1"/>
      <c r="B1444" s="8"/>
      <c r="C1444" s="5"/>
      <c r="D1444" s="12"/>
      <c r="E1444" s="23"/>
      <c r="F1444" s="9"/>
      <c r="G1444" s="5"/>
      <c r="H1444" s="16"/>
      <c r="I1444" s="69"/>
      <c r="J1444" s="70"/>
      <c r="K1444" s="71"/>
      <c r="L1444" s="71"/>
      <c r="M1444" s="5"/>
    </row>
    <row r="1445" spans="1:13" s="3" customFormat="1">
      <c r="A1445" s="1"/>
      <c r="B1445" s="8"/>
      <c r="C1445" s="5"/>
      <c r="D1445" s="12"/>
      <c r="E1445" s="23"/>
      <c r="F1445" s="9"/>
      <c r="G1445" s="5"/>
      <c r="H1445" s="16"/>
      <c r="I1445" s="69"/>
      <c r="J1445" s="70"/>
      <c r="K1445" s="71"/>
      <c r="L1445" s="71"/>
      <c r="M1445" s="5"/>
    </row>
    <row r="1446" spans="1:13" s="3" customFormat="1">
      <c r="A1446" s="1"/>
      <c r="B1446" s="8"/>
      <c r="C1446" s="5"/>
      <c r="D1446" s="12"/>
      <c r="E1446" s="23"/>
      <c r="F1446" s="9"/>
      <c r="G1446" s="5"/>
      <c r="H1446" s="16"/>
      <c r="I1446" s="69"/>
      <c r="J1446" s="70"/>
      <c r="K1446" s="71"/>
      <c r="L1446" s="71"/>
      <c r="M1446" s="5"/>
    </row>
    <row r="1447" spans="1:13" s="3" customFormat="1">
      <c r="A1447" s="1"/>
      <c r="B1447" s="8"/>
      <c r="C1447" s="5"/>
      <c r="D1447" s="12"/>
      <c r="E1447" s="23"/>
      <c r="F1447" s="9"/>
      <c r="G1447" s="5"/>
      <c r="H1447" s="16"/>
      <c r="I1447" s="69"/>
      <c r="J1447" s="70"/>
      <c r="K1447" s="71"/>
      <c r="L1447" s="71"/>
      <c r="M1447" s="5"/>
    </row>
    <row r="1448" spans="1:13" s="3" customFormat="1">
      <c r="A1448" s="1"/>
      <c r="B1448" s="8"/>
      <c r="C1448" s="5"/>
      <c r="D1448" s="12"/>
      <c r="E1448" s="23"/>
      <c r="F1448" s="9"/>
      <c r="G1448" s="5"/>
      <c r="H1448" s="16"/>
      <c r="I1448" s="69"/>
      <c r="J1448" s="70"/>
      <c r="K1448" s="71"/>
      <c r="L1448" s="71"/>
      <c r="M1448" s="5"/>
    </row>
    <row r="1449" spans="1:13" s="3" customFormat="1">
      <c r="A1449" s="1"/>
      <c r="B1449" s="8"/>
      <c r="C1449" s="5"/>
      <c r="D1449" s="12"/>
      <c r="E1449" s="23"/>
      <c r="F1449" s="9"/>
      <c r="G1449" s="5"/>
      <c r="H1449" s="16"/>
      <c r="I1449" s="69"/>
      <c r="J1449" s="70"/>
      <c r="K1449" s="71"/>
      <c r="L1449" s="71"/>
      <c r="M1449" s="5"/>
    </row>
    <row r="1450" spans="1:13" s="3" customFormat="1">
      <c r="A1450" s="1"/>
      <c r="B1450" s="8"/>
      <c r="C1450" s="5"/>
      <c r="D1450" s="12"/>
      <c r="E1450" s="23"/>
      <c r="F1450" s="9"/>
      <c r="G1450" s="5"/>
      <c r="H1450" s="16"/>
      <c r="I1450" s="69"/>
      <c r="J1450" s="70"/>
      <c r="K1450" s="71"/>
      <c r="L1450" s="71"/>
      <c r="M1450" s="5"/>
    </row>
    <row r="1451" spans="1:13" s="3" customFormat="1">
      <c r="A1451" s="1"/>
      <c r="B1451" s="8"/>
      <c r="C1451" s="5"/>
      <c r="D1451" s="12"/>
      <c r="E1451" s="23"/>
      <c r="F1451" s="9"/>
      <c r="G1451" s="5"/>
      <c r="H1451" s="16"/>
      <c r="I1451" s="69"/>
      <c r="J1451" s="70"/>
      <c r="K1451" s="71"/>
      <c r="L1451" s="71"/>
      <c r="M1451" s="5"/>
    </row>
    <row r="1452" spans="1:13" s="3" customFormat="1">
      <c r="A1452" s="1"/>
      <c r="B1452" s="8"/>
      <c r="C1452" s="5"/>
      <c r="D1452" s="12"/>
      <c r="E1452" s="23"/>
      <c r="F1452" s="9"/>
      <c r="G1452" s="5"/>
      <c r="H1452" s="16"/>
      <c r="I1452" s="69"/>
      <c r="J1452" s="70"/>
      <c r="K1452" s="71"/>
      <c r="L1452" s="71"/>
      <c r="M1452" s="5"/>
    </row>
    <row r="1453" spans="1:13" s="3" customFormat="1">
      <c r="A1453" s="1"/>
      <c r="B1453" s="8"/>
      <c r="C1453" s="5"/>
      <c r="D1453" s="12"/>
      <c r="E1453" s="23"/>
      <c r="F1453" s="9"/>
      <c r="G1453" s="5"/>
      <c r="H1453" s="16"/>
      <c r="I1453" s="69"/>
      <c r="J1453" s="70"/>
      <c r="K1453" s="71"/>
      <c r="L1453" s="71"/>
      <c r="M1453" s="5"/>
    </row>
    <row r="1454" spans="1:13" s="3" customFormat="1">
      <c r="A1454" s="1"/>
      <c r="B1454" s="8"/>
      <c r="C1454" s="5"/>
      <c r="D1454" s="12"/>
      <c r="E1454" s="23"/>
      <c r="F1454" s="9"/>
      <c r="G1454" s="5"/>
      <c r="H1454" s="16"/>
      <c r="I1454" s="69"/>
      <c r="J1454" s="70"/>
      <c r="K1454" s="71"/>
      <c r="L1454" s="71"/>
      <c r="M1454" s="5"/>
    </row>
    <row r="1455" spans="1:13" s="3" customFormat="1">
      <c r="A1455" s="1"/>
      <c r="B1455" s="8"/>
      <c r="C1455" s="5"/>
      <c r="D1455" s="12"/>
      <c r="E1455" s="23"/>
      <c r="F1455" s="9"/>
      <c r="G1455" s="5"/>
      <c r="H1455" s="16"/>
      <c r="I1455" s="69"/>
      <c r="J1455" s="70"/>
      <c r="K1455" s="71"/>
      <c r="L1455" s="71"/>
      <c r="M1455" s="5"/>
    </row>
    <row r="1456" spans="1:13" s="3" customFormat="1">
      <c r="A1456" s="1"/>
      <c r="B1456" s="8"/>
      <c r="C1456" s="5"/>
      <c r="D1456" s="12"/>
      <c r="E1456" s="23"/>
      <c r="F1456" s="9"/>
      <c r="G1456" s="5"/>
      <c r="H1456" s="16"/>
      <c r="I1456" s="69"/>
      <c r="J1456" s="70"/>
      <c r="K1456" s="71"/>
      <c r="L1456" s="71"/>
      <c r="M1456" s="5"/>
    </row>
    <row r="1457" spans="1:13" s="3" customFormat="1">
      <c r="A1457" s="1"/>
      <c r="B1457" s="8"/>
      <c r="C1457" s="5"/>
      <c r="D1457" s="12"/>
      <c r="E1457" s="23"/>
      <c r="F1457" s="9"/>
      <c r="G1457" s="5"/>
      <c r="H1457" s="16"/>
      <c r="I1457" s="69"/>
      <c r="J1457" s="70"/>
      <c r="K1457" s="71"/>
      <c r="L1457" s="71"/>
      <c r="M1457" s="5"/>
    </row>
    <row r="1458" spans="1:13" s="3" customFormat="1">
      <c r="A1458" s="1"/>
      <c r="B1458" s="8"/>
      <c r="C1458" s="5"/>
      <c r="D1458" s="12"/>
      <c r="E1458" s="23"/>
      <c r="F1458" s="9"/>
      <c r="G1458" s="5"/>
      <c r="H1458" s="16"/>
      <c r="I1458" s="69"/>
      <c r="J1458" s="70"/>
      <c r="K1458" s="71"/>
      <c r="L1458" s="71"/>
      <c r="M1458" s="5"/>
    </row>
    <row r="1459" spans="1:13" s="3" customFormat="1">
      <c r="A1459" s="1"/>
      <c r="B1459" s="8"/>
      <c r="C1459" s="5"/>
      <c r="D1459" s="12"/>
      <c r="E1459" s="23"/>
      <c r="F1459" s="9"/>
      <c r="G1459" s="5"/>
      <c r="H1459" s="16"/>
      <c r="I1459" s="69"/>
      <c r="J1459" s="70"/>
      <c r="K1459" s="71"/>
      <c r="L1459" s="71"/>
      <c r="M1459" s="5"/>
    </row>
    <row r="1460" spans="1:13" s="3" customFormat="1">
      <c r="A1460" s="1"/>
      <c r="B1460" s="8"/>
      <c r="C1460" s="5"/>
      <c r="D1460" s="12"/>
      <c r="E1460" s="23"/>
      <c r="F1460" s="9"/>
      <c r="G1460" s="5"/>
      <c r="H1460" s="16"/>
      <c r="I1460" s="69"/>
      <c r="J1460" s="70"/>
      <c r="K1460" s="71"/>
      <c r="L1460" s="71"/>
      <c r="M1460" s="5"/>
    </row>
    <row r="1461" spans="1:13" s="3" customFormat="1">
      <c r="A1461" s="1"/>
      <c r="B1461" s="8"/>
      <c r="C1461" s="5"/>
      <c r="D1461" s="12"/>
      <c r="E1461" s="23"/>
      <c r="F1461" s="9"/>
      <c r="G1461" s="5"/>
      <c r="H1461" s="16"/>
      <c r="I1461" s="69"/>
      <c r="J1461" s="70"/>
      <c r="K1461" s="71"/>
      <c r="L1461" s="71"/>
      <c r="M1461" s="5"/>
    </row>
    <row r="1462" spans="1:13" s="3" customFormat="1">
      <c r="A1462" s="1"/>
      <c r="B1462" s="8"/>
      <c r="C1462" s="5"/>
      <c r="D1462" s="12"/>
      <c r="E1462" s="23"/>
      <c r="F1462" s="9"/>
      <c r="G1462" s="5"/>
      <c r="H1462" s="16"/>
      <c r="I1462" s="69"/>
      <c r="J1462" s="70"/>
      <c r="K1462" s="71"/>
      <c r="L1462" s="71"/>
      <c r="M1462" s="5"/>
    </row>
    <row r="1463" spans="1:13" s="3" customFormat="1">
      <c r="A1463" s="1"/>
      <c r="B1463" s="8"/>
      <c r="C1463" s="5"/>
      <c r="D1463" s="12"/>
      <c r="E1463" s="23"/>
      <c r="F1463" s="9"/>
      <c r="G1463" s="5"/>
      <c r="H1463" s="16"/>
      <c r="I1463" s="69"/>
      <c r="J1463" s="70"/>
      <c r="K1463" s="71"/>
      <c r="L1463" s="71"/>
      <c r="M1463" s="5"/>
    </row>
    <row r="1464" spans="1:13" s="3" customFormat="1">
      <c r="A1464" s="1"/>
      <c r="B1464" s="8"/>
      <c r="C1464" s="5"/>
      <c r="D1464" s="12"/>
      <c r="E1464" s="23"/>
      <c r="F1464" s="9"/>
      <c r="G1464" s="5"/>
      <c r="H1464" s="16"/>
      <c r="I1464" s="69"/>
      <c r="J1464" s="70"/>
      <c r="K1464" s="71"/>
      <c r="L1464" s="71"/>
      <c r="M1464" s="5"/>
    </row>
    <row r="1465" spans="1:13" s="3" customFormat="1">
      <c r="A1465" s="1"/>
      <c r="B1465" s="8"/>
      <c r="C1465" s="5"/>
      <c r="D1465" s="12"/>
      <c r="E1465" s="23"/>
      <c r="F1465" s="9"/>
      <c r="G1465" s="5"/>
      <c r="H1465" s="16"/>
      <c r="I1465" s="69"/>
      <c r="J1465" s="70"/>
      <c r="K1465" s="71"/>
      <c r="L1465" s="71"/>
      <c r="M1465" s="5"/>
    </row>
    <row r="1466" spans="1:13" s="3" customFormat="1">
      <c r="A1466" s="1"/>
      <c r="B1466" s="8"/>
      <c r="C1466" s="5"/>
      <c r="D1466" s="12"/>
      <c r="E1466" s="23"/>
      <c r="F1466" s="9"/>
      <c r="G1466" s="5"/>
      <c r="H1466" s="16"/>
      <c r="I1466" s="69"/>
      <c r="J1466" s="70"/>
      <c r="K1466" s="71"/>
      <c r="L1466" s="71"/>
      <c r="M1466" s="5"/>
    </row>
    <row r="1467" spans="1:13" s="3" customFormat="1">
      <c r="A1467" s="1"/>
      <c r="B1467" s="8"/>
      <c r="C1467" s="5"/>
      <c r="D1467" s="12"/>
      <c r="E1467" s="23"/>
      <c r="F1467" s="9"/>
      <c r="G1467" s="5"/>
      <c r="H1467" s="16"/>
      <c r="I1467" s="69"/>
      <c r="J1467" s="70"/>
      <c r="K1467" s="71"/>
      <c r="L1467" s="71"/>
      <c r="M1467" s="5"/>
    </row>
    <row r="1468" spans="1:13" s="3" customFormat="1">
      <c r="A1468" s="1"/>
      <c r="B1468" s="8"/>
      <c r="C1468" s="5"/>
      <c r="D1468" s="12"/>
      <c r="E1468" s="23"/>
      <c r="F1468" s="9"/>
      <c r="G1468" s="5"/>
      <c r="H1468" s="16"/>
      <c r="I1468" s="69"/>
      <c r="J1468" s="70"/>
      <c r="K1468" s="71"/>
      <c r="L1468" s="71"/>
      <c r="M1468" s="5"/>
    </row>
    <row r="1469" spans="1:13" s="3" customFormat="1">
      <c r="A1469" s="1"/>
      <c r="B1469" s="8"/>
      <c r="C1469" s="5"/>
      <c r="D1469" s="12"/>
      <c r="E1469" s="23"/>
      <c r="F1469" s="9"/>
      <c r="G1469" s="5"/>
      <c r="H1469" s="16"/>
      <c r="I1469" s="69"/>
      <c r="J1469" s="70"/>
      <c r="K1469" s="71"/>
      <c r="L1469" s="71"/>
      <c r="M1469" s="5"/>
    </row>
    <row r="1470" spans="1:13" s="3" customFormat="1">
      <c r="A1470" s="1"/>
      <c r="B1470" s="8"/>
      <c r="C1470" s="5"/>
      <c r="D1470" s="12"/>
      <c r="E1470" s="23"/>
      <c r="F1470" s="9"/>
      <c r="G1470" s="5"/>
      <c r="H1470" s="16"/>
      <c r="I1470" s="69"/>
      <c r="J1470" s="70"/>
      <c r="K1470" s="71"/>
      <c r="L1470" s="71"/>
      <c r="M1470" s="5"/>
    </row>
    <row r="1471" spans="1:13" s="3" customFormat="1">
      <c r="A1471" s="1"/>
      <c r="B1471" s="8"/>
      <c r="C1471" s="5"/>
      <c r="D1471" s="12"/>
      <c r="E1471" s="23"/>
      <c r="F1471" s="9"/>
      <c r="G1471" s="5"/>
      <c r="H1471" s="16"/>
      <c r="I1471" s="69"/>
      <c r="J1471" s="70"/>
      <c r="K1471" s="71"/>
      <c r="L1471" s="71"/>
      <c r="M1471" s="5"/>
    </row>
    <row r="1472" spans="1:13" s="3" customFormat="1">
      <c r="A1472" s="1"/>
      <c r="B1472" s="8"/>
      <c r="C1472" s="5"/>
      <c r="D1472" s="12"/>
      <c r="E1472" s="23"/>
      <c r="F1472" s="9"/>
      <c r="G1472" s="5"/>
      <c r="H1472" s="16"/>
      <c r="I1472" s="69"/>
      <c r="J1472" s="70"/>
      <c r="K1472" s="71"/>
      <c r="L1472" s="71"/>
      <c r="M1472" s="5"/>
    </row>
    <row r="1473" spans="1:13" s="3" customFormat="1">
      <c r="A1473" s="1"/>
      <c r="B1473" s="8"/>
      <c r="C1473" s="5"/>
      <c r="D1473" s="12"/>
      <c r="E1473" s="23"/>
      <c r="F1473" s="9"/>
      <c r="G1473" s="5"/>
      <c r="H1473" s="16"/>
      <c r="I1473" s="69"/>
      <c r="J1473" s="70"/>
      <c r="K1473" s="71"/>
      <c r="L1473" s="71"/>
      <c r="M1473" s="5"/>
    </row>
    <row r="1474" spans="1:13" s="3" customFormat="1">
      <c r="A1474" s="1"/>
      <c r="B1474" s="8"/>
      <c r="C1474" s="5"/>
      <c r="D1474" s="12"/>
      <c r="E1474" s="23"/>
      <c r="F1474" s="9"/>
      <c r="G1474" s="5"/>
      <c r="H1474" s="16"/>
      <c r="I1474" s="69"/>
      <c r="J1474" s="70"/>
      <c r="K1474" s="71"/>
      <c r="L1474" s="71"/>
      <c r="M1474" s="5"/>
    </row>
    <row r="1475" spans="1:13" s="3" customFormat="1">
      <c r="A1475" s="1"/>
      <c r="B1475" s="8"/>
      <c r="C1475" s="5"/>
      <c r="D1475" s="12"/>
      <c r="E1475" s="23"/>
      <c r="F1475" s="9"/>
      <c r="G1475" s="5"/>
      <c r="H1475" s="16"/>
      <c r="I1475" s="69"/>
      <c r="J1475" s="70"/>
      <c r="K1475" s="71"/>
      <c r="L1475" s="71"/>
      <c r="M1475" s="5"/>
    </row>
    <row r="1476" spans="1:13" s="3" customFormat="1">
      <c r="A1476" s="1"/>
      <c r="B1476" s="8"/>
      <c r="C1476" s="5"/>
      <c r="D1476" s="12"/>
      <c r="E1476" s="23"/>
      <c r="F1476" s="9"/>
      <c r="G1476" s="5"/>
      <c r="H1476" s="16"/>
      <c r="I1476" s="69"/>
      <c r="J1476" s="70"/>
      <c r="K1476" s="71"/>
      <c r="L1476" s="71"/>
      <c r="M1476" s="5"/>
    </row>
    <row r="1477" spans="1:13" s="3" customFormat="1">
      <c r="A1477" s="1"/>
      <c r="B1477" s="8"/>
      <c r="C1477" s="5"/>
      <c r="D1477" s="12"/>
      <c r="E1477" s="23"/>
      <c r="F1477" s="9"/>
      <c r="G1477" s="5"/>
      <c r="H1477" s="16"/>
      <c r="I1477" s="69"/>
      <c r="J1477" s="70"/>
      <c r="K1477" s="71"/>
      <c r="L1477" s="71"/>
      <c r="M1477" s="5"/>
    </row>
    <row r="1478" spans="1:13" s="3" customFormat="1">
      <c r="A1478" s="1"/>
      <c r="B1478" s="8"/>
      <c r="C1478" s="5"/>
      <c r="D1478" s="12"/>
      <c r="E1478" s="23"/>
      <c r="F1478" s="9"/>
      <c r="G1478" s="5"/>
      <c r="H1478" s="16"/>
      <c r="I1478" s="69"/>
      <c r="J1478" s="70"/>
      <c r="K1478" s="71"/>
      <c r="L1478" s="71"/>
      <c r="M1478" s="5"/>
    </row>
    <row r="1479" spans="1:13" s="3" customFormat="1">
      <c r="A1479" s="1"/>
      <c r="B1479" s="8"/>
      <c r="C1479" s="5"/>
      <c r="D1479" s="12"/>
      <c r="E1479" s="23"/>
      <c r="F1479" s="9"/>
      <c r="G1479" s="5"/>
      <c r="H1479" s="16"/>
      <c r="I1479" s="69"/>
      <c r="J1479" s="70"/>
      <c r="K1479" s="71"/>
      <c r="L1479" s="71"/>
      <c r="M1479" s="5"/>
    </row>
    <row r="1480" spans="1:13" s="3" customFormat="1">
      <c r="A1480" s="1"/>
      <c r="B1480" s="8"/>
      <c r="C1480" s="5"/>
      <c r="D1480" s="12"/>
      <c r="E1480" s="23"/>
      <c r="F1480" s="9"/>
      <c r="G1480" s="5"/>
      <c r="H1480" s="16"/>
      <c r="I1480" s="69"/>
      <c r="J1480" s="70"/>
      <c r="K1480" s="71"/>
      <c r="L1480" s="71"/>
      <c r="M1480" s="5"/>
    </row>
    <row r="1481" spans="1:13" s="3" customFormat="1">
      <c r="A1481" s="1"/>
      <c r="B1481" s="8"/>
      <c r="C1481" s="5"/>
      <c r="D1481" s="12"/>
      <c r="E1481" s="23"/>
      <c r="F1481" s="9"/>
      <c r="G1481" s="5"/>
      <c r="H1481" s="16"/>
      <c r="I1481" s="69"/>
      <c r="J1481" s="70"/>
      <c r="K1481" s="71"/>
      <c r="L1481" s="71"/>
      <c r="M1481" s="5"/>
    </row>
    <row r="1482" spans="1:13" s="3" customFormat="1">
      <c r="A1482" s="1"/>
      <c r="B1482" s="8"/>
      <c r="C1482" s="5"/>
      <c r="D1482" s="12"/>
      <c r="E1482" s="23"/>
      <c r="F1482" s="9"/>
      <c r="G1482" s="5"/>
      <c r="H1482" s="16"/>
      <c r="I1482" s="69"/>
      <c r="J1482" s="70"/>
      <c r="K1482" s="71"/>
      <c r="L1482" s="71"/>
      <c r="M1482" s="5"/>
    </row>
    <row r="1483" spans="1:13" s="3" customFormat="1">
      <c r="A1483" s="1"/>
      <c r="B1483" s="8"/>
      <c r="C1483" s="5"/>
      <c r="D1483" s="12"/>
      <c r="E1483" s="23"/>
      <c r="F1483" s="9"/>
      <c r="G1483" s="5"/>
      <c r="H1483" s="16"/>
      <c r="I1483" s="69"/>
      <c r="J1483" s="70"/>
      <c r="K1483" s="71"/>
      <c r="L1483" s="71"/>
      <c r="M1483" s="5"/>
    </row>
    <row r="1484" spans="1:13" s="3" customFormat="1">
      <c r="A1484" s="1"/>
      <c r="B1484" s="8"/>
      <c r="C1484" s="5"/>
      <c r="D1484" s="12"/>
      <c r="E1484" s="23"/>
      <c r="F1484" s="9"/>
      <c r="G1484" s="5"/>
      <c r="H1484" s="16"/>
      <c r="I1484" s="69"/>
      <c r="J1484" s="70"/>
      <c r="K1484" s="71"/>
      <c r="L1484" s="71"/>
      <c r="M1484" s="5"/>
    </row>
    <row r="1485" spans="1:13" s="3" customFormat="1">
      <c r="A1485" s="1"/>
      <c r="B1485" s="8"/>
      <c r="C1485" s="5"/>
      <c r="D1485" s="12"/>
      <c r="E1485" s="23"/>
      <c r="F1485" s="9"/>
      <c r="G1485" s="5"/>
      <c r="H1485" s="16"/>
      <c r="I1485" s="69"/>
      <c r="J1485" s="70"/>
      <c r="K1485" s="71"/>
      <c r="L1485" s="71"/>
      <c r="M1485" s="5"/>
    </row>
    <row r="1486" spans="1:13" s="3" customFormat="1">
      <c r="A1486" s="1"/>
      <c r="B1486" s="8"/>
      <c r="C1486" s="5"/>
      <c r="D1486" s="12"/>
      <c r="E1486" s="23"/>
      <c r="F1486" s="9"/>
      <c r="G1486" s="5"/>
      <c r="H1486" s="16"/>
      <c r="I1486" s="69"/>
      <c r="J1486" s="70"/>
      <c r="K1486" s="71"/>
      <c r="L1486" s="71"/>
      <c r="M1486" s="5"/>
    </row>
    <row r="1487" spans="1:13" s="3" customFormat="1">
      <c r="A1487" s="1"/>
      <c r="B1487" s="8"/>
      <c r="C1487" s="5"/>
      <c r="D1487" s="12"/>
      <c r="E1487" s="23"/>
      <c r="F1487" s="9"/>
      <c r="G1487" s="5"/>
      <c r="H1487" s="16"/>
      <c r="I1487" s="69"/>
      <c r="J1487" s="70"/>
      <c r="K1487" s="71"/>
      <c r="L1487" s="71"/>
      <c r="M1487" s="5"/>
    </row>
    <row r="1488" spans="1:13" s="3" customFormat="1">
      <c r="A1488" s="1"/>
      <c r="B1488" s="8"/>
      <c r="C1488" s="5"/>
      <c r="D1488" s="12"/>
      <c r="E1488" s="23"/>
      <c r="F1488" s="9"/>
      <c r="G1488" s="5"/>
      <c r="H1488" s="16"/>
      <c r="I1488" s="69"/>
      <c r="J1488" s="70"/>
      <c r="K1488" s="71"/>
      <c r="L1488" s="71"/>
      <c r="M1488" s="5"/>
    </row>
    <row r="1489" spans="1:13" s="3" customFormat="1">
      <c r="A1489" s="1"/>
      <c r="B1489" s="8"/>
      <c r="C1489" s="5"/>
      <c r="D1489" s="12"/>
      <c r="E1489" s="23"/>
      <c r="F1489" s="9"/>
      <c r="G1489" s="5"/>
      <c r="H1489" s="16"/>
      <c r="I1489" s="69"/>
      <c r="J1489" s="70"/>
      <c r="K1489" s="71"/>
      <c r="L1489" s="71"/>
      <c r="M1489" s="5"/>
    </row>
    <row r="1490" spans="1:13" s="3" customFormat="1">
      <c r="A1490" s="1"/>
      <c r="B1490" s="8"/>
      <c r="C1490" s="5"/>
      <c r="D1490" s="12"/>
      <c r="E1490" s="23"/>
      <c r="F1490" s="9"/>
      <c r="G1490" s="5"/>
      <c r="H1490" s="16"/>
      <c r="I1490" s="69"/>
      <c r="J1490" s="70"/>
      <c r="K1490" s="71"/>
      <c r="L1490" s="71"/>
      <c r="M1490" s="5"/>
    </row>
    <row r="1491" spans="1:13" s="3" customFormat="1">
      <c r="A1491" s="1"/>
      <c r="B1491" s="8"/>
      <c r="C1491" s="5"/>
      <c r="D1491" s="12"/>
      <c r="E1491" s="23"/>
      <c r="F1491" s="9"/>
      <c r="G1491" s="5"/>
      <c r="H1491" s="16"/>
      <c r="I1491" s="69"/>
      <c r="J1491" s="70"/>
      <c r="K1491" s="71"/>
      <c r="L1491" s="71"/>
      <c r="M1491" s="5"/>
    </row>
    <row r="1492" spans="1:13" s="3" customFormat="1">
      <c r="A1492" s="1"/>
      <c r="B1492" s="8"/>
      <c r="C1492" s="5"/>
      <c r="D1492" s="12"/>
      <c r="E1492" s="23"/>
      <c r="F1492" s="9"/>
      <c r="G1492" s="5"/>
      <c r="H1492" s="16"/>
      <c r="I1492" s="69"/>
      <c r="J1492" s="70"/>
      <c r="K1492" s="71"/>
      <c r="L1492" s="71"/>
      <c r="M1492" s="5"/>
    </row>
    <row r="1493" spans="1:13" s="3" customFormat="1">
      <c r="A1493" s="1"/>
      <c r="B1493" s="8"/>
      <c r="C1493" s="5"/>
      <c r="D1493" s="12"/>
      <c r="E1493" s="23"/>
      <c r="F1493" s="9"/>
      <c r="G1493" s="5"/>
      <c r="H1493" s="16"/>
      <c r="I1493" s="69"/>
      <c r="J1493" s="70"/>
      <c r="K1493" s="71"/>
      <c r="L1493" s="71"/>
      <c r="M1493" s="5"/>
    </row>
    <row r="1494" spans="1:13" s="3" customFormat="1">
      <c r="A1494" s="1"/>
      <c r="B1494" s="8"/>
      <c r="C1494" s="5"/>
      <c r="D1494" s="12"/>
      <c r="E1494" s="23"/>
      <c r="F1494" s="9"/>
      <c r="G1494" s="5"/>
      <c r="H1494" s="16"/>
      <c r="I1494" s="69"/>
      <c r="J1494" s="70"/>
      <c r="K1494" s="71"/>
      <c r="L1494" s="71"/>
      <c r="M1494" s="5"/>
    </row>
    <row r="1495" spans="1:13" s="3" customFormat="1">
      <c r="A1495" s="1"/>
      <c r="B1495" s="8"/>
      <c r="C1495" s="5"/>
      <c r="D1495" s="12"/>
      <c r="E1495" s="23"/>
      <c r="F1495" s="9"/>
      <c r="G1495" s="5"/>
      <c r="H1495" s="16"/>
      <c r="I1495" s="69"/>
      <c r="J1495" s="70"/>
      <c r="K1495" s="71"/>
      <c r="L1495" s="71"/>
      <c r="M1495" s="5"/>
    </row>
    <row r="1496" spans="1:13" s="3" customFormat="1">
      <c r="A1496" s="1"/>
      <c r="B1496" s="8"/>
      <c r="C1496" s="5"/>
      <c r="D1496" s="12"/>
      <c r="E1496" s="23"/>
      <c r="F1496" s="9"/>
      <c r="G1496" s="5"/>
      <c r="H1496" s="16"/>
      <c r="I1496" s="69"/>
      <c r="J1496" s="70"/>
      <c r="K1496" s="71"/>
      <c r="L1496" s="71"/>
      <c r="M1496" s="5"/>
    </row>
    <row r="1497" spans="1:13" s="3" customFormat="1">
      <c r="A1497" s="1"/>
      <c r="B1497" s="8"/>
      <c r="C1497" s="5"/>
      <c r="D1497" s="12"/>
      <c r="E1497" s="23"/>
      <c r="F1497" s="9"/>
      <c r="G1497" s="5"/>
      <c r="H1497" s="16"/>
      <c r="I1497" s="69"/>
      <c r="J1497" s="70"/>
      <c r="K1497" s="71"/>
      <c r="L1497" s="71"/>
      <c r="M1497" s="5"/>
    </row>
    <row r="1498" spans="1:13" s="3" customFormat="1">
      <c r="A1498" s="1"/>
      <c r="B1498" s="8"/>
      <c r="C1498" s="5"/>
      <c r="D1498" s="12"/>
      <c r="E1498" s="23"/>
      <c r="F1498" s="9"/>
      <c r="G1498" s="5"/>
      <c r="H1498" s="16"/>
      <c r="I1498" s="69"/>
      <c r="J1498" s="70"/>
      <c r="K1498" s="71"/>
      <c r="L1498" s="71"/>
      <c r="M1498" s="5"/>
    </row>
    <row r="1499" spans="1:13" s="3" customFormat="1">
      <c r="A1499" s="1"/>
      <c r="B1499" s="8"/>
      <c r="C1499" s="5"/>
      <c r="D1499" s="12"/>
      <c r="E1499" s="23"/>
      <c r="F1499" s="9"/>
      <c r="G1499" s="5"/>
      <c r="H1499" s="16"/>
      <c r="I1499" s="69"/>
      <c r="J1499" s="70"/>
      <c r="K1499" s="71"/>
      <c r="L1499" s="71"/>
      <c r="M1499" s="5"/>
    </row>
    <row r="1500" spans="1:13" s="3" customFormat="1">
      <c r="A1500" s="1"/>
      <c r="B1500" s="8"/>
      <c r="C1500" s="5"/>
      <c r="D1500" s="12"/>
      <c r="E1500" s="23"/>
      <c r="F1500" s="9"/>
      <c r="G1500" s="5"/>
      <c r="H1500" s="16"/>
      <c r="I1500" s="69"/>
      <c r="J1500" s="70"/>
      <c r="K1500" s="71"/>
      <c r="L1500" s="71"/>
      <c r="M1500" s="5"/>
    </row>
    <row r="1501" spans="1:13" s="3" customFormat="1">
      <c r="A1501" s="1"/>
      <c r="B1501" s="8"/>
      <c r="C1501" s="5"/>
      <c r="D1501" s="12"/>
      <c r="E1501" s="23"/>
      <c r="F1501" s="9"/>
      <c r="G1501" s="5"/>
      <c r="H1501" s="16"/>
      <c r="I1501" s="69"/>
      <c r="J1501" s="70"/>
      <c r="K1501" s="71"/>
      <c r="L1501" s="71"/>
      <c r="M1501" s="5"/>
    </row>
    <row r="1502" spans="1:13" s="3" customFormat="1">
      <c r="A1502" s="1"/>
      <c r="B1502" s="8"/>
      <c r="C1502" s="5"/>
      <c r="D1502" s="12"/>
      <c r="E1502" s="23"/>
      <c r="F1502" s="9"/>
      <c r="G1502" s="5"/>
      <c r="H1502" s="16"/>
      <c r="I1502" s="69"/>
      <c r="J1502" s="70"/>
      <c r="K1502" s="71"/>
      <c r="L1502" s="71"/>
      <c r="M1502" s="5"/>
    </row>
    <row r="1503" spans="1:13" s="3" customFormat="1">
      <c r="A1503" s="1"/>
      <c r="B1503" s="8"/>
      <c r="C1503" s="5"/>
      <c r="D1503" s="12"/>
      <c r="E1503" s="23"/>
      <c r="F1503" s="9"/>
      <c r="G1503" s="5"/>
      <c r="H1503" s="16"/>
      <c r="I1503" s="69"/>
      <c r="J1503" s="70"/>
      <c r="K1503" s="71"/>
      <c r="L1503" s="71"/>
      <c r="M1503" s="5"/>
    </row>
    <row r="1504" spans="1:13" s="3" customFormat="1">
      <c r="A1504" s="1"/>
      <c r="B1504" s="8"/>
      <c r="C1504" s="5"/>
      <c r="D1504" s="12"/>
      <c r="E1504" s="23"/>
      <c r="F1504" s="9"/>
      <c r="G1504" s="5"/>
      <c r="H1504" s="16"/>
      <c r="I1504" s="69"/>
      <c r="J1504" s="70"/>
      <c r="K1504" s="71"/>
      <c r="L1504" s="71"/>
      <c r="M1504" s="5"/>
    </row>
    <row r="1505" spans="1:13" s="3" customFormat="1">
      <c r="A1505" s="1"/>
      <c r="B1505" s="8"/>
      <c r="C1505" s="5"/>
      <c r="D1505" s="12"/>
      <c r="E1505" s="23"/>
      <c r="F1505" s="9"/>
      <c r="G1505" s="5"/>
      <c r="H1505" s="16"/>
      <c r="I1505" s="69"/>
      <c r="J1505" s="70"/>
      <c r="K1505" s="71"/>
      <c r="L1505" s="71"/>
      <c r="M1505" s="5"/>
    </row>
    <row r="1506" spans="1:13" s="3" customFormat="1">
      <c r="A1506" s="1"/>
      <c r="B1506" s="8"/>
      <c r="C1506" s="5"/>
      <c r="D1506" s="12"/>
      <c r="E1506" s="23"/>
      <c r="F1506" s="9"/>
      <c r="G1506" s="5"/>
      <c r="H1506" s="16"/>
      <c r="I1506" s="69"/>
      <c r="J1506" s="70"/>
      <c r="K1506" s="71"/>
      <c r="L1506" s="71"/>
      <c r="M1506" s="5"/>
    </row>
    <row r="1507" spans="1:13" s="3" customFormat="1">
      <c r="A1507" s="1"/>
      <c r="B1507" s="8"/>
      <c r="C1507" s="5"/>
      <c r="D1507" s="12"/>
      <c r="E1507" s="23"/>
      <c r="F1507" s="9"/>
      <c r="G1507" s="5"/>
      <c r="H1507" s="16"/>
      <c r="I1507" s="69"/>
      <c r="J1507" s="70"/>
      <c r="K1507" s="71"/>
      <c r="L1507" s="71"/>
      <c r="M1507" s="5"/>
    </row>
    <row r="1508" spans="1:13" s="3" customFormat="1">
      <c r="A1508" s="1"/>
      <c r="B1508" s="8"/>
      <c r="C1508" s="5"/>
      <c r="D1508" s="12"/>
      <c r="E1508" s="23"/>
      <c r="F1508" s="9"/>
      <c r="G1508" s="5"/>
      <c r="H1508" s="16"/>
      <c r="I1508" s="69"/>
      <c r="J1508" s="70"/>
      <c r="K1508" s="71"/>
      <c r="L1508" s="71"/>
      <c r="M1508" s="5"/>
    </row>
    <row r="1509" spans="1:13" s="3" customFormat="1">
      <c r="A1509" s="1"/>
      <c r="B1509" s="8"/>
      <c r="C1509" s="5"/>
      <c r="D1509" s="12"/>
      <c r="E1509" s="23"/>
      <c r="F1509" s="9"/>
      <c r="G1509" s="5"/>
      <c r="H1509" s="16"/>
      <c r="I1509" s="69"/>
      <c r="J1509" s="70"/>
      <c r="K1509" s="71"/>
      <c r="L1509" s="71"/>
      <c r="M1509" s="5"/>
    </row>
    <row r="1510" spans="1:13" s="3" customFormat="1">
      <c r="A1510" s="1"/>
      <c r="B1510" s="8"/>
      <c r="C1510" s="5"/>
      <c r="D1510" s="12"/>
      <c r="E1510" s="23"/>
      <c r="F1510" s="9"/>
      <c r="G1510" s="5"/>
      <c r="H1510" s="16"/>
      <c r="I1510" s="69"/>
      <c r="J1510" s="70"/>
      <c r="K1510" s="71"/>
      <c r="L1510" s="71"/>
      <c r="M1510" s="5"/>
    </row>
    <row r="1511" spans="1:13" s="3" customFormat="1">
      <c r="A1511" s="1"/>
      <c r="B1511" s="8"/>
      <c r="C1511" s="5"/>
      <c r="D1511" s="12"/>
      <c r="E1511" s="23"/>
      <c r="F1511" s="9"/>
      <c r="G1511" s="5"/>
      <c r="H1511" s="16"/>
      <c r="I1511" s="69"/>
      <c r="J1511" s="70"/>
      <c r="K1511" s="71"/>
      <c r="L1511" s="71"/>
      <c r="M1511" s="5"/>
    </row>
    <row r="1512" spans="1:13" s="3" customFormat="1">
      <c r="A1512" s="1"/>
      <c r="B1512" s="8"/>
      <c r="C1512" s="5"/>
      <c r="D1512" s="12"/>
      <c r="E1512" s="23"/>
      <c r="F1512" s="9"/>
      <c r="G1512" s="5"/>
      <c r="H1512" s="16"/>
      <c r="I1512" s="69"/>
      <c r="J1512" s="70"/>
      <c r="K1512" s="71"/>
      <c r="L1512" s="71"/>
      <c r="M1512" s="5"/>
    </row>
    <row r="1513" spans="1:13" s="3" customFormat="1">
      <c r="A1513" s="1"/>
      <c r="B1513" s="8"/>
      <c r="C1513" s="5"/>
      <c r="D1513" s="12"/>
      <c r="E1513" s="23"/>
      <c r="F1513" s="9"/>
      <c r="G1513" s="5"/>
      <c r="H1513" s="16"/>
      <c r="I1513" s="69"/>
      <c r="J1513" s="70"/>
      <c r="K1513" s="71"/>
      <c r="L1513" s="71"/>
      <c r="M1513" s="5"/>
    </row>
    <row r="1514" spans="1:13" s="3" customFormat="1">
      <c r="A1514" s="1"/>
      <c r="B1514" s="8"/>
      <c r="C1514" s="5"/>
      <c r="D1514" s="12"/>
      <c r="E1514" s="23"/>
      <c r="F1514" s="9"/>
      <c r="G1514" s="5"/>
      <c r="H1514" s="16"/>
      <c r="I1514" s="69"/>
      <c r="J1514" s="70"/>
      <c r="K1514" s="71"/>
      <c r="L1514" s="71"/>
      <c r="M1514" s="5"/>
    </row>
    <row r="1515" spans="1:13" s="3" customFormat="1">
      <c r="A1515" s="1"/>
      <c r="B1515" s="8"/>
      <c r="C1515" s="5"/>
      <c r="D1515" s="12"/>
      <c r="E1515" s="23"/>
      <c r="F1515" s="9"/>
      <c r="G1515" s="5"/>
      <c r="H1515" s="16"/>
      <c r="I1515" s="69"/>
      <c r="J1515" s="70"/>
      <c r="K1515" s="71"/>
      <c r="L1515" s="71"/>
      <c r="M1515" s="5"/>
    </row>
    <row r="1516" spans="1:13" s="3" customFormat="1">
      <c r="A1516" s="1"/>
      <c r="B1516" s="8"/>
      <c r="C1516" s="5"/>
      <c r="D1516" s="12"/>
      <c r="E1516" s="23"/>
      <c r="F1516" s="9"/>
      <c r="G1516" s="5"/>
      <c r="H1516" s="16"/>
      <c r="I1516" s="69"/>
      <c r="J1516" s="70"/>
      <c r="K1516" s="71"/>
      <c r="L1516" s="71"/>
      <c r="M1516" s="5"/>
    </row>
    <row r="1517" spans="1:13" s="3" customFormat="1">
      <c r="A1517" s="1"/>
      <c r="B1517" s="8"/>
      <c r="C1517" s="5"/>
      <c r="D1517" s="12"/>
      <c r="E1517" s="23"/>
      <c r="F1517" s="9"/>
      <c r="G1517" s="5"/>
      <c r="H1517" s="16"/>
      <c r="I1517" s="69"/>
      <c r="J1517" s="70"/>
      <c r="K1517" s="71"/>
      <c r="L1517" s="71"/>
      <c r="M1517" s="5"/>
    </row>
    <row r="1518" spans="1:13" s="3" customFormat="1">
      <c r="A1518" s="1"/>
      <c r="B1518" s="8"/>
      <c r="C1518" s="5"/>
      <c r="D1518" s="12"/>
      <c r="E1518" s="23"/>
      <c r="F1518" s="9"/>
      <c r="G1518" s="5"/>
      <c r="H1518" s="16"/>
      <c r="I1518" s="69"/>
      <c r="J1518" s="70"/>
      <c r="K1518" s="71"/>
      <c r="L1518" s="71"/>
      <c r="M1518" s="5"/>
    </row>
    <row r="1519" spans="1:13" s="3" customFormat="1">
      <c r="A1519" s="1"/>
      <c r="B1519" s="8"/>
      <c r="C1519" s="5"/>
      <c r="D1519" s="12"/>
      <c r="E1519" s="23"/>
      <c r="F1519" s="9"/>
      <c r="G1519" s="5"/>
      <c r="H1519" s="16"/>
      <c r="I1519" s="69"/>
      <c r="J1519" s="70"/>
      <c r="K1519" s="71"/>
      <c r="L1519" s="71"/>
      <c r="M1519" s="5"/>
    </row>
    <row r="1520" spans="1:13" s="3" customFormat="1">
      <c r="A1520" s="1"/>
      <c r="B1520" s="8"/>
      <c r="C1520" s="5"/>
      <c r="D1520" s="12"/>
      <c r="E1520" s="23"/>
      <c r="F1520" s="9"/>
      <c r="G1520" s="5"/>
      <c r="H1520" s="16"/>
      <c r="I1520" s="69"/>
      <c r="J1520" s="70"/>
      <c r="K1520" s="71"/>
      <c r="L1520" s="71"/>
      <c r="M1520" s="5"/>
    </row>
    <row r="1521" spans="1:13" s="3" customFormat="1">
      <c r="A1521" s="1"/>
      <c r="B1521" s="8"/>
      <c r="C1521" s="5"/>
      <c r="D1521" s="12"/>
      <c r="E1521" s="23"/>
      <c r="F1521" s="9"/>
      <c r="G1521" s="5"/>
      <c r="H1521" s="16"/>
      <c r="I1521" s="69"/>
      <c r="J1521" s="70"/>
      <c r="K1521" s="71"/>
      <c r="L1521" s="71"/>
      <c r="M1521" s="5"/>
    </row>
    <row r="1522" spans="1:13" s="3" customFormat="1">
      <c r="A1522" s="1"/>
      <c r="B1522" s="8"/>
      <c r="C1522" s="5"/>
      <c r="D1522" s="12"/>
      <c r="E1522" s="23"/>
      <c r="F1522" s="9"/>
      <c r="G1522" s="5"/>
      <c r="H1522" s="16"/>
      <c r="I1522" s="69"/>
      <c r="J1522" s="70"/>
      <c r="K1522" s="71"/>
      <c r="L1522" s="71"/>
      <c r="M1522" s="5"/>
    </row>
    <row r="1523" spans="1:13" s="3" customFormat="1">
      <c r="A1523" s="1"/>
      <c r="B1523" s="8"/>
      <c r="C1523" s="5"/>
      <c r="D1523" s="12"/>
      <c r="E1523" s="23"/>
      <c r="F1523" s="9"/>
      <c r="G1523" s="5"/>
      <c r="H1523" s="16"/>
      <c r="I1523" s="69"/>
      <c r="J1523" s="70"/>
      <c r="K1523" s="71"/>
      <c r="L1523" s="71"/>
      <c r="M1523" s="5"/>
    </row>
    <row r="1524" spans="1:13" s="3" customFormat="1">
      <c r="A1524" s="1"/>
      <c r="B1524" s="8"/>
      <c r="C1524" s="5"/>
      <c r="D1524" s="12"/>
      <c r="E1524" s="23"/>
      <c r="F1524" s="9"/>
      <c r="G1524" s="5"/>
      <c r="H1524" s="16"/>
      <c r="I1524" s="69"/>
      <c r="J1524" s="70"/>
      <c r="K1524" s="71"/>
      <c r="L1524" s="71"/>
      <c r="M1524" s="5"/>
    </row>
    <row r="1525" spans="1:13" s="3" customFormat="1">
      <c r="A1525" s="1"/>
      <c r="B1525" s="8"/>
      <c r="C1525" s="5"/>
      <c r="D1525" s="12"/>
      <c r="E1525" s="23"/>
      <c r="F1525" s="9"/>
      <c r="G1525" s="5"/>
      <c r="H1525" s="16"/>
      <c r="I1525" s="69"/>
      <c r="J1525" s="70"/>
      <c r="K1525" s="71"/>
      <c r="L1525" s="71"/>
      <c r="M1525" s="5"/>
    </row>
    <row r="1526" spans="1:13" s="3" customFormat="1">
      <c r="A1526" s="1"/>
      <c r="B1526" s="8"/>
      <c r="C1526" s="5"/>
      <c r="D1526" s="12"/>
      <c r="E1526" s="23"/>
      <c r="F1526" s="9"/>
      <c r="G1526" s="5"/>
      <c r="H1526" s="16"/>
      <c r="I1526" s="69"/>
      <c r="J1526" s="70"/>
      <c r="K1526" s="71"/>
      <c r="L1526" s="71"/>
      <c r="M1526" s="5"/>
    </row>
    <row r="1527" spans="1:13" s="3" customFormat="1">
      <c r="A1527" s="1"/>
      <c r="B1527" s="8"/>
      <c r="C1527" s="5"/>
      <c r="D1527" s="12"/>
      <c r="E1527" s="23"/>
      <c r="F1527" s="9"/>
      <c r="G1527" s="5"/>
      <c r="H1527" s="16"/>
      <c r="I1527" s="69"/>
      <c r="J1527" s="70"/>
      <c r="K1527" s="71"/>
      <c r="L1527" s="71"/>
      <c r="M1527" s="5"/>
    </row>
    <row r="1528" spans="1:13" s="3" customFormat="1">
      <c r="A1528" s="1"/>
      <c r="B1528" s="8"/>
      <c r="C1528" s="5"/>
      <c r="D1528" s="12"/>
      <c r="E1528" s="23"/>
      <c r="F1528" s="9"/>
      <c r="G1528" s="5"/>
      <c r="H1528" s="16"/>
      <c r="I1528" s="69"/>
      <c r="J1528" s="70"/>
      <c r="K1528" s="71"/>
      <c r="L1528" s="71"/>
      <c r="M1528" s="5"/>
    </row>
    <row r="1529" spans="1:13" s="3" customFormat="1">
      <c r="A1529" s="1"/>
      <c r="B1529" s="8"/>
      <c r="C1529" s="5"/>
      <c r="D1529" s="12"/>
      <c r="E1529" s="23"/>
      <c r="F1529" s="9"/>
      <c r="G1529" s="5"/>
      <c r="H1529" s="16"/>
      <c r="I1529" s="69"/>
      <c r="J1529" s="70"/>
      <c r="K1529" s="71"/>
      <c r="L1529" s="71"/>
      <c r="M1529" s="5"/>
    </row>
    <row r="1530" spans="1:13" s="3" customFormat="1">
      <c r="A1530" s="1"/>
      <c r="B1530" s="8"/>
      <c r="C1530" s="5"/>
      <c r="D1530" s="12"/>
      <c r="E1530" s="23"/>
      <c r="F1530" s="9"/>
      <c r="G1530" s="5"/>
      <c r="H1530" s="16"/>
      <c r="I1530" s="69"/>
      <c r="J1530" s="70"/>
      <c r="K1530" s="71"/>
      <c r="L1530" s="71"/>
      <c r="M1530" s="5"/>
    </row>
    <row r="1531" spans="1:13" s="3" customFormat="1">
      <c r="A1531" s="1"/>
      <c r="B1531" s="8"/>
      <c r="C1531" s="5"/>
      <c r="D1531" s="12"/>
      <c r="E1531" s="23"/>
      <c r="F1531" s="9"/>
      <c r="G1531" s="5"/>
      <c r="H1531" s="16"/>
      <c r="I1531" s="69"/>
      <c r="J1531" s="70"/>
      <c r="K1531" s="71"/>
      <c r="L1531" s="71"/>
      <c r="M1531" s="5"/>
    </row>
    <row r="1532" spans="1:13" s="3" customFormat="1">
      <c r="A1532" s="1"/>
      <c r="B1532" s="8"/>
      <c r="C1532" s="5"/>
      <c r="D1532" s="12"/>
      <c r="E1532" s="23"/>
      <c r="F1532" s="9"/>
      <c r="G1532" s="5"/>
      <c r="H1532" s="16"/>
      <c r="I1532" s="69"/>
      <c r="J1532" s="70"/>
      <c r="K1532" s="71"/>
      <c r="L1532" s="71"/>
      <c r="M1532" s="5"/>
    </row>
    <row r="1533" spans="1:13" s="3" customFormat="1">
      <c r="A1533" s="1"/>
      <c r="B1533" s="8"/>
      <c r="C1533" s="5"/>
      <c r="D1533" s="12"/>
      <c r="E1533" s="23"/>
      <c r="F1533" s="9"/>
      <c r="G1533" s="5"/>
      <c r="H1533" s="16"/>
      <c r="I1533" s="69"/>
      <c r="J1533" s="70"/>
      <c r="K1533" s="71"/>
      <c r="L1533" s="71"/>
      <c r="M1533" s="5"/>
    </row>
    <row r="1534" spans="1:13" s="3" customFormat="1">
      <c r="A1534" s="1"/>
      <c r="B1534" s="8"/>
      <c r="C1534" s="5"/>
      <c r="D1534" s="12"/>
      <c r="E1534" s="23"/>
      <c r="F1534" s="9"/>
      <c r="G1534" s="5"/>
      <c r="H1534" s="16"/>
      <c r="I1534" s="69"/>
      <c r="J1534" s="70"/>
      <c r="K1534" s="71"/>
      <c r="L1534" s="71"/>
      <c r="M1534" s="5"/>
    </row>
    <row r="1535" spans="1:13" s="3" customFormat="1">
      <c r="A1535" s="1"/>
      <c r="B1535" s="8"/>
      <c r="C1535" s="5"/>
      <c r="D1535" s="12"/>
      <c r="E1535" s="23"/>
      <c r="F1535" s="9"/>
      <c r="G1535" s="5"/>
      <c r="H1535" s="16"/>
      <c r="I1535" s="69"/>
      <c r="J1535" s="70"/>
      <c r="K1535" s="71"/>
      <c r="L1535" s="71"/>
      <c r="M1535" s="5"/>
    </row>
    <row r="1536" spans="1:13" s="3" customFormat="1">
      <c r="A1536" s="1"/>
      <c r="B1536" s="8"/>
      <c r="C1536" s="5"/>
      <c r="D1536" s="12"/>
      <c r="E1536" s="23"/>
      <c r="F1536" s="9"/>
      <c r="G1536" s="5"/>
      <c r="H1536" s="16"/>
      <c r="I1536" s="69"/>
      <c r="J1536" s="70"/>
      <c r="K1536" s="71"/>
      <c r="L1536" s="71"/>
      <c r="M1536" s="5"/>
    </row>
    <row r="1537" spans="1:13" s="3" customFormat="1">
      <c r="A1537" s="1"/>
      <c r="B1537" s="8"/>
      <c r="C1537" s="5"/>
      <c r="D1537" s="12"/>
      <c r="E1537" s="23"/>
      <c r="F1537" s="9"/>
      <c r="G1537" s="5"/>
      <c r="H1537" s="16"/>
      <c r="I1537" s="69"/>
      <c r="J1537" s="70"/>
      <c r="K1537" s="71"/>
      <c r="L1537" s="71"/>
      <c r="M1537" s="5"/>
    </row>
    <row r="1538" spans="1:13" s="3" customFormat="1">
      <c r="A1538" s="1"/>
      <c r="B1538" s="8"/>
      <c r="C1538" s="5"/>
      <c r="D1538" s="12"/>
      <c r="E1538" s="23"/>
      <c r="F1538" s="9"/>
      <c r="G1538" s="5"/>
      <c r="H1538" s="16"/>
      <c r="I1538" s="69"/>
      <c r="J1538" s="70"/>
      <c r="K1538" s="71"/>
      <c r="L1538" s="71"/>
      <c r="M1538" s="5"/>
    </row>
    <row r="1539" spans="1:13" s="3" customFormat="1">
      <c r="A1539" s="1"/>
      <c r="B1539" s="8"/>
      <c r="C1539" s="5"/>
      <c r="D1539" s="12"/>
      <c r="E1539" s="23"/>
      <c r="F1539" s="9"/>
      <c r="G1539" s="5"/>
      <c r="H1539" s="16"/>
      <c r="I1539" s="69"/>
      <c r="J1539" s="70"/>
      <c r="K1539" s="71"/>
      <c r="L1539" s="71"/>
      <c r="M1539" s="5"/>
    </row>
    <row r="1540" spans="1:13" s="3" customFormat="1">
      <c r="A1540" s="1"/>
      <c r="B1540" s="8"/>
      <c r="C1540" s="5"/>
      <c r="D1540" s="12"/>
      <c r="E1540" s="23"/>
      <c r="F1540" s="9"/>
      <c r="G1540" s="5"/>
      <c r="H1540" s="16"/>
      <c r="I1540" s="69"/>
      <c r="J1540" s="70"/>
      <c r="K1540" s="71"/>
      <c r="L1540" s="71"/>
      <c r="M1540" s="5"/>
    </row>
    <row r="1541" spans="1:13" s="3" customFormat="1">
      <c r="A1541" s="1"/>
      <c r="B1541" s="8"/>
      <c r="C1541" s="5"/>
      <c r="D1541" s="12"/>
      <c r="E1541" s="23"/>
      <c r="F1541" s="9"/>
      <c r="G1541" s="5"/>
      <c r="H1541" s="16"/>
      <c r="I1541" s="69"/>
      <c r="J1541" s="70"/>
      <c r="K1541" s="71"/>
      <c r="L1541" s="71"/>
      <c r="M1541" s="5"/>
    </row>
    <row r="1542" spans="1:13" s="3" customFormat="1">
      <c r="A1542" s="1"/>
      <c r="B1542" s="8"/>
      <c r="C1542" s="5"/>
      <c r="D1542" s="12"/>
      <c r="E1542" s="23"/>
      <c r="F1542" s="9"/>
      <c r="G1542" s="5"/>
      <c r="H1542" s="16"/>
      <c r="I1542" s="69"/>
      <c r="J1542" s="70"/>
      <c r="K1542" s="71"/>
      <c r="L1542" s="71"/>
      <c r="M1542" s="5"/>
    </row>
    <row r="1543" spans="1:13" s="3" customFormat="1">
      <c r="A1543" s="1"/>
      <c r="B1543" s="8"/>
      <c r="C1543" s="5"/>
      <c r="D1543" s="12"/>
      <c r="E1543" s="23"/>
      <c r="F1543" s="9"/>
      <c r="G1543" s="5"/>
      <c r="H1543" s="16"/>
      <c r="I1543" s="69"/>
      <c r="J1543" s="70"/>
      <c r="K1543" s="71"/>
      <c r="L1543" s="71"/>
      <c r="M1543" s="5"/>
    </row>
    <row r="1544" spans="1:13" s="3" customFormat="1">
      <c r="A1544" s="1"/>
      <c r="B1544" s="8"/>
      <c r="C1544" s="5"/>
      <c r="D1544" s="12"/>
      <c r="E1544" s="23"/>
      <c r="F1544" s="9"/>
      <c r="G1544" s="5"/>
      <c r="H1544" s="16"/>
      <c r="I1544" s="69"/>
      <c r="J1544" s="70"/>
      <c r="K1544" s="71"/>
      <c r="L1544" s="71"/>
      <c r="M1544" s="5"/>
    </row>
    <row r="1545" spans="1:13" s="3" customFormat="1">
      <c r="A1545" s="1"/>
      <c r="B1545" s="8"/>
      <c r="C1545" s="5"/>
      <c r="D1545" s="12"/>
      <c r="E1545" s="23"/>
      <c r="F1545" s="9"/>
      <c r="G1545" s="5"/>
      <c r="H1545" s="16"/>
      <c r="I1545" s="69"/>
      <c r="J1545" s="70"/>
      <c r="K1545" s="71"/>
      <c r="L1545" s="71"/>
      <c r="M1545" s="5"/>
    </row>
    <row r="1546" spans="1:13" s="3" customFormat="1">
      <c r="A1546" s="1"/>
      <c r="B1546" s="8"/>
      <c r="C1546" s="5"/>
      <c r="D1546" s="12"/>
      <c r="E1546" s="23"/>
      <c r="F1546" s="9"/>
      <c r="G1546" s="5"/>
      <c r="H1546" s="16"/>
      <c r="I1546" s="69"/>
      <c r="J1546" s="70"/>
      <c r="K1546" s="71"/>
      <c r="L1546" s="71"/>
      <c r="M1546" s="5"/>
    </row>
    <row r="1547" spans="1:13" s="3" customFormat="1">
      <c r="A1547" s="1"/>
      <c r="B1547" s="8"/>
      <c r="C1547" s="5"/>
      <c r="D1547" s="12"/>
      <c r="E1547" s="23"/>
      <c r="F1547" s="9"/>
      <c r="G1547" s="5"/>
      <c r="H1547" s="16"/>
      <c r="I1547" s="69"/>
      <c r="J1547" s="70"/>
      <c r="K1547" s="71"/>
      <c r="L1547" s="71"/>
      <c r="M1547" s="5"/>
    </row>
    <row r="1548" spans="1:13" s="3" customFormat="1">
      <c r="A1548" s="1"/>
      <c r="B1548" s="8"/>
      <c r="C1548" s="5"/>
      <c r="D1548" s="12"/>
      <c r="E1548" s="23"/>
      <c r="F1548" s="9"/>
      <c r="G1548" s="5"/>
      <c r="H1548" s="16"/>
      <c r="I1548" s="69"/>
      <c r="J1548" s="70"/>
      <c r="K1548" s="71"/>
      <c r="L1548" s="71"/>
      <c r="M1548" s="5"/>
    </row>
    <row r="1549" spans="1:13" s="3" customFormat="1">
      <c r="A1549" s="1"/>
      <c r="B1549" s="8"/>
      <c r="C1549" s="5"/>
      <c r="D1549" s="12"/>
      <c r="E1549" s="23"/>
      <c r="F1549" s="9"/>
      <c r="G1549" s="5"/>
      <c r="H1549" s="16"/>
      <c r="I1549" s="69"/>
      <c r="J1549" s="70"/>
      <c r="K1549" s="71"/>
      <c r="L1549" s="71"/>
      <c r="M1549" s="5"/>
    </row>
    <row r="1550" spans="1:13" s="3" customFormat="1">
      <c r="A1550" s="1"/>
      <c r="B1550" s="8"/>
      <c r="C1550" s="5"/>
      <c r="D1550" s="12"/>
      <c r="E1550" s="23"/>
      <c r="F1550" s="9"/>
      <c r="G1550" s="5"/>
      <c r="H1550" s="16"/>
      <c r="I1550" s="69"/>
      <c r="J1550" s="70"/>
      <c r="K1550" s="71"/>
      <c r="L1550" s="71"/>
      <c r="M1550" s="5"/>
    </row>
    <row r="1551" spans="1:13" s="3" customFormat="1">
      <c r="A1551" s="1"/>
      <c r="B1551" s="8"/>
      <c r="C1551" s="5"/>
      <c r="D1551" s="12"/>
      <c r="E1551" s="23"/>
      <c r="F1551" s="9"/>
      <c r="G1551" s="5"/>
      <c r="H1551" s="16"/>
      <c r="I1551" s="69"/>
      <c r="J1551" s="70"/>
      <c r="K1551" s="71"/>
      <c r="L1551" s="71"/>
      <c r="M1551" s="5"/>
    </row>
    <row r="1552" spans="1:13" s="3" customFormat="1">
      <c r="A1552" s="1"/>
      <c r="B1552" s="8"/>
      <c r="C1552" s="5"/>
      <c r="D1552" s="12"/>
      <c r="E1552" s="23"/>
      <c r="F1552" s="9"/>
      <c r="G1552" s="5"/>
      <c r="H1552" s="16"/>
      <c r="I1552" s="69"/>
      <c r="J1552" s="70"/>
      <c r="K1552" s="71"/>
      <c r="L1552" s="71"/>
      <c r="M1552" s="5"/>
    </row>
    <row r="1553" spans="1:13" s="3" customFormat="1">
      <c r="A1553" s="1"/>
      <c r="B1553" s="8"/>
      <c r="C1553" s="5"/>
      <c r="D1553" s="12"/>
      <c r="E1553" s="23"/>
      <c r="F1553" s="9"/>
      <c r="G1553" s="5"/>
      <c r="H1553" s="16"/>
      <c r="I1553" s="69"/>
      <c r="J1553" s="70"/>
      <c r="K1553" s="71"/>
      <c r="L1553" s="71"/>
      <c r="M1553" s="5"/>
    </row>
    <row r="1554" spans="1:13" s="3" customFormat="1">
      <c r="A1554" s="1"/>
      <c r="B1554" s="8"/>
      <c r="C1554" s="5"/>
      <c r="D1554" s="12"/>
      <c r="E1554" s="23"/>
      <c r="F1554" s="9"/>
      <c r="G1554" s="5"/>
      <c r="H1554" s="16"/>
      <c r="I1554" s="69"/>
      <c r="J1554" s="70"/>
      <c r="K1554" s="71"/>
      <c r="L1554" s="71"/>
      <c r="M1554" s="5"/>
    </row>
    <row r="1555" spans="1:13" s="3" customFormat="1">
      <c r="A1555" s="1"/>
      <c r="B1555" s="8"/>
      <c r="C1555" s="5"/>
      <c r="D1555" s="12"/>
      <c r="E1555" s="23"/>
      <c r="F1555" s="9"/>
      <c r="G1555" s="5"/>
      <c r="H1555" s="16"/>
      <c r="I1555" s="69"/>
      <c r="J1555" s="70"/>
      <c r="K1555" s="71"/>
      <c r="L1555" s="71"/>
      <c r="M1555" s="5"/>
    </row>
    <row r="1556" spans="1:13" s="3" customFormat="1">
      <c r="A1556" s="1"/>
      <c r="B1556" s="8"/>
      <c r="C1556" s="5"/>
      <c r="D1556" s="12"/>
      <c r="E1556" s="23"/>
      <c r="F1556" s="9"/>
      <c r="G1556" s="5"/>
      <c r="H1556" s="16"/>
      <c r="I1556" s="69"/>
      <c r="J1556" s="70"/>
      <c r="K1556" s="71"/>
      <c r="L1556" s="71"/>
      <c r="M1556" s="5"/>
    </row>
    <row r="1557" spans="1:13" s="3" customFormat="1">
      <c r="A1557" s="1"/>
      <c r="B1557" s="8"/>
      <c r="C1557" s="5"/>
      <c r="D1557" s="12"/>
      <c r="E1557" s="23"/>
      <c r="F1557" s="9"/>
      <c r="G1557" s="5"/>
      <c r="H1557" s="16"/>
      <c r="I1557" s="69"/>
      <c r="J1557" s="70"/>
      <c r="K1557" s="71"/>
      <c r="L1557" s="71"/>
      <c r="M1557" s="5"/>
    </row>
    <row r="1558" spans="1:13" s="3" customFormat="1">
      <c r="A1558" s="1"/>
      <c r="B1558" s="8"/>
      <c r="C1558" s="5"/>
      <c r="D1558" s="12"/>
      <c r="E1558" s="23"/>
      <c r="F1558" s="9"/>
      <c r="G1558" s="5"/>
      <c r="H1558" s="16"/>
      <c r="I1558" s="69"/>
      <c r="J1558" s="70"/>
      <c r="K1558" s="71"/>
      <c r="L1558" s="71"/>
      <c r="M1558" s="5"/>
    </row>
    <row r="1559" spans="1:13" s="3" customFormat="1">
      <c r="A1559" s="1"/>
      <c r="B1559" s="8"/>
      <c r="C1559" s="5"/>
      <c r="D1559" s="12"/>
      <c r="E1559" s="23"/>
      <c r="F1559" s="9"/>
      <c r="G1559" s="5"/>
      <c r="H1559" s="16"/>
      <c r="I1559" s="69"/>
      <c r="J1559" s="70"/>
      <c r="K1559" s="71"/>
      <c r="L1559" s="71"/>
      <c r="M1559" s="5"/>
    </row>
    <row r="1560" spans="1:13" s="3" customFormat="1">
      <c r="A1560" s="1"/>
      <c r="B1560" s="8"/>
      <c r="C1560" s="5"/>
      <c r="D1560" s="12"/>
      <c r="E1560" s="23"/>
      <c r="F1560" s="9"/>
      <c r="G1560" s="5"/>
      <c r="H1560" s="16"/>
      <c r="I1560" s="69"/>
      <c r="J1560" s="70"/>
      <c r="K1560" s="71"/>
      <c r="L1560" s="71"/>
      <c r="M1560" s="5"/>
    </row>
    <row r="1561" spans="1:13" s="3" customFormat="1">
      <c r="A1561" s="1"/>
      <c r="B1561" s="8"/>
      <c r="C1561" s="5"/>
      <c r="D1561" s="12"/>
      <c r="E1561" s="23"/>
      <c r="F1561" s="9"/>
      <c r="G1561" s="5"/>
      <c r="H1561" s="16"/>
      <c r="I1561" s="69"/>
      <c r="J1561" s="70"/>
      <c r="K1561" s="71"/>
      <c r="L1561" s="71"/>
      <c r="M1561" s="5"/>
    </row>
    <row r="1562" spans="1:13" s="3" customFormat="1">
      <c r="A1562" s="1"/>
      <c r="B1562" s="8"/>
      <c r="C1562" s="5"/>
      <c r="D1562" s="12"/>
      <c r="E1562" s="23"/>
      <c r="F1562" s="9"/>
      <c r="G1562" s="5"/>
      <c r="H1562" s="16"/>
      <c r="I1562" s="69"/>
      <c r="J1562" s="70"/>
      <c r="K1562" s="71"/>
      <c r="L1562" s="71"/>
      <c r="M1562" s="5"/>
    </row>
    <row r="1563" spans="1:13" s="3" customFormat="1">
      <c r="A1563" s="1"/>
      <c r="B1563" s="8"/>
      <c r="C1563" s="5"/>
      <c r="D1563" s="12"/>
      <c r="E1563" s="23"/>
      <c r="F1563" s="9"/>
      <c r="G1563" s="5"/>
      <c r="H1563" s="16"/>
      <c r="I1563" s="69"/>
      <c r="J1563" s="70"/>
      <c r="K1563" s="71"/>
      <c r="L1563" s="71"/>
      <c r="M1563" s="5"/>
    </row>
    <row r="1564" spans="1:13" s="3" customFormat="1">
      <c r="A1564" s="1"/>
      <c r="B1564" s="8"/>
      <c r="C1564" s="5"/>
      <c r="D1564" s="12"/>
      <c r="E1564" s="23"/>
      <c r="F1564" s="9"/>
      <c r="G1564" s="5"/>
      <c r="H1564" s="16"/>
      <c r="I1564" s="69"/>
      <c r="J1564" s="70"/>
      <c r="K1564" s="71"/>
      <c r="L1564" s="71"/>
      <c r="M1564" s="5"/>
    </row>
    <row r="1565" spans="1:13" s="3" customFormat="1">
      <c r="A1565" s="1"/>
      <c r="B1565" s="8"/>
      <c r="C1565" s="5"/>
      <c r="D1565" s="12"/>
      <c r="E1565" s="23"/>
      <c r="F1565" s="9"/>
      <c r="G1565" s="5"/>
      <c r="H1565" s="16"/>
      <c r="I1565" s="69"/>
      <c r="J1565" s="70"/>
      <c r="K1565" s="71"/>
      <c r="L1565" s="71"/>
      <c r="M1565" s="5"/>
    </row>
    <row r="1566" spans="1:13" s="3" customFormat="1">
      <c r="A1566" s="1"/>
      <c r="B1566" s="8"/>
      <c r="C1566" s="5"/>
      <c r="D1566" s="12"/>
      <c r="E1566" s="23"/>
      <c r="F1566" s="9"/>
      <c r="G1566" s="5"/>
      <c r="H1566" s="16"/>
      <c r="I1566" s="69"/>
      <c r="J1566" s="70"/>
      <c r="K1566" s="71"/>
      <c r="L1566" s="71"/>
      <c r="M1566" s="5"/>
    </row>
    <row r="1567" spans="1:13" s="3" customFormat="1">
      <c r="A1567" s="1"/>
      <c r="B1567" s="8"/>
      <c r="C1567" s="5"/>
      <c r="D1567" s="12"/>
      <c r="E1567" s="23"/>
      <c r="F1567" s="9"/>
      <c r="G1567" s="5"/>
      <c r="H1567" s="16"/>
      <c r="I1567" s="69"/>
      <c r="J1567" s="70"/>
      <c r="K1567" s="71"/>
      <c r="L1567" s="71"/>
      <c r="M1567" s="5"/>
    </row>
    <row r="1568" spans="1:13" s="3" customFormat="1">
      <c r="A1568" s="1"/>
      <c r="B1568" s="8"/>
      <c r="C1568" s="5"/>
      <c r="D1568" s="12"/>
      <c r="E1568" s="23"/>
      <c r="F1568" s="9"/>
      <c r="G1568" s="5"/>
      <c r="H1568" s="16"/>
      <c r="I1568" s="69"/>
      <c r="J1568" s="70"/>
      <c r="K1568" s="71"/>
      <c r="L1568" s="71"/>
      <c r="M1568" s="5"/>
    </row>
    <row r="1569" spans="1:13" s="3" customFormat="1">
      <c r="A1569" s="1"/>
      <c r="B1569" s="8"/>
      <c r="C1569" s="5"/>
      <c r="D1569" s="12"/>
      <c r="E1569" s="23"/>
      <c r="F1569" s="9"/>
      <c r="G1569" s="5"/>
      <c r="H1569" s="16"/>
      <c r="I1569" s="69"/>
      <c r="J1569" s="70"/>
      <c r="K1569" s="71"/>
      <c r="L1569" s="71"/>
      <c r="M1569" s="5"/>
    </row>
    <row r="1570" spans="1:13" s="3" customFormat="1">
      <c r="A1570" s="1"/>
      <c r="B1570" s="8"/>
      <c r="C1570" s="5"/>
      <c r="D1570" s="12"/>
      <c r="E1570" s="23"/>
      <c r="F1570" s="9"/>
      <c r="G1570" s="5"/>
      <c r="H1570" s="16"/>
      <c r="I1570" s="69"/>
      <c r="J1570" s="70"/>
      <c r="K1570" s="71"/>
      <c r="L1570" s="71"/>
      <c r="M1570" s="5"/>
    </row>
    <row r="1571" spans="1:13" s="3" customFormat="1">
      <c r="A1571" s="1"/>
      <c r="B1571" s="8"/>
      <c r="C1571" s="5"/>
      <c r="D1571" s="12"/>
      <c r="E1571" s="23"/>
      <c r="F1571" s="9"/>
      <c r="G1571" s="5"/>
      <c r="H1571" s="16"/>
      <c r="I1571" s="69"/>
      <c r="J1571" s="70"/>
      <c r="K1571" s="71"/>
      <c r="L1571" s="71"/>
      <c r="M1571" s="5"/>
    </row>
    <row r="1572" spans="1:13" s="3" customFormat="1">
      <c r="A1572" s="1"/>
      <c r="B1572" s="8"/>
      <c r="C1572" s="5"/>
      <c r="D1572" s="12"/>
      <c r="E1572" s="23"/>
      <c r="F1572" s="9"/>
      <c r="G1572" s="5"/>
      <c r="H1572" s="16"/>
      <c r="I1572" s="69"/>
      <c r="J1572" s="70"/>
      <c r="K1572" s="71"/>
      <c r="L1572" s="71"/>
      <c r="M1572" s="5"/>
    </row>
    <row r="1573" spans="1:13" s="3" customFormat="1">
      <c r="A1573" s="1"/>
      <c r="B1573" s="8"/>
      <c r="C1573" s="5"/>
      <c r="D1573" s="12"/>
      <c r="E1573" s="23"/>
      <c r="F1573" s="9"/>
      <c r="G1573" s="5"/>
      <c r="H1573" s="16"/>
      <c r="I1573" s="69"/>
      <c r="J1573" s="70"/>
      <c r="K1573" s="71"/>
      <c r="L1573" s="71"/>
      <c r="M1573" s="5"/>
    </row>
    <row r="1574" spans="1:13" s="3" customFormat="1">
      <c r="A1574" s="1"/>
      <c r="B1574" s="8"/>
      <c r="C1574" s="5"/>
      <c r="D1574" s="12"/>
      <c r="E1574" s="23"/>
      <c r="F1574" s="9"/>
      <c r="G1574" s="5"/>
      <c r="H1574" s="16"/>
      <c r="I1574" s="69"/>
      <c r="J1574" s="70"/>
      <c r="K1574" s="71"/>
      <c r="L1574" s="71"/>
      <c r="M1574" s="5"/>
    </row>
    <row r="1575" spans="1:13" s="3" customFormat="1">
      <c r="A1575" s="1"/>
      <c r="B1575" s="8"/>
      <c r="C1575" s="5"/>
      <c r="D1575" s="12"/>
      <c r="E1575" s="23"/>
      <c r="F1575" s="9"/>
      <c r="G1575" s="5"/>
      <c r="H1575" s="16"/>
      <c r="I1575" s="69"/>
      <c r="J1575" s="70"/>
      <c r="K1575" s="71"/>
      <c r="L1575" s="71"/>
      <c r="M1575" s="5"/>
    </row>
    <row r="1576" spans="1:13" s="3" customFormat="1">
      <c r="A1576" s="1"/>
      <c r="B1576" s="8"/>
      <c r="C1576" s="5"/>
      <c r="D1576" s="12"/>
      <c r="E1576" s="23"/>
      <c r="F1576" s="9"/>
      <c r="G1576" s="5"/>
      <c r="H1576" s="16"/>
      <c r="I1576" s="69"/>
      <c r="J1576" s="70"/>
      <c r="K1576" s="71"/>
      <c r="L1576" s="71"/>
      <c r="M1576" s="5"/>
    </row>
    <row r="1577" spans="1:13" s="3" customFormat="1">
      <c r="A1577" s="1"/>
      <c r="B1577" s="8"/>
      <c r="C1577" s="5"/>
      <c r="D1577" s="12"/>
      <c r="E1577" s="23"/>
      <c r="F1577" s="9"/>
      <c r="G1577" s="5"/>
      <c r="H1577" s="16"/>
      <c r="I1577" s="69"/>
      <c r="J1577" s="70"/>
      <c r="K1577" s="71"/>
      <c r="L1577" s="71"/>
      <c r="M1577" s="5"/>
    </row>
    <row r="1578" spans="1:13" s="3" customFormat="1">
      <c r="A1578" s="1"/>
      <c r="B1578" s="8"/>
      <c r="C1578" s="5"/>
      <c r="D1578" s="12"/>
      <c r="E1578" s="23"/>
      <c r="F1578" s="9"/>
      <c r="G1578" s="5"/>
      <c r="H1578" s="16"/>
      <c r="I1578" s="69"/>
      <c r="J1578" s="70"/>
      <c r="K1578" s="71"/>
      <c r="L1578" s="71"/>
      <c r="M1578" s="5"/>
    </row>
    <row r="1579" spans="1:13" s="3" customFormat="1">
      <c r="A1579" s="1"/>
      <c r="B1579" s="8"/>
      <c r="C1579" s="5"/>
      <c r="D1579" s="12"/>
      <c r="E1579" s="23"/>
      <c r="F1579" s="9"/>
      <c r="G1579" s="5"/>
      <c r="H1579" s="16"/>
      <c r="I1579" s="69"/>
      <c r="J1579" s="70"/>
      <c r="K1579" s="71"/>
      <c r="L1579" s="71"/>
      <c r="M1579" s="5"/>
    </row>
    <row r="1580" spans="1:13" s="3" customFormat="1">
      <c r="A1580" s="1"/>
      <c r="B1580" s="8"/>
      <c r="C1580" s="5"/>
      <c r="D1580" s="12"/>
      <c r="E1580" s="23"/>
      <c r="F1580" s="9"/>
      <c r="G1580" s="5"/>
      <c r="H1580" s="16"/>
      <c r="I1580" s="69"/>
      <c r="J1580" s="70"/>
      <c r="K1580" s="71"/>
      <c r="L1580" s="71"/>
      <c r="M1580" s="5"/>
    </row>
    <row r="1581" spans="1:13" s="3" customFormat="1">
      <c r="A1581" s="1"/>
      <c r="B1581" s="8"/>
      <c r="C1581" s="5"/>
      <c r="D1581" s="12"/>
      <c r="E1581" s="23"/>
      <c r="F1581" s="9"/>
      <c r="G1581" s="5"/>
      <c r="H1581" s="16"/>
      <c r="I1581" s="69"/>
      <c r="J1581" s="70"/>
      <c r="K1581" s="71"/>
      <c r="L1581" s="71"/>
      <c r="M1581" s="5"/>
    </row>
    <row r="1582" spans="1:13" s="3" customFormat="1">
      <c r="A1582" s="1"/>
      <c r="B1582" s="8"/>
      <c r="C1582" s="5"/>
      <c r="D1582" s="12"/>
      <c r="E1582" s="23"/>
      <c r="F1582" s="9"/>
      <c r="G1582" s="5"/>
      <c r="H1582" s="16"/>
      <c r="I1582" s="69"/>
      <c r="J1582" s="70"/>
      <c r="K1582" s="71"/>
      <c r="L1582" s="71"/>
      <c r="M1582" s="5"/>
    </row>
    <row r="1583" spans="1:13" s="3" customFormat="1">
      <c r="A1583" s="1"/>
      <c r="B1583" s="8"/>
      <c r="C1583" s="5"/>
      <c r="D1583" s="12"/>
      <c r="E1583" s="23"/>
      <c r="F1583" s="9"/>
      <c r="G1583" s="5"/>
      <c r="H1583" s="16"/>
      <c r="I1583" s="69"/>
      <c r="J1583" s="70"/>
      <c r="K1583" s="71"/>
      <c r="L1583" s="71"/>
      <c r="M1583" s="5"/>
    </row>
    <row r="1584" spans="1:13" s="3" customFormat="1">
      <c r="A1584" s="1"/>
      <c r="B1584" s="8"/>
      <c r="C1584" s="5"/>
      <c r="D1584" s="12"/>
      <c r="E1584" s="23"/>
      <c r="F1584" s="9"/>
      <c r="G1584" s="5"/>
      <c r="H1584" s="16"/>
      <c r="I1584" s="69"/>
      <c r="J1584" s="70"/>
      <c r="K1584" s="71"/>
      <c r="L1584" s="71"/>
      <c r="M1584" s="5"/>
    </row>
    <row r="1585" spans="1:13" s="3" customFormat="1">
      <c r="A1585" s="1"/>
      <c r="B1585" s="8"/>
      <c r="C1585" s="5"/>
      <c r="D1585" s="12"/>
      <c r="E1585" s="23"/>
      <c r="F1585" s="9"/>
      <c r="G1585" s="5"/>
      <c r="H1585" s="16"/>
      <c r="I1585" s="69"/>
      <c r="J1585" s="70"/>
      <c r="K1585" s="71"/>
      <c r="L1585" s="71"/>
      <c r="M1585" s="5"/>
    </row>
    <row r="1586" spans="1:13" s="3" customFormat="1">
      <c r="A1586" s="1"/>
      <c r="B1586" s="8"/>
      <c r="C1586" s="5"/>
      <c r="D1586" s="12"/>
      <c r="E1586" s="23"/>
      <c r="F1586" s="9"/>
      <c r="G1586" s="5"/>
      <c r="H1586" s="16"/>
      <c r="I1586" s="69"/>
      <c r="J1586" s="70"/>
      <c r="K1586" s="71"/>
      <c r="L1586" s="71"/>
      <c r="M1586" s="5"/>
    </row>
    <row r="1587" spans="1:13" s="3" customFormat="1">
      <c r="A1587" s="1"/>
      <c r="B1587" s="8"/>
      <c r="C1587" s="5"/>
      <c r="D1587" s="12"/>
      <c r="E1587" s="23"/>
      <c r="F1587" s="9"/>
      <c r="G1587" s="5"/>
      <c r="H1587" s="16"/>
      <c r="I1587" s="69"/>
      <c r="J1587" s="70"/>
      <c r="K1587" s="71"/>
      <c r="L1587" s="71"/>
      <c r="M1587" s="5"/>
    </row>
    <row r="1588" spans="1:13" s="3" customFormat="1">
      <c r="A1588" s="1"/>
      <c r="B1588" s="8"/>
      <c r="C1588" s="5"/>
      <c r="D1588" s="12"/>
      <c r="E1588" s="23"/>
      <c r="F1588" s="9"/>
      <c r="G1588" s="5"/>
      <c r="H1588" s="16"/>
      <c r="I1588" s="69"/>
      <c r="J1588" s="70"/>
      <c r="K1588" s="71"/>
      <c r="L1588" s="71"/>
      <c r="M1588" s="5"/>
    </row>
    <row r="1589" spans="1:13" s="3" customFormat="1">
      <c r="A1589" s="1"/>
      <c r="B1589" s="8"/>
      <c r="C1589" s="5"/>
      <c r="D1589" s="12"/>
      <c r="E1589" s="23"/>
      <c r="F1589" s="9"/>
      <c r="G1589" s="5"/>
      <c r="H1589" s="16"/>
      <c r="I1589" s="69"/>
      <c r="J1589" s="70"/>
      <c r="K1589" s="71"/>
      <c r="L1589" s="71"/>
      <c r="M1589" s="5"/>
    </row>
    <row r="1590" spans="1:13" s="3" customFormat="1">
      <c r="A1590" s="1"/>
      <c r="B1590" s="8"/>
      <c r="C1590" s="5"/>
      <c r="D1590" s="12"/>
      <c r="E1590" s="23"/>
      <c r="F1590" s="9"/>
      <c r="G1590" s="5"/>
      <c r="H1590" s="16"/>
      <c r="I1590" s="69"/>
      <c r="J1590" s="70"/>
      <c r="K1590" s="71"/>
      <c r="L1590" s="71"/>
      <c r="M1590" s="5"/>
    </row>
    <row r="1591" spans="1:13" s="3" customFormat="1">
      <c r="A1591" s="1"/>
      <c r="B1591" s="8"/>
      <c r="C1591" s="5"/>
      <c r="D1591" s="12"/>
      <c r="E1591" s="23"/>
      <c r="F1591" s="9"/>
      <c r="G1591" s="5"/>
      <c r="H1591" s="16"/>
      <c r="I1591" s="69"/>
      <c r="J1591" s="70"/>
      <c r="K1591" s="71"/>
      <c r="L1591" s="71"/>
      <c r="M1591" s="5"/>
    </row>
    <row r="1592" spans="1:13" s="3" customFormat="1">
      <c r="A1592" s="1"/>
      <c r="B1592" s="8"/>
      <c r="C1592" s="5"/>
      <c r="D1592" s="12"/>
      <c r="E1592" s="23"/>
      <c r="F1592" s="9"/>
      <c r="G1592" s="5"/>
      <c r="H1592" s="16"/>
      <c r="I1592" s="69"/>
      <c r="J1592" s="70"/>
      <c r="K1592" s="71"/>
      <c r="L1592" s="71"/>
      <c r="M1592" s="5"/>
    </row>
    <row r="1593" spans="1:13" s="3" customFormat="1">
      <c r="A1593" s="1"/>
      <c r="B1593" s="8"/>
      <c r="C1593" s="5"/>
      <c r="D1593" s="12"/>
      <c r="E1593" s="23"/>
      <c r="F1593" s="9"/>
      <c r="G1593" s="5"/>
      <c r="H1593" s="16"/>
      <c r="I1593" s="69"/>
      <c r="J1593" s="70"/>
      <c r="K1593" s="71"/>
      <c r="L1593" s="71"/>
      <c r="M1593" s="5"/>
    </row>
    <row r="1594" spans="1:13" s="3" customFormat="1">
      <c r="A1594" s="1"/>
      <c r="B1594" s="8"/>
      <c r="C1594" s="5"/>
      <c r="D1594" s="12"/>
      <c r="E1594" s="23"/>
      <c r="F1594" s="9"/>
      <c r="G1594" s="5"/>
      <c r="H1594" s="16"/>
      <c r="I1594" s="69"/>
      <c r="J1594" s="70"/>
      <c r="K1594" s="71"/>
      <c r="L1594" s="71"/>
      <c r="M1594" s="5"/>
    </row>
    <row r="1595" spans="1:13" s="3" customFormat="1">
      <c r="A1595" s="1"/>
      <c r="B1595" s="8"/>
      <c r="C1595" s="5"/>
      <c r="D1595" s="12"/>
      <c r="E1595" s="23"/>
      <c r="F1595" s="9"/>
      <c r="G1595" s="5"/>
      <c r="H1595" s="16"/>
      <c r="I1595" s="69"/>
      <c r="J1595" s="70"/>
      <c r="K1595" s="71"/>
      <c r="L1595" s="71"/>
      <c r="M1595" s="5"/>
    </row>
    <row r="1596" spans="1:13" s="3" customFormat="1">
      <c r="A1596" s="1"/>
      <c r="B1596" s="8"/>
      <c r="C1596" s="5"/>
      <c r="D1596" s="12"/>
      <c r="E1596" s="23"/>
      <c r="F1596" s="9"/>
      <c r="G1596" s="5"/>
      <c r="H1596" s="16"/>
      <c r="I1596" s="69"/>
      <c r="J1596" s="70"/>
      <c r="K1596" s="71"/>
      <c r="L1596" s="71"/>
      <c r="M1596" s="5"/>
    </row>
    <row r="1597" spans="1:13" s="3" customFormat="1">
      <c r="A1597" s="1"/>
      <c r="B1597" s="8"/>
      <c r="C1597" s="5"/>
      <c r="D1597" s="12"/>
      <c r="E1597" s="23"/>
      <c r="F1597" s="9"/>
      <c r="G1597" s="5"/>
      <c r="H1597" s="16"/>
      <c r="I1597" s="69"/>
      <c r="J1597" s="70"/>
      <c r="K1597" s="71"/>
      <c r="L1597" s="71"/>
      <c r="M1597" s="5"/>
    </row>
    <row r="1598" spans="1:13" s="3" customFormat="1">
      <c r="A1598" s="1"/>
      <c r="B1598" s="8"/>
      <c r="C1598" s="5"/>
      <c r="D1598" s="12"/>
      <c r="E1598" s="23"/>
      <c r="F1598" s="9"/>
      <c r="G1598" s="5"/>
      <c r="H1598" s="16"/>
      <c r="I1598" s="69"/>
      <c r="J1598" s="70"/>
      <c r="K1598" s="71"/>
      <c r="L1598" s="71"/>
      <c r="M1598" s="5"/>
    </row>
    <row r="1599" spans="1:13" s="3" customFormat="1">
      <c r="A1599" s="1"/>
      <c r="B1599" s="8"/>
      <c r="C1599" s="5"/>
      <c r="D1599" s="12"/>
      <c r="E1599" s="23"/>
      <c r="F1599" s="9"/>
      <c r="G1599" s="5"/>
      <c r="H1599" s="16"/>
      <c r="I1599" s="69"/>
      <c r="J1599" s="70"/>
      <c r="K1599" s="71"/>
      <c r="L1599" s="71"/>
      <c r="M1599" s="5"/>
    </row>
    <row r="1600" spans="1:13" s="3" customFormat="1">
      <c r="A1600" s="1"/>
      <c r="B1600" s="8"/>
      <c r="C1600" s="5"/>
      <c r="D1600" s="12"/>
      <c r="E1600" s="23"/>
      <c r="F1600" s="9"/>
      <c r="G1600" s="5"/>
      <c r="H1600" s="16"/>
      <c r="I1600" s="69"/>
      <c r="J1600" s="70"/>
      <c r="K1600" s="71"/>
      <c r="L1600" s="71"/>
      <c r="M1600" s="5"/>
    </row>
    <row r="1601" spans="1:13" s="3" customFormat="1">
      <c r="A1601" s="1"/>
      <c r="B1601" s="8"/>
      <c r="C1601" s="5"/>
      <c r="D1601" s="12"/>
      <c r="E1601" s="23"/>
      <c r="F1601" s="9"/>
      <c r="G1601" s="5"/>
      <c r="H1601" s="16"/>
      <c r="I1601" s="69"/>
      <c r="J1601" s="70"/>
      <c r="K1601" s="71"/>
      <c r="L1601" s="71"/>
      <c r="M1601" s="5"/>
    </row>
    <row r="1602" spans="1:13" s="3" customFormat="1">
      <c r="A1602" s="1"/>
      <c r="B1602" s="8"/>
      <c r="C1602" s="5"/>
      <c r="D1602" s="12"/>
      <c r="E1602" s="23"/>
      <c r="F1602" s="9"/>
      <c r="G1602" s="5"/>
      <c r="H1602" s="16"/>
      <c r="I1602" s="69"/>
      <c r="J1602" s="70"/>
      <c r="K1602" s="71"/>
      <c r="L1602" s="71"/>
      <c r="M1602" s="5"/>
    </row>
    <row r="1603" spans="1:13" s="3" customFormat="1">
      <c r="A1603" s="1"/>
      <c r="B1603" s="8"/>
      <c r="C1603" s="5"/>
      <c r="D1603" s="12"/>
      <c r="E1603" s="23"/>
      <c r="F1603" s="9"/>
      <c r="G1603" s="5"/>
      <c r="H1603" s="16"/>
      <c r="I1603" s="69"/>
      <c r="J1603" s="70"/>
      <c r="K1603" s="71"/>
      <c r="L1603" s="71"/>
      <c r="M1603" s="5"/>
    </row>
    <row r="1604" spans="1:13" s="3" customFormat="1">
      <c r="A1604" s="1"/>
      <c r="B1604" s="8"/>
      <c r="C1604" s="5"/>
      <c r="D1604" s="12"/>
      <c r="E1604" s="23"/>
      <c r="F1604" s="9"/>
      <c r="G1604" s="5"/>
      <c r="H1604" s="16"/>
      <c r="I1604" s="69"/>
      <c r="J1604" s="70"/>
      <c r="K1604" s="71"/>
      <c r="L1604" s="71"/>
      <c r="M1604" s="5"/>
    </row>
    <row r="1605" spans="1:13" s="3" customFormat="1">
      <c r="A1605" s="1"/>
      <c r="B1605" s="8"/>
      <c r="C1605" s="5"/>
      <c r="D1605" s="12"/>
      <c r="E1605" s="23"/>
      <c r="F1605" s="9"/>
      <c r="G1605" s="5"/>
      <c r="H1605" s="16"/>
      <c r="I1605" s="69"/>
      <c r="J1605" s="70"/>
      <c r="K1605" s="71"/>
      <c r="L1605" s="71"/>
      <c r="M1605" s="5"/>
    </row>
    <row r="1606" spans="1:13" s="3" customFormat="1">
      <c r="A1606" s="1"/>
      <c r="B1606" s="8"/>
      <c r="C1606" s="5"/>
      <c r="D1606" s="12"/>
      <c r="E1606" s="23"/>
      <c r="F1606" s="9"/>
      <c r="G1606" s="5"/>
      <c r="H1606" s="16"/>
      <c r="I1606" s="69"/>
      <c r="J1606" s="70"/>
      <c r="K1606" s="71"/>
      <c r="L1606" s="71"/>
      <c r="M1606" s="5"/>
    </row>
    <row r="1607" spans="1:13" s="3" customFormat="1">
      <c r="A1607" s="1"/>
      <c r="B1607" s="8"/>
      <c r="C1607" s="5"/>
      <c r="D1607" s="12"/>
      <c r="E1607" s="23"/>
      <c r="F1607" s="9"/>
      <c r="G1607" s="5"/>
      <c r="H1607" s="16"/>
      <c r="I1607" s="69"/>
      <c r="J1607" s="70"/>
      <c r="K1607" s="71"/>
      <c r="L1607" s="71"/>
      <c r="M1607" s="5"/>
    </row>
    <row r="1608" spans="1:13" s="3" customFormat="1">
      <c r="A1608" s="1"/>
      <c r="B1608" s="8"/>
      <c r="C1608" s="5"/>
      <c r="D1608" s="12"/>
      <c r="E1608" s="23"/>
      <c r="F1608" s="9"/>
      <c r="G1608" s="5"/>
      <c r="H1608" s="16"/>
      <c r="I1608" s="69"/>
      <c r="J1608" s="70"/>
      <c r="K1608" s="71"/>
      <c r="L1608" s="71"/>
      <c r="M1608" s="5"/>
    </row>
    <row r="1609" spans="1:13" s="3" customFormat="1">
      <c r="A1609" s="1"/>
      <c r="B1609" s="8"/>
      <c r="C1609" s="5"/>
      <c r="D1609" s="12"/>
      <c r="E1609" s="23"/>
      <c r="F1609" s="9"/>
      <c r="G1609" s="5"/>
      <c r="H1609" s="16"/>
      <c r="I1609" s="69"/>
      <c r="J1609" s="70"/>
      <c r="K1609" s="71"/>
      <c r="L1609" s="71"/>
      <c r="M1609" s="5"/>
    </row>
    <row r="1610" spans="1:13" s="3" customFormat="1">
      <c r="A1610" s="1"/>
      <c r="B1610" s="8"/>
      <c r="C1610" s="5"/>
      <c r="D1610" s="12"/>
      <c r="E1610" s="23"/>
      <c r="F1610" s="9"/>
      <c r="G1610" s="5"/>
      <c r="H1610" s="16"/>
      <c r="I1610" s="69"/>
      <c r="J1610" s="70"/>
      <c r="K1610" s="71"/>
      <c r="L1610" s="71"/>
      <c r="M1610" s="5"/>
    </row>
    <row r="1611" spans="1:13" s="3" customFormat="1">
      <c r="A1611" s="1"/>
      <c r="B1611" s="8"/>
      <c r="C1611" s="5"/>
      <c r="D1611" s="12"/>
      <c r="E1611" s="23"/>
      <c r="F1611" s="9"/>
      <c r="G1611" s="5"/>
      <c r="H1611" s="16"/>
      <c r="I1611" s="69"/>
      <c r="J1611" s="70"/>
      <c r="K1611" s="71"/>
      <c r="L1611" s="71"/>
      <c r="M1611" s="5"/>
    </row>
    <row r="1612" spans="1:13" s="3" customFormat="1">
      <c r="A1612" s="1"/>
      <c r="B1612" s="8"/>
      <c r="C1612" s="5"/>
      <c r="D1612" s="12"/>
      <c r="E1612" s="23"/>
      <c r="F1612" s="9"/>
      <c r="G1612" s="5"/>
      <c r="H1612" s="16"/>
      <c r="I1612" s="69"/>
      <c r="J1612" s="70"/>
      <c r="K1612" s="71"/>
      <c r="L1612" s="71"/>
      <c r="M1612" s="5"/>
    </row>
    <row r="1613" spans="1:13" s="3" customFormat="1">
      <c r="A1613" s="1"/>
      <c r="B1613" s="8"/>
      <c r="C1613" s="5"/>
      <c r="D1613" s="12"/>
      <c r="E1613" s="23"/>
      <c r="F1613" s="9"/>
      <c r="G1613" s="5"/>
      <c r="H1613" s="16"/>
      <c r="I1613" s="69"/>
      <c r="J1613" s="70"/>
      <c r="K1613" s="71"/>
      <c r="L1613" s="71"/>
      <c r="M1613" s="5"/>
    </row>
    <row r="1614" spans="1:13" s="3" customFormat="1">
      <c r="A1614" s="1"/>
      <c r="B1614" s="8"/>
      <c r="C1614" s="5"/>
      <c r="D1614" s="12"/>
      <c r="E1614" s="23"/>
      <c r="F1614" s="9"/>
      <c r="G1614" s="5"/>
      <c r="H1614" s="16"/>
      <c r="I1614" s="69"/>
      <c r="J1614" s="70"/>
      <c r="K1614" s="71"/>
      <c r="L1614" s="71"/>
      <c r="M1614" s="5"/>
    </row>
    <row r="1615" spans="1:13" s="3" customFormat="1">
      <c r="A1615" s="1"/>
      <c r="B1615" s="8"/>
      <c r="C1615" s="5"/>
      <c r="D1615" s="12"/>
      <c r="E1615" s="23"/>
      <c r="F1615" s="9"/>
      <c r="G1615" s="5"/>
      <c r="H1615" s="16"/>
      <c r="I1615" s="69"/>
      <c r="J1615" s="70"/>
      <c r="K1615" s="71"/>
      <c r="L1615" s="71"/>
      <c r="M1615" s="5"/>
    </row>
    <row r="1616" spans="1:13" s="3" customFormat="1">
      <c r="A1616" s="1"/>
      <c r="B1616" s="8"/>
      <c r="C1616" s="5"/>
      <c r="D1616" s="12"/>
      <c r="E1616" s="23"/>
      <c r="F1616" s="9"/>
      <c r="G1616" s="5"/>
      <c r="H1616" s="16"/>
      <c r="I1616" s="69"/>
      <c r="J1616" s="70"/>
      <c r="K1616" s="71"/>
      <c r="L1616" s="71"/>
      <c r="M1616" s="5"/>
    </row>
  </sheetData>
  <autoFilter ref="A2:M284">
    <filterColumn colId="0" showButton="0"/>
    <filterColumn colId="1"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autoFilter>
  <mergeCells count="413">
    <mergeCell ref="B215:B219"/>
    <mergeCell ref="A215:A219"/>
    <mergeCell ref="I215:I219"/>
    <mergeCell ref="J215:J219"/>
    <mergeCell ref="K215:K219"/>
    <mergeCell ref="L215:L219"/>
    <mergeCell ref="B210:B214"/>
    <mergeCell ref="A210:A214"/>
    <mergeCell ref="H210:H214"/>
    <mergeCell ref="H215:H219"/>
    <mergeCell ref="K210:K214"/>
    <mergeCell ref="A185:A189"/>
    <mergeCell ref="I185:I189"/>
    <mergeCell ref="J185:J189"/>
    <mergeCell ref="K185:K189"/>
    <mergeCell ref="L185:L189"/>
    <mergeCell ref="M185:M189"/>
    <mergeCell ref="A190:A194"/>
    <mergeCell ref="H190:H194"/>
    <mergeCell ref="I190:I194"/>
    <mergeCell ref="J190:J194"/>
    <mergeCell ref="K190:K194"/>
    <mergeCell ref="M190:M194"/>
    <mergeCell ref="M105:M109"/>
    <mergeCell ref="M100:M104"/>
    <mergeCell ref="I135:I139"/>
    <mergeCell ref="J135:J139"/>
    <mergeCell ref="I140:I144"/>
    <mergeCell ref="J140:J144"/>
    <mergeCell ref="H135:H139"/>
    <mergeCell ref="H80:H84"/>
    <mergeCell ref="K85:K89"/>
    <mergeCell ref="M95:M99"/>
    <mergeCell ref="L95:L99"/>
    <mergeCell ref="I120:I124"/>
    <mergeCell ref="J120:J124"/>
    <mergeCell ref="M125:M129"/>
    <mergeCell ref="H130:H134"/>
    <mergeCell ref="I130:I134"/>
    <mergeCell ref="J130:J134"/>
    <mergeCell ref="K100:K104"/>
    <mergeCell ref="I115:I119"/>
    <mergeCell ref="M135:M139"/>
    <mergeCell ref="H140:H144"/>
    <mergeCell ref="M140:M144"/>
    <mergeCell ref="M90:M94"/>
    <mergeCell ref="M85:M89"/>
    <mergeCell ref="B155:B159"/>
    <mergeCell ref="B160:B164"/>
    <mergeCell ref="L220:L224"/>
    <mergeCell ref="B180:B184"/>
    <mergeCell ref="B175:B179"/>
    <mergeCell ref="H170:H174"/>
    <mergeCell ref="K170:K174"/>
    <mergeCell ref="B170:B174"/>
    <mergeCell ref="H175:H179"/>
    <mergeCell ref="J165:J169"/>
    <mergeCell ref="L190:L194"/>
    <mergeCell ref="H180:H184"/>
    <mergeCell ref="H200:H204"/>
    <mergeCell ref="K200:K204"/>
    <mergeCell ref="B220:B224"/>
    <mergeCell ref="B165:B169"/>
    <mergeCell ref="K160:K164"/>
    <mergeCell ref="H185:H189"/>
    <mergeCell ref="B195:B199"/>
    <mergeCell ref="K195:K199"/>
    <mergeCell ref="B185:B189"/>
    <mergeCell ref="J155:J159"/>
    <mergeCell ref="H155:H159"/>
    <mergeCell ref="I155:I159"/>
    <mergeCell ref="M145:M149"/>
    <mergeCell ref="M150:M154"/>
    <mergeCell ref="M165:M169"/>
    <mergeCell ref="M170:M174"/>
    <mergeCell ref="L150:L154"/>
    <mergeCell ref="L170:L174"/>
    <mergeCell ref="L165:L169"/>
    <mergeCell ref="L145:L149"/>
    <mergeCell ref="L160:L164"/>
    <mergeCell ref="M155:M159"/>
    <mergeCell ref="M275:M279"/>
    <mergeCell ref="K275:K279"/>
    <mergeCell ref="L275:L279"/>
    <mergeCell ref="M180:M184"/>
    <mergeCell ref="M175:M179"/>
    <mergeCell ref="K150:K154"/>
    <mergeCell ref="K155:K159"/>
    <mergeCell ref="M255:M259"/>
    <mergeCell ref="M160:M164"/>
    <mergeCell ref="M200:M204"/>
    <mergeCell ref="M260:M264"/>
    <mergeCell ref="M205:M209"/>
    <mergeCell ref="K220:K224"/>
    <mergeCell ref="L225:L229"/>
    <mergeCell ref="L265:L269"/>
    <mergeCell ref="M225:M229"/>
    <mergeCell ref="K175:K179"/>
    <mergeCell ref="L155:L159"/>
    <mergeCell ref="H275:H279"/>
    <mergeCell ref="A275:A279"/>
    <mergeCell ref="B275:B279"/>
    <mergeCell ref="A270:A274"/>
    <mergeCell ref="K265:K269"/>
    <mergeCell ref="A280:A284"/>
    <mergeCell ref="M270:M274"/>
    <mergeCell ref="H270:H274"/>
    <mergeCell ref="L280:L284"/>
    <mergeCell ref="B280:B284"/>
    <mergeCell ref="H280:H284"/>
    <mergeCell ref="I280:I284"/>
    <mergeCell ref="J280:J284"/>
    <mergeCell ref="K280:K284"/>
    <mergeCell ref="B270:B274"/>
    <mergeCell ref="K270:K274"/>
    <mergeCell ref="L270:L274"/>
    <mergeCell ref="H265:H269"/>
    <mergeCell ref="B265:B269"/>
    <mergeCell ref="J265:J269"/>
    <mergeCell ref="M265:M269"/>
    <mergeCell ref="I265:I269"/>
    <mergeCell ref="A265:A269"/>
    <mergeCell ref="M280:M284"/>
    <mergeCell ref="A220:A224"/>
    <mergeCell ref="H220:H224"/>
    <mergeCell ref="M220:M224"/>
    <mergeCell ref="A235:A239"/>
    <mergeCell ref="B235:B239"/>
    <mergeCell ref="H225:H229"/>
    <mergeCell ref="I225:I229"/>
    <mergeCell ref="J225:J229"/>
    <mergeCell ref="K225:K229"/>
    <mergeCell ref="L235:L239"/>
    <mergeCell ref="M235:M239"/>
    <mergeCell ref="J235:J239"/>
    <mergeCell ref="K235:K239"/>
    <mergeCell ref="B205:B209"/>
    <mergeCell ref="K205:K209"/>
    <mergeCell ref="A205:A209"/>
    <mergeCell ref="L175:L179"/>
    <mergeCell ref="A200:A204"/>
    <mergeCell ref="J200:J204"/>
    <mergeCell ref="A180:A184"/>
    <mergeCell ref="A260:A264"/>
    <mergeCell ref="B260:B264"/>
    <mergeCell ref="H260:H264"/>
    <mergeCell ref="A255:A259"/>
    <mergeCell ref="B255:B259"/>
    <mergeCell ref="I200:I204"/>
    <mergeCell ref="I260:I264"/>
    <mergeCell ref="K240:K244"/>
    <mergeCell ref="A230:A234"/>
    <mergeCell ref="B230:B234"/>
    <mergeCell ref="J260:J264"/>
    <mergeCell ref="L260:L264"/>
    <mergeCell ref="L255:L259"/>
    <mergeCell ref="K260:K264"/>
    <mergeCell ref="L205:L209"/>
    <mergeCell ref="L180:L184"/>
    <mergeCell ref="L200:L204"/>
    <mergeCell ref="B140:B144"/>
    <mergeCell ref="H120:H124"/>
    <mergeCell ref="A140:A144"/>
    <mergeCell ref="B200:B204"/>
    <mergeCell ref="B135:B139"/>
    <mergeCell ref="H145:H149"/>
    <mergeCell ref="H150:H154"/>
    <mergeCell ref="A145:A149"/>
    <mergeCell ref="B145:B149"/>
    <mergeCell ref="B150:B154"/>
    <mergeCell ref="A125:A129"/>
    <mergeCell ref="B125:B129"/>
    <mergeCell ref="H125:H129"/>
    <mergeCell ref="A150:A154"/>
    <mergeCell ref="A130:A134"/>
    <mergeCell ref="B130:B134"/>
    <mergeCell ref="A135:A139"/>
    <mergeCell ref="A155:A159"/>
    <mergeCell ref="A160:A164"/>
    <mergeCell ref="A175:A179"/>
    <mergeCell ref="A170:A174"/>
    <mergeCell ref="A165:A169"/>
    <mergeCell ref="A195:A199"/>
    <mergeCell ref="B190:B194"/>
    <mergeCell ref="M80:M84"/>
    <mergeCell ref="M20:M24"/>
    <mergeCell ref="L20:L24"/>
    <mergeCell ref="H20:H24"/>
    <mergeCell ref="A20:A24"/>
    <mergeCell ref="B20:B24"/>
    <mergeCell ref="K20:K24"/>
    <mergeCell ref="M75:M79"/>
    <mergeCell ref="H25:H29"/>
    <mergeCell ref="A30:A34"/>
    <mergeCell ref="B30:B34"/>
    <mergeCell ref="H30:H34"/>
    <mergeCell ref="A25:A29"/>
    <mergeCell ref="B25:B29"/>
    <mergeCell ref="H35:H39"/>
    <mergeCell ref="A40:A44"/>
    <mergeCell ref="B40:B44"/>
    <mergeCell ref="L35:L39"/>
    <mergeCell ref="K35:K39"/>
    <mergeCell ref="I35:I39"/>
    <mergeCell ref="J35:J39"/>
    <mergeCell ref="M70:M74"/>
    <mergeCell ref="B35:B39"/>
    <mergeCell ref="A35:A39"/>
    <mergeCell ref="A2:M2"/>
    <mergeCell ref="M10:M14"/>
    <mergeCell ref="A15:A19"/>
    <mergeCell ref="B15:B19"/>
    <mergeCell ref="K15:K19"/>
    <mergeCell ref="L15:L19"/>
    <mergeCell ref="M15:M19"/>
    <mergeCell ref="A10:A14"/>
    <mergeCell ref="B10:B14"/>
    <mergeCell ref="K10:K14"/>
    <mergeCell ref="L10:L14"/>
    <mergeCell ref="M3:M4"/>
    <mergeCell ref="A5:A9"/>
    <mergeCell ref="B5:B9"/>
    <mergeCell ref="K5:K9"/>
    <mergeCell ref="L5:L9"/>
    <mergeCell ref="K3:K4"/>
    <mergeCell ref="H5:H9"/>
    <mergeCell ref="M5:M9"/>
    <mergeCell ref="A3:A4"/>
    <mergeCell ref="L3:L4"/>
    <mergeCell ref="B3:B4"/>
    <mergeCell ref="C3:G3"/>
    <mergeCell ref="H3:J3"/>
    <mergeCell ref="A45:A49"/>
    <mergeCell ref="H45:H49"/>
    <mergeCell ref="A60:A64"/>
    <mergeCell ref="B60:B64"/>
    <mergeCell ref="B65:B69"/>
    <mergeCell ref="A65:A69"/>
    <mergeCell ref="B55:B59"/>
    <mergeCell ref="A55:A59"/>
    <mergeCell ref="I55:I59"/>
    <mergeCell ref="B45:B49"/>
    <mergeCell ref="H55:H59"/>
    <mergeCell ref="A50:A54"/>
    <mergeCell ref="B50:B54"/>
    <mergeCell ref="A120:A124"/>
    <mergeCell ref="B120:B124"/>
    <mergeCell ref="B110:B114"/>
    <mergeCell ref="B115:B119"/>
    <mergeCell ref="H115:H119"/>
    <mergeCell ref="A115:A119"/>
    <mergeCell ref="H110:H114"/>
    <mergeCell ref="B70:B74"/>
    <mergeCell ref="H50:H54"/>
    <mergeCell ref="H105:H109"/>
    <mergeCell ref="B105:B109"/>
    <mergeCell ref="H70:H74"/>
    <mergeCell ref="B80:B84"/>
    <mergeCell ref="H65:H69"/>
    <mergeCell ref="H60:H64"/>
    <mergeCell ref="A110:A114"/>
    <mergeCell ref="K140:K144"/>
    <mergeCell ref="H10:H14"/>
    <mergeCell ref="H15:H19"/>
    <mergeCell ref="J85:J89"/>
    <mergeCell ref="K75:K79"/>
    <mergeCell ref="H95:H99"/>
    <mergeCell ref="H40:H44"/>
    <mergeCell ref="I60:I64"/>
    <mergeCell ref="J60:J64"/>
    <mergeCell ref="K40:K44"/>
    <mergeCell ref="I105:I109"/>
    <mergeCell ref="I85:I89"/>
    <mergeCell ref="I50:I54"/>
    <mergeCell ref="K135:K139"/>
    <mergeCell ref="J115:J119"/>
    <mergeCell ref="I125:I129"/>
    <mergeCell ref="J125:J129"/>
    <mergeCell ref="K120:K124"/>
    <mergeCell ref="I110:I114"/>
    <mergeCell ref="K105:K109"/>
    <mergeCell ref="J105:J109"/>
    <mergeCell ref="L135:L139"/>
    <mergeCell ref="K125:K129"/>
    <mergeCell ref="L125:L129"/>
    <mergeCell ref="L120:L124"/>
    <mergeCell ref="K115:K119"/>
    <mergeCell ref="L140:L144"/>
    <mergeCell ref="H255:H259"/>
    <mergeCell ref="H205:H209"/>
    <mergeCell ref="H235:H239"/>
    <mergeCell ref="I235:I239"/>
    <mergeCell ref="K180:K184"/>
    <mergeCell ref="K255:K259"/>
    <mergeCell ref="K165:K169"/>
    <mergeCell ref="K145:K149"/>
    <mergeCell ref="I150:I154"/>
    <mergeCell ref="J205:J209"/>
    <mergeCell ref="I205:I209"/>
    <mergeCell ref="H195:H199"/>
    <mergeCell ref="I165:I169"/>
    <mergeCell ref="H160:H164"/>
    <mergeCell ref="I170:I174"/>
    <mergeCell ref="J170:J174"/>
    <mergeCell ref="H165:H169"/>
    <mergeCell ref="J150:J154"/>
    <mergeCell ref="M25:M29"/>
    <mergeCell ref="K25:K29"/>
    <mergeCell ref="L25:L29"/>
    <mergeCell ref="K30:K34"/>
    <mergeCell ref="M40:M44"/>
    <mergeCell ref="I40:I44"/>
    <mergeCell ref="J40:J44"/>
    <mergeCell ref="J50:J54"/>
    <mergeCell ref="M65:M69"/>
    <mergeCell ref="M55:M59"/>
    <mergeCell ref="K55:K59"/>
    <mergeCell ref="L55:L59"/>
    <mergeCell ref="M45:M49"/>
    <mergeCell ref="M50:M54"/>
    <mergeCell ref="M30:M34"/>
    <mergeCell ref="K65:K69"/>
    <mergeCell ref="L65:L69"/>
    <mergeCell ref="M35:M39"/>
    <mergeCell ref="L40:L44"/>
    <mergeCell ref="I30:I34"/>
    <mergeCell ref="J30:J34"/>
    <mergeCell ref="L30:L34"/>
    <mergeCell ref="K50:K54"/>
    <mergeCell ref="J55:J59"/>
    <mergeCell ref="L60:L64"/>
    <mergeCell ref="L85:L89"/>
    <mergeCell ref="A100:A104"/>
    <mergeCell ref="B100:B104"/>
    <mergeCell ref="H100:H104"/>
    <mergeCell ref="I100:I104"/>
    <mergeCell ref="B95:B99"/>
    <mergeCell ref="J70:J74"/>
    <mergeCell ref="L45:L49"/>
    <mergeCell ref="L50:L54"/>
    <mergeCell ref="K90:K94"/>
    <mergeCell ref="J65:J69"/>
    <mergeCell ref="I70:I74"/>
    <mergeCell ref="K45:K49"/>
    <mergeCell ref="J45:J49"/>
    <mergeCell ref="K60:K64"/>
    <mergeCell ref="I45:I49"/>
    <mergeCell ref="L90:L94"/>
    <mergeCell ref="K70:K74"/>
    <mergeCell ref="L70:L74"/>
    <mergeCell ref="J100:J104"/>
    <mergeCell ref="L75:L79"/>
    <mergeCell ref="L80:L84"/>
    <mergeCell ref="J80:J84"/>
    <mergeCell ref="L100:L104"/>
    <mergeCell ref="L115:L119"/>
    <mergeCell ref="K95:K99"/>
    <mergeCell ref="L105:L109"/>
    <mergeCell ref="A70:A74"/>
    <mergeCell ref="K80:K84"/>
    <mergeCell ref="K110:K114"/>
    <mergeCell ref="L110:L114"/>
    <mergeCell ref="J110:J114"/>
    <mergeCell ref="A80:A84"/>
    <mergeCell ref="A75:A79"/>
    <mergeCell ref="B75:B79"/>
    <mergeCell ref="H75:H79"/>
    <mergeCell ref="I80:I84"/>
    <mergeCell ref="M60:M64"/>
    <mergeCell ref="A95:A99"/>
    <mergeCell ref="B225:B229"/>
    <mergeCell ref="A225:A229"/>
    <mergeCell ref="H230:H234"/>
    <mergeCell ref="I230:I234"/>
    <mergeCell ref="J230:J234"/>
    <mergeCell ref="K230:K234"/>
    <mergeCell ref="L230:L234"/>
    <mergeCell ref="M230:M234"/>
    <mergeCell ref="I65:I69"/>
    <mergeCell ref="M115:M119"/>
    <mergeCell ref="M110:M114"/>
    <mergeCell ref="K130:K134"/>
    <mergeCell ref="L130:L134"/>
    <mergeCell ref="M130:M134"/>
    <mergeCell ref="M120:M124"/>
    <mergeCell ref="A105:A109"/>
    <mergeCell ref="A90:A94"/>
    <mergeCell ref="B90:B94"/>
    <mergeCell ref="H90:H94"/>
    <mergeCell ref="A85:A89"/>
    <mergeCell ref="B85:B89"/>
    <mergeCell ref="H85:H89"/>
    <mergeCell ref="B250:B254"/>
    <mergeCell ref="A245:A249"/>
    <mergeCell ref="H245:H249"/>
    <mergeCell ref="I245:I249"/>
    <mergeCell ref="J245:J249"/>
    <mergeCell ref="K245:K249"/>
    <mergeCell ref="L245:L249"/>
    <mergeCell ref="M245:M249"/>
    <mergeCell ref="L240:L244"/>
    <mergeCell ref="K250:K254"/>
    <mergeCell ref="I250:I254"/>
    <mergeCell ref="H250:H254"/>
    <mergeCell ref="J250:J254"/>
    <mergeCell ref="L250:L254"/>
    <mergeCell ref="M240:M244"/>
    <mergeCell ref="M250:M254"/>
    <mergeCell ref="B245:B249"/>
    <mergeCell ref="B240:B244"/>
    <mergeCell ref="A240:A244"/>
    <mergeCell ref="A250:A254"/>
    <mergeCell ref="H240:H244"/>
  </mergeCells>
  <pageMargins left="0.23622047244094491" right="0" top="0.74803149606299213" bottom="0.59055118110236227" header="0" footer="0"/>
  <pageSetup paperSize="8" scale="76" fitToHeight="0" orientation="landscape" r:id="rId1"/>
  <rowBreaks count="3" manualBreakCount="3">
    <brk id="24" max="16383" man="1"/>
    <brk id="114" max="16383" man="1"/>
    <brk id="179" max="16383"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Q52"/>
  <sheetViews>
    <sheetView workbookViewId="0">
      <pane xSplit="6" ySplit="6" topLeftCell="G7" activePane="bottomRight" state="frozen"/>
      <selection pane="topRight" activeCell="G1" sqref="G1"/>
      <selection pane="bottomLeft" activeCell="A7" sqref="A7"/>
      <selection pane="bottomRight" activeCell="H58" sqref="H58"/>
    </sheetView>
  </sheetViews>
  <sheetFormatPr defaultRowHeight="15"/>
  <cols>
    <col min="2" max="2" width="28.7109375" customWidth="1"/>
    <col min="3" max="3" width="15.28515625" customWidth="1"/>
    <col min="4" max="4" width="15" customWidth="1"/>
    <col min="5" max="5" width="18.7109375" customWidth="1"/>
    <col min="6" max="6" width="16.28515625" customWidth="1"/>
    <col min="17" max="17" width="57.28515625" customWidth="1"/>
  </cols>
  <sheetData>
    <row r="2" spans="1:17">
      <c r="A2" s="110"/>
      <c r="B2" s="110"/>
      <c r="C2" s="111"/>
      <c r="D2" s="111"/>
      <c r="E2" s="111"/>
      <c r="F2" s="112"/>
      <c r="G2" s="110"/>
      <c r="H2" s="113"/>
      <c r="I2" s="113"/>
      <c r="J2" s="114"/>
      <c r="K2" s="115"/>
      <c r="L2" s="115"/>
      <c r="M2" s="115"/>
      <c r="N2" s="116"/>
      <c r="O2" s="117"/>
      <c r="P2" s="118"/>
      <c r="Q2" s="119" t="s">
        <v>179</v>
      </c>
    </row>
    <row r="3" spans="1:17">
      <c r="A3" s="1024" t="s">
        <v>611</v>
      </c>
      <c r="B3" s="1024"/>
      <c r="C3" s="1024"/>
      <c r="D3" s="1024"/>
      <c r="E3" s="1024"/>
      <c r="F3" s="1024"/>
      <c r="G3" s="1024"/>
      <c r="H3" s="1024"/>
      <c r="I3" s="1024"/>
      <c r="J3" s="1024"/>
      <c r="K3" s="1024"/>
      <c r="L3" s="1024"/>
      <c r="M3" s="1024"/>
      <c r="N3" s="1024"/>
      <c r="O3" s="1024"/>
      <c r="P3" s="1024"/>
      <c r="Q3" s="1024"/>
    </row>
    <row r="4" spans="1:17">
      <c r="A4" s="120"/>
      <c r="B4" s="120"/>
      <c r="C4" s="121"/>
      <c r="D4" s="121"/>
      <c r="E4" s="121"/>
      <c r="F4" s="122"/>
      <c r="G4" s="120"/>
      <c r="H4" s="123"/>
      <c r="I4" s="123"/>
      <c r="J4" s="124"/>
      <c r="K4" s="123"/>
      <c r="L4" s="123"/>
      <c r="M4" s="123"/>
      <c r="N4" s="125"/>
      <c r="O4" s="126"/>
      <c r="P4" s="127"/>
      <c r="Q4" s="123"/>
    </row>
    <row r="5" spans="1:17" ht="27" customHeight="1">
      <c r="A5" s="1025" t="s">
        <v>51</v>
      </c>
      <c r="B5" s="1025" t="s">
        <v>180</v>
      </c>
      <c r="C5" s="1027" t="s">
        <v>181</v>
      </c>
      <c r="D5" s="1027" t="s">
        <v>182</v>
      </c>
      <c r="E5" s="1027" t="s">
        <v>183</v>
      </c>
      <c r="F5" s="1029" t="s">
        <v>184</v>
      </c>
      <c r="G5" s="1027" t="s">
        <v>185</v>
      </c>
      <c r="H5" s="1031" t="s">
        <v>612</v>
      </c>
      <c r="I5" s="1032"/>
      <c r="J5" s="1029" t="s">
        <v>186</v>
      </c>
      <c r="K5" s="1031" t="s">
        <v>613</v>
      </c>
      <c r="L5" s="1033"/>
      <c r="M5" s="1033"/>
      <c r="N5" s="1032"/>
      <c r="O5" s="1034" t="s">
        <v>187</v>
      </c>
      <c r="P5" s="1036" t="s">
        <v>188</v>
      </c>
      <c r="Q5" s="1027" t="s">
        <v>189</v>
      </c>
    </row>
    <row r="6" spans="1:17" ht="101.25">
      <c r="A6" s="1026"/>
      <c r="B6" s="1026"/>
      <c r="C6" s="1028"/>
      <c r="D6" s="1028"/>
      <c r="E6" s="1028"/>
      <c r="F6" s="1030"/>
      <c r="G6" s="1028"/>
      <c r="H6" s="128" t="s">
        <v>190</v>
      </c>
      <c r="I6" s="129" t="s">
        <v>191</v>
      </c>
      <c r="J6" s="1030"/>
      <c r="K6" s="130" t="s">
        <v>52</v>
      </c>
      <c r="L6" s="129" t="s">
        <v>192</v>
      </c>
      <c r="M6" s="129" t="s">
        <v>193</v>
      </c>
      <c r="N6" s="131" t="s">
        <v>194</v>
      </c>
      <c r="O6" s="1035"/>
      <c r="P6" s="1037"/>
      <c r="Q6" s="1028"/>
    </row>
    <row r="7" spans="1:17">
      <c r="A7" s="992"/>
      <c r="B7" s="993" t="s">
        <v>195</v>
      </c>
      <c r="C7" s="993"/>
      <c r="D7" s="993"/>
      <c r="E7" s="993"/>
      <c r="F7" s="993"/>
      <c r="G7" s="161" t="s">
        <v>3</v>
      </c>
      <c r="H7" s="132" t="e">
        <f t="shared" ref="H7:M7" si="0">H8+H9+H10+H11</f>
        <v>#REF!</v>
      </c>
      <c r="I7" s="132" t="e">
        <f t="shared" si="0"/>
        <v>#REF!</v>
      </c>
      <c r="J7" s="132" t="e">
        <f t="shared" si="0"/>
        <v>#REF!</v>
      </c>
      <c r="K7" s="132" t="e">
        <f t="shared" si="0"/>
        <v>#REF!</v>
      </c>
      <c r="L7" s="132" t="e">
        <f t="shared" si="0"/>
        <v>#REF!</v>
      </c>
      <c r="M7" s="132" t="e">
        <f t="shared" si="0"/>
        <v>#REF!</v>
      </c>
      <c r="N7" s="133">
        <f>IFERROR(L7/J7,0)</f>
        <v>0</v>
      </c>
      <c r="O7" s="994"/>
      <c r="P7" s="1018"/>
      <c r="Q7" s="1008"/>
    </row>
    <row r="8" spans="1:17">
      <c r="A8" s="992"/>
      <c r="B8" s="993"/>
      <c r="C8" s="993"/>
      <c r="D8" s="993"/>
      <c r="E8" s="993"/>
      <c r="F8" s="993"/>
      <c r="G8" s="134" t="s">
        <v>50</v>
      </c>
      <c r="H8" s="132" t="e">
        <f>H14+H18+H23+#REF!+#REF!+H28+#REF!+#REF!+H33+H38+#REF!</f>
        <v>#REF!</v>
      </c>
      <c r="I8" s="132" t="e">
        <f>I14+I18+I23+#REF!+#REF!+I28+#REF!+#REF!+I33+I38+#REF!</f>
        <v>#REF!</v>
      </c>
      <c r="J8" s="132" t="e">
        <f>J14+J18+J23+#REF!+#REF!+J28+#REF!+#REF!+J33+J38+#REF!</f>
        <v>#REF!</v>
      </c>
      <c r="K8" s="132" t="e">
        <f>K14+K18+K23+#REF!+#REF!+K28+#REF!+#REF!+K33+K38</f>
        <v>#REF!</v>
      </c>
      <c r="L8" s="132" t="e">
        <f>L14+L18+L23+#REF!+#REF!+L28+#REF!+#REF!+L33+L38</f>
        <v>#REF!</v>
      </c>
      <c r="M8" s="132" t="e">
        <f>M14+M18+M23+#REF!+#REF!+M28+#REF!+#REF!+M33+M38</f>
        <v>#REF!</v>
      </c>
      <c r="N8" s="133">
        <f>IFERROR(L8/J8,0)</f>
        <v>0</v>
      </c>
      <c r="O8" s="994"/>
      <c r="P8" s="1019"/>
      <c r="Q8" s="993"/>
    </row>
    <row r="9" spans="1:17">
      <c r="A9" s="992"/>
      <c r="B9" s="993"/>
      <c r="C9" s="993"/>
      <c r="D9" s="993"/>
      <c r="E9" s="993"/>
      <c r="F9" s="993"/>
      <c r="G9" s="134" t="s">
        <v>5</v>
      </c>
      <c r="H9" s="132" t="e">
        <f>H15+H19+H24+#REF!+#REF!+H29+#REF!+#REF!+H34+H39+#REF!</f>
        <v>#REF!</v>
      </c>
      <c r="I9" s="132" t="e">
        <f>I15+I19+I24+#REF!+#REF!+I29+#REF!+#REF!+I34+I39+#REF!</f>
        <v>#REF!</v>
      </c>
      <c r="J9" s="132" t="e">
        <f>J15+J19+J24+#REF!+#REF!+J29+#REF!+#REF!+J34+J39</f>
        <v>#REF!</v>
      </c>
      <c r="K9" s="132" t="e">
        <f>K15+K19+K24+#REF!+#REF!+K29+#REF!+#REF!+K34+K39</f>
        <v>#REF!</v>
      </c>
      <c r="L9" s="132" t="e">
        <f>L15+L19+L24+#REF!+#REF!+L29+#REF!+#REF!+L34+L39</f>
        <v>#REF!</v>
      </c>
      <c r="M9" s="132" t="e">
        <f>M15+M19+M24+#REF!+#REF!+M29+#REF!+#REF!+M34+M39</f>
        <v>#REF!</v>
      </c>
      <c r="N9" s="133">
        <f>IFERROR(L9/J9,0)</f>
        <v>0</v>
      </c>
      <c r="O9" s="994"/>
      <c r="P9" s="1019"/>
      <c r="Q9" s="993"/>
    </row>
    <row r="10" spans="1:17">
      <c r="A10" s="992"/>
      <c r="B10" s="993"/>
      <c r="C10" s="993"/>
      <c r="D10" s="993"/>
      <c r="E10" s="993"/>
      <c r="F10" s="993"/>
      <c r="G10" s="134" t="s">
        <v>6</v>
      </c>
      <c r="H10" s="132" t="e">
        <f>H16+H20+H25+#REF!+#REF!+H30+#REF!+H35+H40+#REF!</f>
        <v>#REF!</v>
      </c>
      <c r="I10" s="132" t="e">
        <f>I16+I20+I25+#REF!+#REF!+I30+#REF!+#REF!+I35+I40</f>
        <v>#REF!</v>
      </c>
      <c r="J10" s="132" t="e">
        <f>J16+J20+J25+#REF!+#REF!+J30+#REF!+#REF!+J35+J40</f>
        <v>#REF!</v>
      </c>
      <c r="K10" s="132" t="e">
        <f>K16+K20+K25+#REF!+#REF!+K30+#REF!+#REF!+K35+K40</f>
        <v>#REF!</v>
      </c>
      <c r="L10" s="132" t="e">
        <f>L16+L20+L25+#REF!+#REF!+L30+#REF!+#REF!+L35+L40</f>
        <v>#REF!</v>
      </c>
      <c r="M10" s="132" t="e">
        <f>M16+M20+M25+#REF!+#REF!+M30+#REF!+#REF!+M35+M40</f>
        <v>#REF!</v>
      </c>
      <c r="N10" s="133">
        <f>IFERROR(L10/J10,0)</f>
        <v>0</v>
      </c>
      <c r="O10" s="994"/>
      <c r="P10" s="1019"/>
      <c r="Q10" s="993"/>
    </row>
    <row r="11" spans="1:17">
      <c r="A11" s="992"/>
      <c r="B11" s="993"/>
      <c r="C11" s="993"/>
      <c r="D11" s="993"/>
      <c r="E11" s="993"/>
      <c r="F11" s="993"/>
      <c r="G11" s="134" t="s">
        <v>7</v>
      </c>
      <c r="H11" s="132" t="e">
        <f>H21+H26+#REF!+#REF!+H31+#REF!+#REF!+H36+H41</f>
        <v>#REF!</v>
      </c>
      <c r="I11" s="132" t="e">
        <f>I21+I26+#REF!+#REF!+I31+#REF!+#REF!+I36+I41</f>
        <v>#REF!</v>
      </c>
      <c r="J11" s="132" t="e">
        <f>J21+J26+#REF!+#REF!+J31+#REF!+#REF!+J36+J41</f>
        <v>#REF!</v>
      </c>
      <c r="K11" s="132" t="e">
        <f>K21+K26+#REF!+#REF!+K31+#REF!+#REF!+K36+K41</f>
        <v>#REF!</v>
      </c>
      <c r="L11" s="132" t="e">
        <f>L21+L26+#REF!+#REF!+L31+#REF!+#REF!+L36+L41</f>
        <v>#REF!</v>
      </c>
      <c r="M11" s="132" t="e">
        <f>M21+M26+#REF!+#REF!+M31+#REF!+#REF!+M36+M41</f>
        <v>#REF!</v>
      </c>
      <c r="N11" s="133">
        <f>IFERROR(L11/J11,0)</f>
        <v>0</v>
      </c>
      <c r="O11" s="994"/>
      <c r="P11" s="1020"/>
      <c r="Q11" s="993"/>
    </row>
    <row r="12" spans="1:17">
      <c r="A12" s="135"/>
      <c r="B12" s="136" t="s">
        <v>196</v>
      </c>
      <c r="C12" s="134"/>
      <c r="D12" s="134"/>
      <c r="E12" s="134"/>
      <c r="F12" s="137"/>
      <c r="G12" s="135"/>
      <c r="H12" s="138"/>
      <c r="I12" s="138"/>
      <c r="J12" s="132"/>
      <c r="K12" s="138"/>
      <c r="L12" s="138"/>
      <c r="M12" s="138"/>
      <c r="N12" s="139"/>
      <c r="O12" s="140"/>
      <c r="P12" s="141"/>
      <c r="Q12" s="135"/>
    </row>
    <row r="13" spans="1:17">
      <c r="A13" s="995">
        <v>1</v>
      </c>
      <c r="B13" s="998" t="s">
        <v>82</v>
      </c>
      <c r="C13" s="986" t="s">
        <v>197</v>
      </c>
      <c r="D13" s="1001" t="s">
        <v>198</v>
      </c>
      <c r="E13" s="986" t="s">
        <v>199</v>
      </c>
      <c r="F13" s="989">
        <v>816172.2</v>
      </c>
      <c r="G13" s="142" t="s">
        <v>3</v>
      </c>
      <c r="H13" s="143">
        <f>SUM(H14:H16)</f>
        <v>197157.21645000001</v>
      </c>
      <c r="I13" s="143">
        <f>SUM(I14:I16)</f>
        <v>197157.21645000001</v>
      </c>
      <c r="J13" s="143">
        <f>SUM(J14:J16)</f>
        <v>722991.6</v>
      </c>
      <c r="K13" s="144">
        <f>K14+K15+K16</f>
        <v>267503.2</v>
      </c>
      <c r="L13" s="144"/>
      <c r="M13" s="144">
        <v>0</v>
      </c>
      <c r="N13" s="1009">
        <f>L13/J13</f>
        <v>0</v>
      </c>
      <c r="O13" s="1009">
        <v>0.24199999999999999</v>
      </c>
      <c r="P13" s="1012">
        <f>F13-H13-K13</f>
        <v>351511.78354999999</v>
      </c>
      <c r="Q13" s="1015" t="s">
        <v>631</v>
      </c>
    </row>
    <row r="14" spans="1:17">
      <c r="A14" s="996"/>
      <c r="B14" s="999"/>
      <c r="C14" s="987"/>
      <c r="D14" s="1002"/>
      <c r="E14" s="987"/>
      <c r="F14" s="990"/>
      <c r="G14" s="145" t="s">
        <v>4</v>
      </c>
      <c r="H14" s="146">
        <v>16680.616449999998</v>
      </c>
      <c r="I14" s="143">
        <v>16680.616449999998</v>
      </c>
      <c r="J14" s="146">
        <v>352883</v>
      </c>
      <c r="K14" s="170">
        <f>'12А'!E221</f>
        <v>199658.7</v>
      </c>
      <c r="L14" s="144">
        <f>59319139.52/1000</f>
        <v>59319.139520000004</v>
      </c>
      <c r="M14" s="147">
        <f>67844468.86/1000</f>
        <v>67844.468859999994</v>
      </c>
      <c r="N14" s="1010"/>
      <c r="O14" s="1010"/>
      <c r="P14" s="1013"/>
      <c r="Q14" s="1016"/>
    </row>
    <row r="15" spans="1:17">
      <c r="A15" s="996"/>
      <c r="B15" s="999"/>
      <c r="C15" s="987"/>
      <c r="D15" s="1002"/>
      <c r="E15" s="987"/>
      <c r="F15" s="990"/>
      <c r="G15" s="145" t="s">
        <v>5</v>
      </c>
      <c r="H15" s="146">
        <v>180476.6</v>
      </c>
      <c r="I15" s="143">
        <v>180476.6</v>
      </c>
      <c r="J15" s="146">
        <v>370108.6</v>
      </c>
      <c r="K15" s="170">
        <f>'12А'!E227</f>
        <v>67844.5</v>
      </c>
      <c r="L15" s="144">
        <f>K15</f>
        <v>67844.5</v>
      </c>
      <c r="M15" s="147">
        <v>0</v>
      </c>
      <c r="N15" s="1010"/>
      <c r="O15" s="1010"/>
      <c r="P15" s="1013"/>
      <c r="Q15" s="1016"/>
    </row>
    <row r="16" spans="1:17">
      <c r="A16" s="997"/>
      <c r="B16" s="1000"/>
      <c r="C16" s="988"/>
      <c r="D16" s="1003"/>
      <c r="E16" s="988"/>
      <c r="F16" s="991"/>
      <c r="G16" s="145" t="s">
        <v>6</v>
      </c>
      <c r="H16" s="148">
        <v>0</v>
      </c>
      <c r="I16" s="143">
        <v>0</v>
      </c>
      <c r="J16" s="148"/>
      <c r="K16" s="149">
        <v>0</v>
      </c>
      <c r="L16" s="149"/>
      <c r="M16" s="150">
        <v>0</v>
      </c>
      <c r="N16" s="1011"/>
      <c r="O16" s="1011"/>
      <c r="P16" s="1014"/>
      <c r="Q16" s="1017"/>
    </row>
    <row r="17" spans="1:17">
      <c r="A17" s="938">
        <v>2</v>
      </c>
      <c r="B17" s="1005" t="s">
        <v>601</v>
      </c>
      <c r="C17" s="1006" t="s">
        <v>200</v>
      </c>
      <c r="D17" s="979" t="s">
        <v>201</v>
      </c>
      <c r="E17" s="1006" t="s">
        <v>202</v>
      </c>
      <c r="F17" s="1007">
        <v>2269859.2000000002</v>
      </c>
      <c r="G17" s="142" t="s">
        <v>3</v>
      </c>
      <c r="H17" s="151">
        <f t="shared" ref="H17:M17" si="1">SUM(H18:H21)</f>
        <v>65440</v>
      </c>
      <c r="I17" s="143">
        <f t="shared" si="1"/>
        <v>65440</v>
      </c>
      <c r="J17" s="152">
        <f t="shared" si="1"/>
        <v>92170</v>
      </c>
      <c r="K17" s="153">
        <f t="shared" si="1"/>
        <v>92170</v>
      </c>
      <c r="L17" s="153">
        <f t="shared" si="1"/>
        <v>92170</v>
      </c>
      <c r="M17" s="153">
        <f t="shared" si="1"/>
        <v>0</v>
      </c>
      <c r="N17" s="933">
        <f>L17/J17</f>
        <v>1</v>
      </c>
      <c r="O17" s="933">
        <f>(I17+L17+M17)/F17</f>
        <v>6.9436024930533136E-2</v>
      </c>
      <c r="P17" s="950">
        <f>F17-H17-K17</f>
        <v>2112249.2000000002</v>
      </c>
      <c r="Q17" s="1021" t="s">
        <v>630</v>
      </c>
    </row>
    <row r="18" spans="1:17">
      <c r="A18" s="939"/>
      <c r="B18" s="1005"/>
      <c r="C18" s="1006"/>
      <c r="D18" s="980"/>
      <c r="E18" s="1006"/>
      <c r="F18" s="1007"/>
      <c r="G18" s="145" t="s">
        <v>4</v>
      </c>
      <c r="H18" s="151">
        <v>0</v>
      </c>
      <c r="I18" s="143">
        <v>0</v>
      </c>
      <c r="J18" s="152">
        <v>92170</v>
      </c>
      <c r="K18" s="153">
        <f>'12А'!F231</f>
        <v>92170</v>
      </c>
      <c r="L18" s="153">
        <f>92170000/1000</f>
        <v>92170</v>
      </c>
      <c r="M18" s="153">
        <f>SUM(M19:M22)</f>
        <v>0</v>
      </c>
      <c r="N18" s="936"/>
      <c r="O18" s="936"/>
      <c r="P18" s="951"/>
      <c r="Q18" s="1022"/>
    </row>
    <row r="19" spans="1:17">
      <c r="A19" s="939"/>
      <c r="B19" s="1005"/>
      <c r="C19" s="1006"/>
      <c r="D19" s="980"/>
      <c r="E19" s="1006"/>
      <c r="F19" s="1007"/>
      <c r="G19" s="145" t="s">
        <v>5</v>
      </c>
      <c r="H19" s="151">
        <v>65440</v>
      </c>
      <c r="I19" s="143">
        <v>65440</v>
      </c>
      <c r="J19" s="152"/>
      <c r="K19" s="153">
        <v>0</v>
      </c>
      <c r="L19" s="153"/>
      <c r="M19" s="153">
        <f>SUM(M20:M23)</f>
        <v>0</v>
      </c>
      <c r="N19" s="936"/>
      <c r="O19" s="936"/>
      <c r="P19" s="951"/>
      <c r="Q19" s="1022"/>
    </row>
    <row r="20" spans="1:17">
      <c r="A20" s="939"/>
      <c r="B20" s="1005"/>
      <c r="C20" s="1006"/>
      <c r="D20" s="980"/>
      <c r="E20" s="1006"/>
      <c r="F20" s="1007"/>
      <c r="G20" s="145" t="s">
        <v>6</v>
      </c>
      <c r="H20" s="151">
        <v>0</v>
      </c>
      <c r="I20" s="148">
        <v>0</v>
      </c>
      <c r="J20" s="152">
        <v>0</v>
      </c>
      <c r="K20" s="153">
        <v>0</v>
      </c>
      <c r="L20" s="153">
        <v>0</v>
      </c>
      <c r="M20" s="153">
        <f>SUM(M21:M24)</f>
        <v>0</v>
      </c>
      <c r="N20" s="936"/>
      <c r="O20" s="936"/>
      <c r="P20" s="951"/>
      <c r="Q20" s="1022"/>
    </row>
    <row r="21" spans="1:17" ht="56.25" customHeight="1">
      <c r="A21" s="940"/>
      <c r="B21" s="1005"/>
      <c r="C21" s="1006"/>
      <c r="D21" s="981"/>
      <c r="E21" s="1006"/>
      <c r="F21" s="1007"/>
      <c r="G21" s="145" t="s">
        <v>7</v>
      </c>
      <c r="H21" s="151">
        <v>0</v>
      </c>
      <c r="I21" s="148">
        <v>0</v>
      </c>
      <c r="J21" s="152">
        <v>0</v>
      </c>
      <c r="K21" s="153">
        <v>0</v>
      </c>
      <c r="L21" s="153">
        <v>0</v>
      </c>
      <c r="M21" s="153">
        <v>0</v>
      </c>
      <c r="N21" s="937"/>
      <c r="O21" s="937"/>
      <c r="P21" s="952"/>
      <c r="Q21" s="1023"/>
    </row>
    <row r="22" spans="1:17">
      <c r="A22" s="938">
        <v>3</v>
      </c>
      <c r="B22" s="1005" t="s">
        <v>602</v>
      </c>
      <c r="C22" s="1006" t="s">
        <v>203</v>
      </c>
      <c r="D22" s="979" t="s">
        <v>201</v>
      </c>
      <c r="E22" s="1006" t="s">
        <v>603</v>
      </c>
      <c r="F22" s="1004">
        <v>1771548.1</v>
      </c>
      <c r="G22" s="142" t="s">
        <v>3</v>
      </c>
      <c r="H22" s="151">
        <f t="shared" ref="H22:M22" si="2">SUM(H23:H26)</f>
        <v>51403.1</v>
      </c>
      <c r="I22" s="154">
        <f t="shared" si="2"/>
        <v>51403.1</v>
      </c>
      <c r="J22" s="152">
        <f t="shared" si="2"/>
        <v>390000</v>
      </c>
      <c r="K22" s="153">
        <f t="shared" si="2"/>
        <v>0</v>
      </c>
      <c r="L22" s="153">
        <f t="shared" si="2"/>
        <v>0</v>
      </c>
      <c r="M22" s="153">
        <f t="shared" si="2"/>
        <v>0</v>
      </c>
      <c r="N22" s="933">
        <f>L22/J22</f>
        <v>0</v>
      </c>
      <c r="O22" s="933">
        <f>(I22+L22+M22)/F22</f>
        <v>2.9015921159577882E-2</v>
      </c>
      <c r="P22" s="950">
        <f>F22-H22-K22</f>
        <v>1720145</v>
      </c>
      <c r="Q22" s="1021" t="s">
        <v>629</v>
      </c>
    </row>
    <row r="23" spans="1:17">
      <c r="A23" s="939"/>
      <c r="B23" s="1005"/>
      <c r="C23" s="1006"/>
      <c r="D23" s="980"/>
      <c r="E23" s="1006"/>
      <c r="F23" s="1004"/>
      <c r="G23" s="145" t="s">
        <v>4</v>
      </c>
      <c r="H23" s="151">
        <v>0</v>
      </c>
      <c r="I23" s="155">
        <v>0</v>
      </c>
      <c r="J23" s="152">
        <v>390000</v>
      </c>
      <c r="K23" s="153">
        <f>'12А'!E236</f>
        <v>0</v>
      </c>
      <c r="L23" s="153">
        <v>0</v>
      </c>
      <c r="M23" s="153">
        <v>0</v>
      </c>
      <c r="N23" s="936"/>
      <c r="O23" s="936"/>
      <c r="P23" s="951"/>
      <c r="Q23" s="1022"/>
    </row>
    <row r="24" spans="1:17">
      <c r="A24" s="939"/>
      <c r="B24" s="1005"/>
      <c r="C24" s="1006"/>
      <c r="D24" s="980"/>
      <c r="E24" s="1006"/>
      <c r="F24" s="1004"/>
      <c r="G24" s="145" t="s">
        <v>5</v>
      </c>
      <c r="H24" s="151">
        <v>51403.1</v>
      </c>
      <c r="I24" s="143">
        <v>51403.1</v>
      </c>
      <c r="J24" s="152"/>
      <c r="K24" s="152">
        <v>0</v>
      </c>
      <c r="L24" s="152"/>
      <c r="M24" s="153">
        <v>0</v>
      </c>
      <c r="N24" s="936"/>
      <c r="O24" s="936"/>
      <c r="P24" s="951"/>
      <c r="Q24" s="1022"/>
    </row>
    <row r="25" spans="1:17">
      <c r="A25" s="939"/>
      <c r="B25" s="1005"/>
      <c r="C25" s="1006"/>
      <c r="D25" s="980"/>
      <c r="E25" s="1006"/>
      <c r="F25" s="1004"/>
      <c r="G25" s="145" t="s">
        <v>6</v>
      </c>
      <c r="H25" s="151">
        <v>0</v>
      </c>
      <c r="I25" s="143">
        <v>0</v>
      </c>
      <c r="J25" s="152">
        <v>0</v>
      </c>
      <c r="K25" s="153">
        <v>0</v>
      </c>
      <c r="L25" s="153">
        <v>0</v>
      </c>
      <c r="M25" s="153">
        <v>0</v>
      </c>
      <c r="N25" s="936"/>
      <c r="O25" s="936"/>
      <c r="P25" s="951"/>
      <c r="Q25" s="1022"/>
    </row>
    <row r="26" spans="1:17" ht="64.5" customHeight="1">
      <c r="A26" s="940"/>
      <c r="B26" s="1005"/>
      <c r="C26" s="1006"/>
      <c r="D26" s="981"/>
      <c r="E26" s="1006"/>
      <c r="F26" s="1004"/>
      <c r="G26" s="145" t="s">
        <v>7</v>
      </c>
      <c r="H26" s="151">
        <v>0</v>
      </c>
      <c r="I26" s="143">
        <v>0</v>
      </c>
      <c r="J26" s="152">
        <v>0</v>
      </c>
      <c r="K26" s="153">
        <v>0</v>
      </c>
      <c r="L26" s="153">
        <v>0</v>
      </c>
      <c r="M26" s="153">
        <v>0</v>
      </c>
      <c r="N26" s="937"/>
      <c r="O26" s="937"/>
      <c r="P26" s="952"/>
      <c r="Q26" s="1023"/>
    </row>
    <row r="27" spans="1:17">
      <c r="A27" s="938">
        <v>4</v>
      </c>
      <c r="B27" s="959" t="s">
        <v>204</v>
      </c>
      <c r="C27" s="979" t="s">
        <v>205</v>
      </c>
      <c r="D27" s="979" t="s">
        <v>201</v>
      </c>
      <c r="E27" s="982" t="s">
        <v>217</v>
      </c>
      <c r="F27" s="983">
        <v>349770.9</v>
      </c>
      <c r="G27" s="145" t="s">
        <v>3</v>
      </c>
      <c r="H27" s="151">
        <f>SUM(H28:H31)</f>
        <v>135522.9</v>
      </c>
      <c r="I27" s="143">
        <f>SUM(I28:I31)</f>
        <v>135522.9</v>
      </c>
      <c r="J27" s="151">
        <f>SUM(J28:J31)</f>
        <v>214248</v>
      </c>
      <c r="K27" s="153">
        <f>K28+K29+K30</f>
        <v>147486.79319</v>
      </c>
      <c r="L27" s="153">
        <f>L28+L29+L30</f>
        <v>147486.79319</v>
      </c>
      <c r="M27" s="153">
        <f>SUM(M28:M31)</f>
        <v>0</v>
      </c>
      <c r="N27" s="933">
        <f>L27/J27</f>
        <v>0.68839285869646394</v>
      </c>
      <c r="O27" s="933">
        <f>(L27+I27)/F27</f>
        <v>0.80912875596569067</v>
      </c>
      <c r="P27" s="950">
        <f>F27-H27-K27</f>
        <v>66761.206810000032</v>
      </c>
      <c r="Q27" s="976" t="s">
        <v>628</v>
      </c>
    </row>
    <row r="28" spans="1:17">
      <c r="A28" s="939"/>
      <c r="B28" s="960"/>
      <c r="C28" s="980"/>
      <c r="D28" s="980"/>
      <c r="E28" s="936"/>
      <c r="F28" s="984"/>
      <c r="G28" s="145" t="s">
        <v>4</v>
      </c>
      <c r="H28" s="151">
        <v>7725.3</v>
      </c>
      <c r="I28" s="143">
        <v>7725.3</v>
      </c>
      <c r="J28" s="151">
        <v>203535.6</v>
      </c>
      <c r="K28" s="151">
        <f>'12А'!E266</f>
        <v>109997.58305</v>
      </c>
      <c r="L28" s="151">
        <f>'12А'!F266</f>
        <v>109997.58305</v>
      </c>
      <c r="M28" s="153">
        <v>0</v>
      </c>
      <c r="N28" s="934"/>
      <c r="O28" s="934"/>
      <c r="P28" s="951"/>
      <c r="Q28" s="977"/>
    </row>
    <row r="29" spans="1:17">
      <c r="A29" s="939"/>
      <c r="B29" s="960"/>
      <c r="C29" s="980"/>
      <c r="D29" s="980"/>
      <c r="E29" s="936"/>
      <c r="F29" s="984"/>
      <c r="G29" s="145" t="s">
        <v>5</v>
      </c>
      <c r="H29" s="151">
        <v>127391</v>
      </c>
      <c r="I29" s="143">
        <v>127391</v>
      </c>
      <c r="J29" s="151"/>
      <c r="K29" s="151">
        <v>0</v>
      </c>
      <c r="L29" s="151">
        <v>0</v>
      </c>
      <c r="M29" s="153">
        <v>0</v>
      </c>
      <c r="N29" s="934"/>
      <c r="O29" s="934"/>
      <c r="P29" s="951"/>
      <c r="Q29" s="977"/>
    </row>
    <row r="30" spans="1:17">
      <c r="A30" s="939"/>
      <c r="B30" s="960"/>
      <c r="C30" s="980"/>
      <c r="D30" s="980"/>
      <c r="E30" s="936"/>
      <c r="F30" s="984"/>
      <c r="G30" s="145" t="s">
        <v>6</v>
      </c>
      <c r="H30" s="151">
        <v>406.6</v>
      </c>
      <c r="I30" s="143">
        <v>406.6</v>
      </c>
      <c r="J30" s="151">
        <v>10712.4</v>
      </c>
      <c r="K30" s="151">
        <f>'12А'!E268</f>
        <v>37489.210140000003</v>
      </c>
      <c r="L30" s="151">
        <f>'12А'!F268</f>
        <v>37489.210140000003</v>
      </c>
      <c r="M30" s="153">
        <v>0</v>
      </c>
      <c r="N30" s="934"/>
      <c r="O30" s="934"/>
      <c r="P30" s="951"/>
      <c r="Q30" s="977"/>
    </row>
    <row r="31" spans="1:17" ht="52.5" customHeight="1">
      <c r="A31" s="940"/>
      <c r="B31" s="961"/>
      <c r="C31" s="981"/>
      <c r="D31" s="981"/>
      <c r="E31" s="937"/>
      <c r="F31" s="985"/>
      <c r="G31" s="145" t="s">
        <v>7</v>
      </c>
      <c r="H31" s="151">
        <v>0</v>
      </c>
      <c r="I31" s="143">
        <v>0</v>
      </c>
      <c r="J31" s="151">
        <v>0</v>
      </c>
      <c r="K31" s="153">
        <v>0</v>
      </c>
      <c r="L31" s="153">
        <v>0</v>
      </c>
      <c r="M31" s="153">
        <v>0</v>
      </c>
      <c r="N31" s="935"/>
      <c r="O31" s="935"/>
      <c r="P31" s="952"/>
      <c r="Q31" s="978"/>
    </row>
    <row r="32" spans="1:17">
      <c r="A32" s="956">
        <v>5</v>
      </c>
      <c r="B32" s="941" t="s">
        <v>572</v>
      </c>
      <c r="C32" s="944" t="s">
        <v>604</v>
      </c>
      <c r="D32" s="944" t="s">
        <v>605</v>
      </c>
      <c r="E32" s="944" t="s">
        <v>606</v>
      </c>
      <c r="F32" s="947">
        <v>138492.4</v>
      </c>
      <c r="G32" s="156" t="s">
        <v>3</v>
      </c>
      <c r="H32" s="157">
        <f t="shared" ref="H32:M32" si="3">H33+H34+H35+H36</f>
        <v>20659.3</v>
      </c>
      <c r="I32" s="157">
        <f t="shared" si="3"/>
        <v>20659.3</v>
      </c>
      <c r="J32" s="157">
        <f t="shared" si="3"/>
        <v>59324.553999999996</v>
      </c>
      <c r="K32" s="157">
        <f t="shared" si="3"/>
        <v>59324.553999999996</v>
      </c>
      <c r="L32" s="157">
        <f t="shared" si="3"/>
        <v>59324.553999999996</v>
      </c>
      <c r="M32" s="157">
        <f t="shared" si="3"/>
        <v>0</v>
      </c>
      <c r="N32" s="933">
        <f>L32/J32</f>
        <v>1</v>
      </c>
      <c r="O32" s="933">
        <f>(I32+L32+M32)/F32</f>
        <v>0.57753244221343547</v>
      </c>
      <c r="P32" s="950">
        <f>F32-H32-K32</f>
        <v>58508.545999999995</v>
      </c>
      <c r="Q32" s="930" t="s">
        <v>607</v>
      </c>
    </row>
    <row r="33" spans="1:17">
      <c r="A33" s="957"/>
      <c r="B33" s="942"/>
      <c r="C33" s="945"/>
      <c r="D33" s="945"/>
      <c r="E33" s="945"/>
      <c r="F33" s="948"/>
      <c r="G33" s="156" t="s">
        <v>4</v>
      </c>
      <c r="H33" s="157">
        <v>20452.7</v>
      </c>
      <c r="I33" s="157">
        <v>20452.7</v>
      </c>
      <c r="J33" s="157">
        <f>'12А'!D246</f>
        <v>58731.353999999999</v>
      </c>
      <c r="K33" s="157">
        <f>'12А'!E246</f>
        <v>58731.353999999999</v>
      </c>
      <c r="L33" s="157">
        <f>'12А'!F246</f>
        <v>58731.353999999999</v>
      </c>
      <c r="M33" s="157">
        <v>0</v>
      </c>
      <c r="N33" s="934"/>
      <c r="O33" s="936"/>
      <c r="P33" s="951"/>
      <c r="Q33" s="931"/>
    </row>
    <row r="34" spans="1:17">
      <c r="A34" s="957"/>
      <c r="B34" s="942"/>
      <c r="C34" s="945"/>
      <c r="D34" s="945"/>
      <c r="E34" s="945"/>
      <c r="F34" s="948"/>
      <c r="G34" s="156" t="s">
        <v>5</v>
      </c>
      <c r="H34" s="157">
        <v>0</v>
      </c>
      <c r="I34" s="157">
        <v>0</v>
      </c>
      <c r="J34" s="157"/>
      <c r="K34" s="157">
        <v>0</v>
      </c>
      <c r="L34" s="157"/>
      <c r="M34" s="157">
        <v>0</v>
      </c>
      <c r="N34" s="934"/>
      <c r="O34" s="936"/>
      <c r="P34" s="951"/>
      <c r="Q34" s="931"/>
    </row>
    <row r="35" spans="1:17">
      <c r="A35" s="957"/>
      <c r="B35" s="942"/>
      <c r="C35" s="945"/>
      <c r="D35" s="945"/>
      <c r="E35" s="945"/>
      <c r="F35" s="948"/>
      <c r="G35" s="156" t="s">
        <v>6</v>
      </c>
      <c r="H35" s="157">
        <v>206.6</v>
      </c>
      <c r="I35" s="157">
        <v>206.6</v>
      </c>
      <c r="J35" s="157">
        <v>593.20000000000005</v>
      </c>
      <c r="K35" s="157">
        <v>593.20000000000005</v>
      </c>
      <c r="L35" s="157">
        <v>593.20000000000005</v>
      </c>
      <c r="M35" s="157">
        <v>0</v>
      </c>
      <c r="N35" s="934"/>
      <c r="O35" s="936"/>
      <c r="P35" s="951"/>
      <c r="Q35" s="931"/>
    </row>
    <row r="36" spans="1:17" ht="31.5" customHeight="1">
      <c r="A36" s="958"/>
      <c r="B36" s="943"/>
      <c r="C36" s="946"/>
      <c r="D36" s="946"/>
      <c r="E36" s="946"/>
      <c r="F36" s="949"/>
      <c r="G36" s="156" t="s">
        <v>7</v>
      </c>
      <c r="H36" s="157">
        <v>0</v>
      </c>
      <c r="I36" s="157">
        <v>0</v>
      </c>
      <c r="J36" s="157">
        <v>0</v>
      </c>
      <c r="K36" s="157">
        <v>0</v>
      </c>
      <c r="L36" s="157">
        <v>0</v>
      </c>
      <c r="M36" s="157">
        <v>0</v>
      </c>
      <c r="N36" s="935"/>
      <c r="O36" s="937"/>
      <c r="P36" s="952"/>
      <c r="Q36" s="932"/>
    </row>
    <row r="37" spans="1:17">
      <c r="A37" s="953">
        <v>6</v>
      </c>
      <c r="B37" s="941" t="s">
        <v>608</v>
      </c>
      <c r="C37" s="944" t="s">
        <v>604</v>
      </c>
      <c r="D37" s="944" t="s">
        <v>609</v>
      </c>
      <c r="E37" s="944" t="s">
        <v>606</v>
      </c>
      <c r="F37" s="947">
        <v>49393.2</v>
      </c>
      <c r="G37" s="156" t="s">
        <v>3</v>
      </c>
      <c r="H37" s="157">
        <f t="shared" ref="H37:M37" si="4">H38+H39+H40+H41</f>
        <v>7623.5</v>
      </c>
      <c r="I37" s="157">
        <f t="shared" si="4"/>
        <v>7623.5</v>
      </c>
      <c r="J37" s="157">
        <f t="shared" si="4"/>
        <v>21030.399999999998</v>
      </c>
      <c r="K37" s="157">
        <f t="shared" si="4"/>
        <v>21030.405000000002</v>
      </c>
      <c r="L37" s="157">
        <f t="shared" si="4"/>
        <v>21030.405000000002</v>
      </c>
      <c r="M37" s="157">
        <f t="shared" si="4"/>
        <v>0</v>
      </c>
      <c r="N37" s="933">
        <f>L37/J37</f>
        <v>1.0000002377510653</v>
      </c>
      <c r="O37" s="933">
        <f>(I37+L37+M37)/F37</f>
        <v>0.58011841711004763</v>
      </c>
      <c r="P37" s="950">
        <f>F37-H37-K37</f>
        <v>20739.294999999995</v>
      </c>
      <c r="Q37" s="930" t="s">
        <v>610</v>
      </c>
    </row>
    <row r="38" spans="1:17">
      <c r="A38" s="954"/>
      <c r="B38" s="942"/>
      <c r="C38" s="945"/>
      <c r="D38" s="945"/>
      <c r="E38" s="945"/>
      <c r="F38" s="948"/>
      <c r="G38" s="156" t="s">
        <v>4</v>
      </c>
      <c r="H38" s="157">
        <v>7547.3</v>
      </c>
      <c r="I38" s="157">
        <v>7547.3</v>
      </c>
      <c r="J38" s="157">
        <f>'12А'!D251</f>
        <v>20820.099999999999</v>
      </c>
      <c r="K38" s="157">
        <f>'12А'!E251</f>
        <v>20820.096000000001</v>
      </c>
      <c r="L38" s="157">
        <f>'12А'!F251</f>
        <v>20820.096000000001</v>
      </c>
      <c r="M38" s="157">
        <v>0</v>
      </c>
      <c r="N38" s="934"/>
      <c r="O38" s="936"/>
      <c r="P38" s="951"/>
      <c r="Q38" s="931"/>
    </row>
    <row r="39" spans="1:17">
      <c r="A39" s="954"/>
      <c r="B39" s="942"/>
      <c r="C39" s="945"/>
      <c r="D39" s="945"/>
      <c r="E39" s="945"/>
      <c r="F39" s="948"/>
      <c r="G39" s="156" t="s">
        <v>5</v>
      </c>
      <c r="H39" s="157">
        <v>0</v>
      </c>
      <c r="I39" s="157">
        <v>0</v>
      </c>
      <c r="J39" s="157">
        <v>0</v>
      </c>
      <c r="K39" s="157">
        <v>0</v>
      </c>
      <c r="L39" s="157">
        <v>0</v>
      </c>
      <c r="M39" s="157">
        <v>0</v>
      </c>
      <c r="N39" s="934"/>
      <c r="O39" s="936"/>
      <c r="P39" s="951"/>
      <c r="Q39" s="931"/>
    </row>
    <row r="40" spans="1:17">
      <c r="A40" s="954"/>
      <c r="B40" s="942"/>
      <c r="C40" s="945"/>
      <c r="D40" s="945"/>
      <c r="E40" s="945"/>
      <c r="F40" s="948"/>
      <c r="G40" s="156" t="s">
        <v>6</v>
      </c>
      <c r="H40" s="157">
        <v>76.2</v>
      </c>
      <c r="I40" s="157">
        <v>76.2</v>
      </c>
      <c r="J40" s="157">
        <f>'12А'!D253</f>
        <v>210.3</v>
      </c>
      <c r="K40" s="157">
        <f>'12А'!E253</f>
        <v>210.309</v>
      </c>
      <c r="L40" s="157">
        <f>K40</f>
        <v>210.309</v>
      </c>
      <c r="M40" s="157">
        <v>0</v>
      </c>
      <c r="N40" s="934"/>
      <c r="O40" s="936"/>
      <c r="P40" s="951"/>
      <c r="Q40" s="931"/>
    </row>
    <row r="41" spans="1:17">
      <c r="A41" s="955"/>
      <c r="B41" s="943"/>
      <c r="C41" s="946"/>
      <c r="D41" s="946"/>
      <c r="E41" s="946"/>
      <c r="F41" s="949"/>
      <c r="G41" s="156" t="s">
        <v>7</v>
      </c>
      <c r="H41" s="157">
        <v>0</v>
      </c>
      <c r="I41" s="157">
        <v>0</v>
      </c>
      <c r="J41" s="157">
        <v>0</v>
      </c>
      <c r="K41" s="157">
        <v>0</v>
      </c>
      <c r="L41" s="157">
        <v>0</v>
      </c>
      <c r="M41" s="157">
        <v>0</v>
      </c>
      <c r="N41" s="935"/>
      <c r="O41" s="937"/>
      <c r="P41" s="952"/>
      <c r="Q41" s="932"/>
    </row>
    <row r="42" spans="1:17">
      <c r="A42" s="953">
        <v>7</v>
      </c>
      <c r="B42" s="969" t="s">
        <v>616</v>
      </c>
      <c r="C42" s="969" t="s">
        <v>197</v>
      </c>
      <c r="D42" s="969" t="s">
        <v>617</v>
      </c>
      <c r="E42" s="975">
        <v>2024</v>
      </c>
      <c r="F42" s="969" t="s">
        <v>618</v>
      </c>
      <c r="G42" s="156" t="s">
        <v>3</v>
      </c>
      <c r="H42" s="157">
        <f t="shared" ref="H42:M42" si="5">H43+H44+H45+H46</f>
        <v>0</v>
      </c>
      <c r="I42" s="157">
        <f t="shared" si="5"/>
        <v>0</v>
      </c>
      <c r="J42" s="157">
        <f t="shared" si="5"/>
        <v>17927</v>
      </c>
      <c r="K42" s="157">
        <f t="shared" si="5"/>
        <v>0</v>
      </c>
      <c r="L42" s="157">
        <f t="shared" si="5"/>
        <v>0</v>
      </c>
      <c r="M42" s="157">
        <f t="shared" si="5"/>
        <v>0</v>
      </c>
      <c r="N42" s="972">
        <v>0</v>
      </c>
      <c r="O42" s="972">
        <v>0</v>
      </c>
      <c r="P42" s="972">
        <v>17927</v>
      </c>
      <c r="Q42" s="962" t="s">
        <v>666</v>
      </c>
    </row>
    <row r="43" spans="1:17">
      <c r="A43" s="954"/>
      <c r="B43" s="970"/>
      <c r="C43" s="970"/>
      <c r="D43" s="970"/>
      <c r="E43" s="970"/>
      <c r="F43" s="970"/>
      <c r="G43" s="156" t="s">
        <v>4</v>
      </c>
      <c r="H43" s="157">
        <v>0</v>
      </c>
      <c r="I43" s="157">
        <v>0</v>
      </c>
      <c r="J43" s="157">
        <f>17927000/1000</f>
        <v>17927</v>
      </c>
      <c r="K43" s="157">
        <v>0</v>
      </c>
      <c r="L43" s="157"/>
      <c r="M43" s="157"/>
      <c r="N43" s="973"/>
      <c r="O43" s="973"/>
      <c r="P43" s="973"/>
      <c r="Q43" s="963"/>
    </row>
    <row r="44" spans="1:17">
      <c r="A44" s="954"/>
      <c r="B44" s="970"/>
      <c r="C44" s="970"/>
      <c r="D44" s="970"/>
      <c r="E44" s="970"/>
      <c r="F44" s="970"/>
      <c r="G44" s="156" t="s">
        <v>5</v>
      </c>
      <c r="H44" s="157">
        <v>0</v>
      </c>
      <c r="I44" s="157">
        <v>0</v>
      </c>
      <c r="J44" s="157">
        <v>0</v>
      </c>
      <c r="K44" s="157">
        <v>0</v>
      </c>
      <c r="L44" s="157"/>
      <c r="M44" s="157"/>
      <c r="N44" s="973"/>
      <c r="O44" s="973"/>
      <c r="P44" s="973"/>
      <c r="Q44" s="963"/>
    </row>
    <row r="45" spans="1:17">
      <c r="A45" s="954"/>
      <c r="B45" s="970"/>
      <c r="C45" s="970"/>
      <c r="D45" s="970"/>
      <c r="E45" s="970"/>
      <c r="F45" s="970"/>
      <c r="G45" s="156" t="s">
        <v>6</v>
      </c>
      <c r="H45" s="157">
        <v>0</v>
      </c>
      <c r="I45" s="157">
        <v>0</v>
      </c>
      <c r="J45" s="157"/>
      <c r="K45" s="157">
        <v>0</v>
      </c>
      <c r="L45" s="157"/>
      <c r="M45" s="157"/>
      <c r="N45" s="973"/>
      <c r="O45" s="973"/>
      <c r="P45" s="973"/>
      <c r="Q45" s="963"/>
    </row>
    <row r="46" spans="1:17">
      <c r="A46" s="955"/>
      <c r="B46" s="971"/>
      <c r="C46" s="971"/>
      <c r="D46" s="971"/>
      <c r="E46" s="971"/>
      <c r="F46" s="971"/>
      <c r="G46" s="156" t="s">
        <v>7</v>
      </c>
      <c r="H46" s="157">
        <v>0</v>
      </c>
      <c r="I46" s="157">
        <v>0</v>
      </c>
      <c r="J46" s="157"/>
      <c r="K46" s="157">
        <v>0</v>
      </c>
      <c r="L46" s="157"/>
      <c r="M46" s="157"/>
      <c r="N46" s="974"/>
      <c r="O46" s="974"/>
      <c r="P46" s="974"/>
      <c r="Q46" s="964"/>
    </row>
    <row r="47" spans="1:17">
      <c r="A47" s="953">
        <v>8</v>
      </c>
      <c r="B47" s="965" t="s">
        <v>619</v>
      </c>
      <c r="C47" s="965" t="s">
        <v>197</v>
      </c>
      <c r="D47" s="965" t="s">
        <v>620</v>
      </c>
      <c r="E47" s="968">
        <v>2024</v>
      </c>
      <c r="F47" s="965" t="s">
        <v>621</v>
      </c>
      <c r="G47" s="156" t="s">
        <v>3</v>
      </c>
      <c r="H47" s="157">
        <f t="shared" ref="H47:M47" si="6">H48+H49+H50+H51</f>
        <v>0</v>
      </c>
      <c r="I47" s="157">
        <f t="shared" si="6"/>
        <v>0</v>
      </c>
      <c r="J47" s="157">
        <f t="shared" si="6"/>
        <v>36376.9</v>
      </c>
      <c r="K47" s="157">
        <f t="shared" si="6"/>
        <v>0</v>
      </c>
      <c r="L47" s="157">
        <f t="shared" si="6"/>
        <v>0</v>
      </c>
      <c r="M47" s="157">
        <f t="shared" si="6"/>
        <v>0</v>
      </c>
      <c r="N47" s="972">
        <v>0</v>
      </c>
      <c r="O47" s="972">
        <v>0</v>
      </c>
      <c r="P47" s="972">
        <v>36376.9</v>
      </c>
      <c r="Q47" s="962" t="s">
        <v>666</v>
      </c>
    </row>
    <row r="48" spans="1:17">
      <c r="A48" s="954"/>
      <c r="B48" s="966"/>
      <c r="C48" s="966"/>
      <c r="D48" s="966"/>
      <c r="E48" s="966"/>
      <c r="F48" s="966"/>
      <c r="G48" s="156" t="s">
        <v>4</v>
      </c>
      <c r="H48" s="157">
        <v>0</v>
      </c>
      <c r="I48" s="157">
        <v>0</v>
      </c>
      <c r="J48" s="157">
        <v>36376.9</v>
      </c>
      <c r="K48" s="157">
        <v>0</v>
      </c>
      <c r="L48" s="157"/>
      <c r="M48" s="157"/>
      <c r="N48" s="973"/>
      <c r="O48" s="973"/>
      <c r="P48" s="973"/>
      <c r="Q48" s="963"/>
    </row>
    <row r="49" spans="1:17">
      <c r="A49" s="954"/>
      <c r="B49" s="966"/>
      <c r="C49" s="966"/>
      <c r="D49" s="966"/>
      <c r="E49" s="966"/>
      <c r="F49" s="966"/>
      <c r="G49" s="156" t="s">
        <v>5</v>
      </c>
      <c r="H49" s="157">
        <v>0</v>
      </c>
      <c r="I49" s="157">
        <v>0</v>
      </c>
      <c r="J49" s="157"/>
      <c r="K49" s="157">
        <v>0</v>
      </c>
      <c r="L49" s="157"/>
      <c r="M49" s="157"/>
      <c r="N49" s="973"/>
      <c r="O49" s="973"/>
      <c r="P49" s="973"/>
      <c r="Q49" s="963"/>
    </row>
    <row r="50" spans="1:17">
      <c r="A50" s="954"/>
      <c r="B50" s="966"/>
      <c r="C50" s="966"/>
      <c r="D50" s="966"/>
      <c r="E50" s="966"/>
      <c r="F50" s="966"/>
      <c r="G50" s="156" t="s">
        <v>6</v>
      </c>
      <c r="H50" s="157">
        <v>0</v>
      </c>
      <c r="I50" s="157">
        <v>0</v>
      </c>
      <c r="J50" s="157"/>
      <c r="K50" s="157">
        <v>0</v>
      </c>
      <c r="L50" s="157"/>
      <c r="M50" s="157"/>
      <c r="N50" s="973"/>
      <c r="O50" s="973"/>
      <c r="P50" s="973"/>
      <c r="Q50" s="963"/>
    </row>
    <row r="51" spans="1:17">
      <c r="A51" s="955"/>
      <c r="B51" s="967"/>
      <c r="C51" s="967"/>
      <c r="D51" s="967"/>
      <c r="E51" s="967"/>
      <c r="F51" s="967"/>
      <c r="G51" s="156" t="s">
        <v>7</v>
      </c>
      <c r="H51" s="157">
        <v>0</v>
      </c>
      <c r="I51" s="157">
        <v>0</v>
      </c>
      <c r="J51" s="157"/>
      <c r="K51" s="157">
        <v>0</v>
      </c>
      <c r="L51" s="157"/>
      <c r="M51" s="157"/>
      <c r="N51" s="974"/>
      <c r="O51" s="974"/>
      <c r="P51" s="974"/>
      <c r="Q51" s="964"/>
    </row>
    <row r="52" spans="1:17">
      <c r="A52" s="171"/>
    </row>
  </sheetData>
  <mergeCells count="99">
    <mergeCell ref="A3:Q3"/>
    <mergeCell ref="A5:A6"/>
    <mergeCell ref="B5:B6"/>
    <mergeCell ref="C5:C6"/>
    <mergeCell ref="D5:D6"/>
    <mergeCell ref="E5:E6"/>
    <mergeCell ref="F5:F6"/>
    <mergeCell ref="G5:G6"/>
    <mergeCell ref="H5:I5"/>
    <mergeCell ref="J5:J6"/>
    <mergeCell ref="Q5:Q6"/>
    <mergeCell ref="K5:N5"/>
    <mergeCell ref="O5:O6"/>
    <mergeCell ref="P5:P6"/>
    <mergeCell ref="P22:P26"/>
    <mergeCell ref="Q7:Q11"/>
    <mergeCell ref="N13:N16"/>
    <mergeCell ref="O13:O16"/>
    <mergeCell ref="P13:P16"/>
    <mergeCell ref="Q13:Q16"/>
    <mergeCell ref="P7:P11"/>
    <mergeCell ref="O22:O26"/>
    <mergeCell ref="Q22:Q26"/>
    <mergeCell ref="P17:P21"/>
    <mergeCell ref="Q17:Q21"/>
    <mergeCell ref="F22:F26"/>
    <mergeCell ref="A17:A21"/>
    <mergeCell ref="B17:B21"/>
    <mergeCell ref="N17:N21"/>
    <mergeCell ref="O17:O21"/>
    <mergeCell ref="A22:A26"/>
    <mergeCell ref="B22:B26"/>
    <mergeCell ref="C22:C26"/>
    <mergeCell ref="E22:E26"/>
    <mergeCell ref="F17:F21"/>
    <mergeCell ref="C17:C21"/>
    <mergeCell ref="D17:D21"/>
    <mergeCell ref="E17:E21"/>
    <mergeCell ref="D22:D26"/>
    <mergeCell ref="N22:N26"/>
    <mergeCell ref="E13:E16"/>
    <mergeCell ref="F13:F16"/>
    <mergeCell ref="A7:A11"/>
    <mergeCell ref="B7:F11"/>
    <mergeCell ref="O7:O11"/>
    <mergeCell ref="A13:A16"/>
    <mergeCell ref="B13:B16"/>
    <mergeCell ref="C13:C16"/>
    <mergeCell ref="D13:D16"/>
    <mergeCell ref="Q27:Q31"/>
    <mergeCell ref="C27:C31"/>
    <mergeCell ref="D27:D31"/>
    <mergeCell ref="E27:E31"/>
    <mergeCell ref="F27:F31"/>
    <mergeCell ref="N27:N31"/>
    <mergeCell ref="O27:O31"/>
    <mergeCell ref="P27:P31"/>
    <mergeCell ref="B42:B46"/>
    <mergeCell ref="C42:C46"/>
    <mergeCell ref="D42:D46"/>
    <mergeCell ref="E42:E46"/>
    <mergeCell ref="P32:P36"/>
    <mergeCell ref="C32:C36"/>
    <mergeCell ref="D32:D36"/>
    <mergeCell ref="E32:E36"/>
    <mergeCell ref="F32:F36"/>
    <mergeCell ref="B32:B36"/>
    <mergeCell ref="A47:A51"/>
    <mergeCell ref="Q42:Q46"/>
    <mergeCell ref="B47:B51"/>
    <mergeCell ref="C47:C51"/>
    <mergeCell ref="D47:D51"/>
    <mergeCell ref="E47:E51"/>
    <mergeCell ref="F47:F51"/>
    <mergeCell ref="F42:F46"/>
    <mergeCell ref="N47:N51"/>
    <mergeCell ref="O47:O51"/>
    <mergeCell ref="P47:P51"/>
    <mergeCell ref="N42:N46"/>
    <mergeCell ref="O42:O46"/>
    <mergeCell ref="P42:P46"/>
    <mergeCell ref="A42:A46"/>
    <mergeCell ref="Q47:Q51"/>
    <mergeCell ref="Q37:Q41"/>
    <mergeCell ref="N32:N36"/>
    <mergeCell ref="O32:O36"/>
    <mergeCell ref="A27:A31"/>
    <mergeCell ref="B37:B41"/>
    <mergeCell ref="C37:C41"/>
    <mergeCell ref="D37:D41"/>
    <mergeCell ref="E37:E41"/>
    <mergeCell ref="F37:F41"/>
    <mergeCell ref="N37:N41"/>
    <mergeCell ref="O37:O41"/>
    <mergeCell ref="P37:P41"/>
    <mergeCell ref="A37:A41"/>
    <mergeCell ref="A32:A36"/>
    <mergeCell ref="B27:B31"/>
    <mergeCell ref="Q32:Q36"/>
  </mergeCells>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pageSetUpPr fitToPage="1"/>
  </sheetPr>
  <dimension ref="A1:M1627"/>
  <sheetViews>
    <sheetView zoomScale="80" zoomScaleNormal="80" zoomScaleSheetLayoutView="85" workbookViewId="0">
      <pane xSplit="2" ySplit="5" topLeftCell="C6" activePane="bottomRight" state="frozen"/>
      <selection pane="topRight" activeCell="C1" sqref="C1"/>
      <selection pane="bottomLeft" activeCell="A4" sqref="A4"/>
      <selection pane="bottomRight" activeCell="H236" sqref="H236:H240"/>
    </sheetView>
  </sheetViews>
  <sheetFormatPr defaultColWidth="9.140625" defaultRowHeight="15.75"/>
  <cols>
    <col min="1" max="1" width="11.85546875" style="1" customWidth="1"/>
    <col min="2" max="2" width="67.5703125" style="8" customWidth="1"/>
    <col min="3" max="3" width="7.85546875" style="5" customWidth="1"/>
    <col min="4" max="4" width="14.28515625" style="610" customWidth="1"/>
    <col min="5" max="5" width="14.42578125" style="611" customWidth="1"/>
    <col min="6" max="6" width="14.42578125" style="9" customWidth="1"/>
    <col min="7" max="7" width="12.85546875" style="5" customWidth="1"/>
    <col min="8" max="8" width="54.140625" style="16" customWidth="1"/>
    <col min="9" max="9" width="84.85546875" style="69" customWidth="1"/>
    <col min="10" max="10" width="23.140625" style="70" customWidth="1"/>
    <col min="11" max="11" width="42.28515625" style="71" customWidth="1"/>
    <col min="12" max="12" width="40" style="71" customWidth="1"/>
    <col min="13" max="13" width="9.140625" style="5"/>
    <col min="14" max="16384" width="9.140625" style="2"/>
  </cols>
  <sheetData>
    <row r="1" spans="1:13">
      <c r="B1" s="222" t="e">
        <f>E11+E16</f>
        <v>#REF!</v>
      </c>
      <c r="D1" s="73"/>
      <c r="E1" s="74"/>
    </row>
    <row r="2" spans="1:13">
      <c r="D2" s="73"/>
      <c r="E2" s="74"/>
    </row>
    <row r="3" spans="1:13" ht="15">
      <c r="A3" s="795" t="s">
        <v>689</v>
      </c>
      <c r="B3" s="795"/>
      <c r="C3" s="795"/>
      <c r="D3" s="795"/>
      <c r="E3" s="795"/>
      <c r="F3" s="795"/>
      <c r="G3" s="795"/>
      <c r="H3" s="795"/>
      <c r="I3" s="795"/>
      <c r="J3" s="795"/>
      <c r="K3" s="795"/>
      <c r="L3" s="795"/>
      <c r="M3" s="795"/>
    </row>
    <row r="4" spans="1:13" ht="27.75" customHeight="1">
      <c r="A4" s="1044" t="s">
        <v>0</v>
      </c>
      <c r="B4" s="1045" t="s">
        <v>24</v>
      </c>
      <c r="C4" s="1046" t="s">
        <v>1</v>
      </c>
      <c r="D4" s="1046"/>
      <c r="E4" s="1046"/>
      <c r="F4" s="1046"/>
      <c r="G4" s="1046"/>
      <c r="H4" s="1047" t="s">
        <v>25</v>
      </c>
      <c r="I4" s="1048"/>
      <c r="J4" s="1049"/>
      <c r="K4" s="672" t="s">
        <v>2</v>
      </c>
      <c r="L4" s="1050" t="s">
        <v>223</v>
      </c>
      <c r="M4" s="1051" t="s">
        <v>32</v>
      </c>
    </row>
    <row r="5" spans="1:13" ht="31.5">
      <c r="A5" s="711"/>
      <c r="B5" s="817"/>
      <c r="C5" s="493" t="s">
        <v>26</v>
      </c>
      <c r="D5" s="494" t="s">
        <v>27</v>
      </c>
      <c r="E5" s="494" t="s">
        <v>33</v>
      </c>
      <c r="F5" s="495" t="s">
        <v>28</v>
      </c>
      <c r="G5" s="496" t="s">
        <v>34</v>
      </c>
      <c r="H5" s="497" t="s">
        <v>29</v>
      </c>
      <c r="I5" s="498" t="s">
        <v>30</v>
      </c>
      <c r="J5" s="498" t="s">
        <v>31</v>
      </c>
      <c r="K5" s="674"/>
      <c r="L5" s="815"/>
      <c r="M5" s="812"/>
    </row>
    <row r="6" spans="1:13">
      <c r="A6" s="1038"/>
      <c r="B6" s="1039" t="s">
        <v>228</v>
      </c>
      <c r="C6" s="499" t="s">
        <v>3</v>
      </c>
      <c r="D6" s="500" t="e">
        <f>SUM(D7:D10)</f>
        <v>#REF!</v>
      </c>
      <c r="E6" s="500" t="e">
        <f>SUM(E7:E10)</f>
        <v>#REF!</v>
      </c>
      <c r="F6" s="500" t="e">
        <f>SUM(F7:F10)</f>
        <v>#REF!</v>
      </c>
      <c r="G6" s="501">
        <f t="shared" ref="G6:G12" si="0">IFERROR(F6/D6,0)</f>
        <v>0</v>
      </c>
      <c r="H6" s="1040"/>
      <c r="I6" s="502" t="s">
        <v>45</v>
      </c>
      <c r="J6" s="503">
        <f>SUM(J11,J16)</f>
        <v>28</v>
      </c>
      <c r="K6" s="1041" t="s">
        <v>104</v>
      </c>
      <c r="L6" s="1042"/>
      <c r="M6" s="1043">
        <v>823</v>
      </c>
    </row>
    <row r="7" spans="1:13">
      <c r="A7" s="806"/>
      <c r="B7" s="809"/>
      <c r="C7" s="499" t="s">
        <v>4</v>
      </c>
      <c r="D7" s="500" t="e">
        <f t="shared" ref="D7:E9" si="1">SUM(D22,D92,D182,D282)</f>
        <v>#REF!</v>
      </c>
      <c r="E7" s="500" t="e">
        <f t="shared" si="1"/>
        <v>#REF!</v>
      </c>
      <c r="F7" s="500" t="e">
        <f>E7</f>
        <v>#REF!</v>
      </c>
      <c r="G7" s="501">
        <f t="shared" si="0"/>
        <v>0</v>
      </c>
      <c r="H7" s="776"/>
      <c r="I7" s="502" t="s">
        <v>46</v>
      </c>
      <c r="J7" s="503">
        <f>SUM(J12,J17)</f>
        <v>8</v>
      </c>
      <c r="K7" s="803"/>
      <c r="L7" s="1042"/>
      <c r="M7" s="706"/>
    </row>
    <row r="8" spans="1:13">
      <c r="A8" s="806"/>
      <c r="B8" s="809"/>
      <c r="C8" s="499" t="s">
        <v>5</v>
      </c>
      <c r="D8" s="500">
        <f t="shared" si="1"/>
        <v>632873.55863999994</v>
      </c>
      <c r="E8" s="500" t="e">
        <f t="shared" si="1"/>
        <v>#REF!</v>
      </c>
      <c r="F8" s="500" t="e">
        <f>E8</f>
        <v>#REF!</v>
      </c>
      <c r="G8" s="501">
        <f t="shared" si="0"/>
        <v>0</v>
      </c>
      <c r="H8" s="776"/>
      <c r="I8" s="502" t="s">
        <v>47</v>
      </c>
      <c r="J8" s="503">
        <f t="shared" ref="J8:J9" si="2">SUM(J13,J18)</f>
        <v>15</v>
      </c>
      <c r="K8" s="803"/>
      <c r="L8" s="1042"/>
      <c r="M8" s="706"/>
    </row>
    <row r="9" spans="1:13">
      <c r="A9" s="806"/>
      <c r="B9" s="809"/>
      <c r="C9" s="499" t="s">
        <v>6</v>
      </c>
      <c r="D9" s="504" t="e">
        <f t="shared" si="1"/>
        <v>#REF!</v>
      </c>
      <c r="E9" s="504" t="e">
        <f t="shared" si="1"/>
        <v>#REF!</v>
      </c>
      <c r="F9" s="504" t="e">
        <f>E9</f>
        <v>#REF!</v>
      </c>
      <c r="G9" s="501">
        <f t="shared" si="0"/>
        <v>0</v>
      </c>
      <c r="H9" s="776"/>
      <c r="I9" s="502" t="s">
        <v>48</v>
      </c>
      <c r="J9" s="503">
        <f t="shared" si="2"/>
        <v>5</v>
      </c>
      <c r="K9" s="803"/>
      <c r="L9" s="1042"/>
      <c r="M9" s="706"/>
    </row>
    <row r="10" spans="1:13">
      <c r="A10" s="807"/>
      <c r="B10" s="810"/>
      <c r="C10" s="499" t="s">
        <v>7</v>
      </c>
      <c r="D10" s="504" t="e">
        <f>SUM(D25,D95,D185,D285)</f>
        <v>#REF!</v>
      </c>
      <c r="E10" s="504">
        <v>0</v>
      </c>
      <c r="F10" s="504">
        <v>0</v>
      </c>
      <c r="G10" s="501">
        <f t="shared" si="0"/>
        <v>0</v>
      </c>
      <c r="H10" s="777"/>
      <c r="I10" s="502" t="s">
        <v>49</v>
      </c>
      <c r="J10" s="505">
        <f>(J7+0.5*J8)/J6</f>
        <v>0.5535714285714286</v>
      </c>
      <c r="K10" s="813"/>
      <c r="L10" s="1042"/>
      <c r="M10" s="707"/>
    </row>
    <row r="11" spans="1:13">
      <c r="A11" s="1038"/>
      <c r="B11" s="1039" t="s">
        <v>63</v>
      </c>
      <c r="C11" s="499" t="s">
        <v>3</v>
      </c>
      <c r="D11" s="506">
        <f>SUM(D12:D15)</f>
        <v>2302490.3629799997</v>
      </c>
      <c r="E11" s="507" t="e">
        <f>SUM(E12:E15)</f>
        <v>#REF!</v>
      </c>
      <c r="F11" s="507" t="e">
        <f>SUM(F12:F15)</f>
        <v>#REF!</v>
      </c>
      <c r="G11" s="501">
        <f t="shared" si="0"/>
        <v>0</v>
      </c>
      <c r="H11" s="1040"/>
      <c r="I11" s="502" t="s">
        <v>45</v>
      </c>
      <c r="J11" s="508">
        <f>SUM(J12:J14)</f>
        <v>21</v>
      </c>
      <c r="K11" s="1041" t="s">
        <v>89</v>
      </c>
      <c r="L11" s="1042"/>
      <c r="M11" s="1043">
        <v>823</v>
      </c>
    </row>
    <row r="12" spans="1:13">
      <c r="A12" s="806"/>
      <c r="B12" s="809"/>
      <c r="C12" s="499" t="s">
        <v>4</v>
      </c>
      <c r="D12" s="504">
        <f t="shared" ref="D12:E14" si="3">SUM(D22,D92,D202,D212,D247,D272,D282)</f>
        <v>2043812.2515399999</v>
      </c>
      <c r="E12" s="500" t="e">
        <f t="shared" si="3"/>
        <v>#REF!</v>
      </c>
      <c r="F12" s="500" t="e">
        <f>E12</f>
        <v>#REF!</v>
      </c>
      <c r="G12" s="501">
        <f t="shared" si="0"/>
        <v>0</v>
      </c>
      <c r="H12" s="776"/>
      <c r="I12" s="502" t="s">
        <v>46</v>
      </c>
      <c r="J12" s="508">
        <v>3</v>
      </c>
      <c r="K12" s="803"/>
      <c r="L12" s="1042"/>
      <c r="M12" s="706"/>
    </row>
    <row r="13" spans="1:13">
      <c r="A13" s="806"/>
      <c r="B13" s="809"/>
      <c r="C13" s="499" t="s">
        <v>5</v>
      </c>
      <c r="D13" s="504">
        <f t="shared" si="3"/>
        <v>192574.95864</v>
      </c>
      <c r="E13" s="500" t="e">
        <f t="shared" si="3"/>
        <v>#REF!</v>
      </c>
      <c r="F13" s="500" t="e">
        <f>E13</f>
        <v>#REF!</v>
      </c>
      <c r="G13" s="501">
        <f>IFERROR(F13/D13,0)</f>
        <v>0</v>
      </c>
      <c r="H13" s="776"/>
      <c r="I13" s="502" t="s">
        <v>47</v>
      </c>
      <c r="J13" s="508">
        <f>COUNTIFS($M$21:$M$295,823,$J$21:$J$295,"Частично")</f>
        <v>13</v>
      </c>
      <c r="K13" s="803"/>
      <c r="L13" s="1042"/>
      <c r="M13" s="706"/>
    </row>
    <row r="14" spans="1:13">
      <c r="A14" s="806"/>
      <c r="B14" s="809"/>
      <c r="C14" s="499" t="s">
        <v>6</v>
      </c>
      <c r="D14" s="504">
        <f t="shared" si="3"/>
        <v>66103.152799999996</v>
      </c>
      <c r="E14" s="500">
        <f t="shared" si="3"/>
        <v>0</v>
      </c>
      <c r="F14" s="500">
        <f>E14</f>
        <v>0</v>
      </c>
      <c r="G14" s="501">
        <f t="shared" ref="G14:G77" si="4">IFERROR(F14/D14,0)</f>
        <v>0</v>
      </c>
      <c r="H14" s="776"/>
      <c r="I14" s="502" t="s">
        <v>48</v>
      </c>
      <c r="J14" s="508">
        <f>COUNTIFS($M$21:$M$295,823,$J$21:$J$295,"Нет")</f>
        <v>5</v>
      </c>
      <c r="K14" s="803"/>
      <c r="L14" s="1042"/>
      <c r="M14" s="706"/>
    </row>
    <row r="15" spans="1:13">
      <c r="A15" s="807"/>
      <c r="B15" s="810"/>
      <c r="C15" s="499" t="s">
        <v>7</v>
      </c>
      <c r="D15" s="504">
        <v>0</v>
      </c>
      <c r="E15" s="500">
        <v>0</v>
      </c>
      <c r="F15" s="500">
        <v>0</v>
      </c>
      <c r="G15" s="501">
        <f t="shared" si="4"/>
        <v>0</v>
      </c>
      <c r="H15" s="777"/>
      <c r="I15" s="502" t="s">
        <v>49</v>
      </c>
      <c r="J15" s="509">
        <f>(J12+0.5*J13)/J11</f>
        <v>0.45238095238095238</v>
      </c>
      <c r="K15" s="803"/>
      <c r="L15" s="1042"/>
      <c r="M15" s="707"/>
    </row>
    <row r="16" spans="1:13">
      <c r="A16" s="1052"/>
      <c r="B16" s="1055" t="s">
        <v>57</v>
      </c>
      <c r="C16" s="510" t="s">
        <v>3</v>
      </c>
      <c r="D16" s="511">
        <f>SUM(D17:D20)</f>
        <v>942339.64847000001</v>
      </c>
      <c r="E16" s="511">
        <f>SUM(E17:E20)</f>
        <v>927033.77833999996</v>
      </c>
      <c r="F16" s="511">
        <f>SUM(F17:F20)</f>
        <v>927033.77833999996</v>
      </c>
      <c r="G16" s="512">
        <f t="shared" si="4"/>
        <v>0.98375758660388435</v>
      </c>
      <c r="H16" s="1058"/>
      <c r="I16" s="513" t="s">
        <v>45</v>
      </c>
      <c r="J16" s="514">
        <f>SUM(J17:J19)</f>
        <v>7</v>
      </c>
      <c r="K16" s="1061" t="str">
        <f>'[1]Пр ГП 19-20'!$K$11</f>
        <v>Министерство строительства МО</v>
      </c>
      <c r="L16" s="1063"/>
      <c r="M16" s="1064">
        <v>807</v>
      </c>
    </row>
    <row r="17" spans="1:13">
      <c r="A17" s="1053"/>
      <c r="B17" s="1056"/>
      <c r="C17" s="510" t="s">
        <v>4</v>
      </c>
      <c r="D17" s="515">
        <f t="shared" ref="D17:E19" si="5">SUM(D237,D242,D277)</f>
        <v>561518.64847000001</v>
      </c>
      <c r="E17" s="515">
        <f t="shared" si="5"/>
        <v>546212.67833999998</v>
      </c>
      <c r="F17" s="515">
        <f>E17</f>
        <v>546212.67833999998</v>
      </c>
      <c r="G17" s="512">
        <f t="shared" si="4"/>
        <v>0.97274183115430801</v>
      </c>
      <c r="H17" s="1059"/>
      <c r="I17" s="513" t="s">
        <v>46</v>
      </c>
      <c r="J17" s="514">
        <f>COUNTIFS($M$21:$M$295,807,$J$21:$J$295,"Да")</f>
        <v>5</v>
      </c>
      <c r="K17" s="1062"/>
      <c r="L17" s="1063"/>
      <c r="M17" s="1065"/>
    </row>
    <row r="18" spans="1:13">
      <c r="A18" s="1053"/>
      <c r="B18" s="1056"/>
      <c r="C18" s="510" t="s">
        <v>5</v>
      </c>
      <c r="D18" s="515">
        <f t="shared" si="5"/>
        <v>370108.6</v>
      </c>
      <c r="E18" s="515">
        <f t="shared" si="5"/>
        <v>370108.6</v>
      </c>
      <c r="F18" s="515">
        <f>E18</f>
        <v>370108.6</v>
      </c>
      <c r="G18" s="512">
        <f t="shared" si="4"/>
        <v>1</v>
      </c>
      <c r="H18" s="1059"/>
      <c r="I18" s="513" t="s">
        <v>47</v>
      </c>
      <c r="J18" s="514">
        <f>COUNTIFS($M$21:$M$295,807,$J$21:$J$295,"Частично")</f>
        <v>2</v>
      </c>
      <c r="K18" s="1062"/>
      <c r="L18" s="1063"/>
      <c r="M18" s="1065"/>
    </row>
    <row r="19" spans="1:13">
      <c r="A19" s="1053"/>
      <c r="B19" s="1056"/>
      <c r="C19" s="510" t="s">
        <v>6</v>
      </c>
      <c r="D19" s="515">
        <f t="shared" si="5"/>
        <v>10712.4</v>
      </c>
      <c r="E19" s="515">
        <f t="shared" si="5"/>
        <v>10712.5</v>
      </c>
      <c r="F19" s="515">
        <f>E19</f>
        <v>10712.5</v>
      </c>
      <c r="G19" s="512">
        <f t="shared" si="4"/>
        <v>1.0000093349762893</v>
      </c>
      <c r="H19" s="1059"/>
      <c r="I19" s="513" t="s">
        <v>48</v>
      </c>
      <c r="J19" s="514">
        <f>COUNTIFS($M$21:$M$295,807,$J$21:$J$295,"Нет")</f>
        <v>0</v>
      </c>
      <c r="K19" s="1062"/>
      <c r="L19" s="1063"/>
      <c r="M19" s="1065"/>
    </row>
    <row r="20" spans="1:13">
      <c r="A20" s="1054"/>
      <c r="B20" s="1057"/>
      <c r="C20" s="510" t="s">
        <v>7</v>
      </c>
      <c r="D20" s="515">
        <v>0</v>
      </c>
      <c r="E20" s="515">
        <v>0</v>
      </c>
      <c r="F20" s="515">
        <f>E20</f>
        <v>0</v>
      </c>
      <c r="G20" s="512">
        <f t="shared" si="4"/>
        <v>0</v>
      </c>
      <c r="H20" s="1060"/>
      <c r="I20" s="513" t="s">
        <v>49</v>
      </c>
      <c r="J20" s="516">
        <f>(J17+0.5*J18)/J16</f>
        <v>0.8571428571428571</v>
      </c>
      <c r="K20" s="1062"/>
      <c r="L20" s="1063"/>
      <c r="M20" s="1066"/>
    </row>
    <row r="21" spans="1:13" hidden="1">
      <c r="A21" s="1071" t="s">
        <v>8</v>
      </c>
      <c r="B21" s="1072" t="s">
        <v>110</v>
      </c>
      <c r="C21" s="517" t="s">
        <v>3</v>
      </c>
      <c r="D21" s="518">
        <f>SUM(D22:D25)</f>
        <v>542015.88037999999</v>
      </c>
      <c r="E21" s="518" t="e">
        <f>SUM(E22:E25)</f>
        <v>#REF!</v>
      </c>
      <c r="F21" s="518" t="e">
        <f>SUM(F22:F25)</f>
        <v>#REF!</v>
      </c>
      <c r="G21" s="519">
        <f t="shared" si="4"/>
        <v>0</v>
      </c>
      <c r="H21" s="1073"/>
      <c r="I21" s="520" t="s">
        <v>45</v>
      </c>
      <c r="J21" s="521">
        <f>SUM(J26,J76)</f>
        <v>11</v>
      </c>
      <c r="K21" s="1074" t="s">
        <v>128</v>
      </c>
      <c r="L21" s="1074"/>
      <c r="M21" s="1075">
        <v>823</v>
      </c>
    </row>
    <row r="22" spans="1:13" hidden="1">
      <c r="A22" s="829"/>
      <c r="B22" s="832"/>
      <c r="C22" s="517" t="s">
        <v>4</v>
      </c>
      <c r="D22" s="522">
        <f>SUM(D27,D77)</f>
        <v>496768.91758000001</v>
      </c>
      <c r="E22" s="522" t="e">
        <f>SUM(E27,E77)</f>
        <v>#REF!</v>
      </c>
      <c r="F22" s="522" t="e">
        <f>E22</f>
        <v>#REF!</v>
      </c>
      <c r="G22" s="519">
        <f t="shared" si="4"/>
        <v>0</v>
      </c>
      <c r="H22" s="827"/>
      <c r="I22" s="520" t="s">
        <v>46</v>
      </c>
      <c r="J22" s="521">
        <f>SUM(J27,J77)</f>
        <v>5</v>
      </c>
      <c r="K22" s="825"/>
      <c r="L22" s="825"/>
      <c r="M22" s="823"/>
    </row>
    <row r="23" spans="1:13" hidden="1">
      <c r="A23" s="829"/>
      <c r="B23" s="832"/>
      <c r="C23" s="517" t="s">
        <v>5</v>
      </c>
      <c r="D23" s="522">
        <v>0</v>
      </c>
      <c r="E23" s="522">
        <f t="shared" ref="E23:E24" si="6">SUM(E28,E78)</f>
        <v>0</v>
      </c>
      <c r="F23" s="522">
        <f>E23</f>
        <v>0</v>
      </c>
      <c r="G23" s="519">
        <f t="shared" si="4"/>
        <v>0</v>
      </c>
      <c r="H23" s="827"/>
      <c r="I23" s="520" t="s">
        <v>47</v>
      </c>
      <c r="J23" s="521">
        <f>SUM(J28,J78)</f>
        <v>6</v>
      </c>
      <c r="K23" s="825"/>
      <c r="L23" s="825"/>
      <c r="M23" s="823"/>
    </row>
    <row r="24" spans="1:13" hidden="1">
      <c r="A24" s="829"/>
      <c r="B24" s="832"/>
      <c r="C24" s="517" t="s">
        <v>6</v>
      </c>
      <c r="D24" s="522">
        <f>'[2]334-ПП'!H30</f>
        <v>45246.962800000001</v>
      </c>
      <c r="E24" s="522">
        <f t="shared" si="6"/>
        <v>0</v>
      </c>
      <c r="F24" s="522">
        <v>0</v>
      </c>
      <c r="G24" s="519">
        <f t="shared" si="4"/>
        <v>0</v>
      </c>
      <c r="H24" s="827"/>
      <c r="I24" s="520" t="s">
        <v>48</v>
      </c>
      <c r="J24" s="521">
        <f>SUM(J29,J79)</f>
        <v>0</v>
      </c>
      <c r="K24" s="825"/>
      <c r="L24" s="825"/>
      <c r="M24" s="823"/>
    </row>
    <row r="25" spans="1:13" hidden="1">
      <c r="A25" s="830"/>
      <c r="B25" s="833"/>
      <c r="C25" s="517" t="s">
        <v>7</v>
      </c>
      <c r="D25" s="522">
        <v>0</v>
      </c>
      <c r="E25" s="522">
        <v>0</v>
      </c>
      <c r="F25" s="522">
        <v>0</v>
      </c>
      <c r="G25" s="519">
        <f t="shared" si="4"/>
        <v>0</v>
      </c>
      <c r="H25" s="827"/>
      <c r="I25" s="523" t="s">
        <v>49</v>
      </c>
      <c r="J25" s="524">
        <f>(J22+0.5*J23)/J21</f>
        <v>0.72727272727272729</v>
      </c>
      <c r="K25" s="825"/>
      <c r="L25" s="825"/>
      <c r="M25" s="823"/>
    </row>
    <row r="26" spans="1:13" s="10" customFormat="1" ht="15.75" hidden="1" customHeight="1">
      <c r="A26" s="1067" t="s">
        <v>170</v>
      </c>
      <c r="B26" s="1068" t="s">
        <v>210</v>
      </c>
      <c r="C26" s="525" t="s">
        <v>3</v>
      </c>
      <c r="D26" s="526">
        <f>SUM(D27:D30)</f>
        <v>526016.70837999997</v>
      </c>
      <c r="E26" s="526" t="e">
        <f>SUM(E27:E30)</f>
        <v>#REF!</v>
      </c>
      <c r="F26" s="526" t="e">
        <f>E26</f>
        <v>#REF!</v>
      </c>
      <c r="G26" s="165">
        <f t="shared" si="4"/>
        <v>0</v>
      </c>
      <c r="H26" s="1069" t="s">
        <v>259</v>
      </c>
      <c r="I26" s="527" t="s">
        <v>45</v>
      </c>
      <c r="J26" s="528">
        <f>SUM(J27:J29)</f>
        <v>9</v>
      </c>
      <c r="K26" s="929" t="s">
        <v>64</v>
      </c>
      <c r="L26" s="929"/>
      <c r="M26" s="1070">
        <v>823</v>
      </c>
    </row>
    <row r="27" spans="1:13" s="10" customFormat="1" hidden="1">
      <c r="A27" s="842"/>
      <c r="B27" s="845"/>
      <c r="C27" s="525" t="s">
        <v>4</v>
      </c>
      <c r="D27" s="529">
        <f>SUM(D32,D37,D42,D47,D52,D57,D62,D67,D72)</f>
        <v>480769.74557999999</v>
      </c>
      <c r="E27" s="529" t="e">
        <f>SUM(E32,E37,E42,E47,E52,E57,E62,E67,E72)</f>
        <v>#REF!</v>
      </c>
      <c r="F27" s="529" t="e">
        <f>E27</f>
        <v>#REF!</v>
      </c>
      <c r="G27" s="165">
        <f t="shared" si="4"/>
        <v>0</v>
      </c>
      <c r="H27" s="836"/>
      <c r="I27" s="527" t="s">
        <v>46</v>
      </c>
      <c r="J27" s="530">
        <f>COUNTIF($J$31:$J$75,"Да")</f>
        <v>5</v>
      </c>
      <c r="K27" s="762"/>
      <c r="L27" s="762"/>
      <c r="M27" s="764"/>
    </row>
    <row r="28" spans="1:13" s="10" customFormat="1" hidden="1">
      <c r="A28" s="842"/>
      <c r="B28" s="845"/>
      <c r="C28" s="525" t="s">
        <v>5</v>
      </c>
      <c r="D28" s="529">
        <f>SUM(D33,D38,D43,D48,D53,D58,D63,D68,D73)</f>
        <v>0</v>
      </c>
      <c r="E28" s="526">
        <f>SUM(E33,E38,E43,E48,E53,E58,E63,E68,E73)</f>
        <v>0</v>
      </c>
      <c r="F28" s="526">
        <f>E28</f>
        <v>0</v>
      </c>
      <c r="G28" s="165">
        <f t="shared" si="4"/>
        <v>0</v>
      </c>
      <c r="H28" s="836"/>
      <c r="I28" s="527" t="s">
        <v>47</v>
      </c>
      <c r="J28" s="530">
        <f>COUNTIF($J$31:$J$75,"Частично")</f>
        <v>4</v>
      </c>
      <c r="K28" s="762"/>
      <c r="L28" s="762"/>
      <c r="M28" s="764"/>
    </row>
    <row r="29" spans="1:13" s="10" customFormat="1" hidden="1">
      <c r="A29" s="842"/>
      <c r="B29" s="845"/>
      <c r="C29" s="525" t="s">
        <v>6</v>
      </c>
      <c r="D29" s="529">
        <f>SUM(D34,D39,D44,D49,D54,D64,D69,D74)</f>
        <v>45246.962800000001</v>
      </c>
      <c r="E29" s="526">
        <f>SUM(E34,E39,E44,E49,E54,E59,E64,E69,E74)</f>
        <v>0</v>
      </c>
      <c r="F29" s="526">
        <f>E29</f>
        <v>0</v>
      </c>
      <c r="G29" s="165">
        <f t="shared" si="4"/>
        <v>0</v>
      </c>
      <c r="H29" s="836"/>
      <c r="I29" s="527" t="s">
        <v>48</v>
      </c>
      <c r="J29" s="530">
        <f>COUNTIF($J$31:$J$75,"Нет")</f>
        <v>0</v>
      </c>
      <c r="K29" s="762"/>
      <c r="L29" s="762"/>
      <c r="M29" s="764"/>
    </row>
    <row r="30" spans="1:13" s="10" customFormat="1" ht="25.5" hidden="1" customHeight="1">
      <c r="A30" s="843"/>
      <c r="B30" s="846"/>
      <c r="C30" s="525" t="s">
        <v>7</v>
      </c>
      <c r="D30" s="529">
        <v>0</v>
      </c>
      <c r="E30" s="526">
        <f>SUM(E35,E40,E45,E50,E55,E60,E65,E70,E75)</f>
        <v>0</v>
      </c>
      <c r="F30" s="526">
        <f>E30</f>
        <v>0</v>
      </c>
      <c r="G30" s="165">
        <f t="shared" si="4"/>
        <v>0</v>
      </c>
      <c r="H30" s="837"/>
      <c r="I30" s="531" t="s">
        <v>49</v>
      </c>
      <c r="J30" s="532">
        <f>(J27+0.5*J28)/J26</f>
        <v>0.77777777777777779</v>
      </c>
      <c r="K30" s="762"/>
      <c r="L30" s="762"/>
      <c r="M30" s="764"/>
    </row>
    <row r="31" spans="1:13" s="10" customFormat="1" ht="15" hidden="1" customHeight="1">
      <c r="A31" s="1044" t="s">
        <v>11</v>
      </c>
      <c r="B31" s="1079" t="s">
        <v>218</v>
      </c>
      <c r="C31" s="533" t="s">
        <v>3</v>
      </c>
      <c r="D31" s="534">
        <f>SUM(D32:D35)</f>
        <v>82011.627000000008</v>
      </c>
      <c r="E31" s="534" t="e">
        <f>SUM(E32:E35)</f>
        <v>#REF!</v>
      </c>
      <c r="F31" s="534" t="e">
        <f>SUM(F32:F35)</f>
        <v>#REF!</v>
      </c>
      <c r="G31" s="205">
        <f t="shared" si="4"/>
        <v>0</v>
      </c>
      <c r="H31" s="1083" t="s">
        <v>106</v>
      </c>
      <c r="I31" s="1081" t="s">
        <v>658</v>
      </c>
      <c r="J31" s="1082" t="s">
        <v>177</v>
      </c>
      <c r="K31" s="672" t="s">
        <v>87</v>
      </c>
      <c r="L31" s="1076"/>
      <c r="M31" s="1043">
        <v>823</v>
      </c>
    </row>
    <row r="32" spans="1:13" s="10" customFormat="1" ht="22.5" hidden="1" customHeight="1">
      <c r="A32" s="838"/>
      <c r="B32" s="793"/>
      <c r="C32" s="535" t="s">
        <v>4</v>
      </c>
      <c r="D32" s="536">
        <f>'[3]912-ПП'!F72</f>
        <v>82011.627000000008</v>
      </c>
      <c r="E32" s="536" t="e">
        <f>#REF!</f>
        <v>#REF!</v>
      </c>
      <c r="F32" s="536" t="e">
        <f>E32</f>
        <v>#REF!</v>
      </c>
      <c r="G32" s="205">
        <f t="shared" si="4"/>
        <v>0</v>
      </c>
      <c r="H32" s="790"/>
      <c r="I32" s="768"/>
      <c r="J32" s="667"/>
      <c r="K32" s="667"/>
      <c r="L32" s="1077"/>
      <c r="M32" s="765"/>
    </row>
    <row r="33" spans="1:13" s="10" customFormat="1" ht="21" hidden="1" customHeight="1">
      <c r="A33" s="838"/>
      <c r="B33" s="793"/>
      <c r="C33" s="535" t="s">
        <v>5</v>
      </c>
      <c r="D33" s="536">
        <v>0</v>
      </c>
      <c r="E33" s="536">
        <v>0</v>
      </c>
      <c r="F33" s="536">
        <v>0</v>
      </c>
      <c r="G33" s="205">
        <f t="shared" si="4"/>
        <v>0</v>
      </c>
      <c r="H33" s="790"/>
      <c r="I33" s="768"/>
      <c r="J33" s="667"/>
      <c r="K33" s="667"/>
      <c r="L33" s="1077"/>
      <c r="M33" s="765"/>
    </row>
    <row r="34" spans="1:13" s="10" customFormat="1" ht="18.75" hidden="1" customHeight="1">
      <c r="A34" s="838"/>
      <c r="B34" s="793"/>
      <c r="C34" s="535" t="s">
        <v>6</v>
      </c>
      <c r="D34" s="536">
        <v>0</v>
      </c>
      <c r="E34" s="536">
        <v>0</v>
      </c>
      <c r="F34" s="536">
        <v>0</v>
      </c>
      <c r="G34" s="205">
        <f t="shared" si="4"/>
        <v>0</v>
      </c>
      <c r="H34" s="790"/>
      <c r="I34" s="768"/>
      <c r="J34" s="667"/>
      <c r="K34" s="667"/>
      <c r="L34" s="1077"/>
      <c r="M34" s="765"/>
    </row>
    <row r="35" spans="1:13" s="10" customFormat="1" ht="20.25" hidden="1" customHeight="1">
      <c r="A35" s="839"/>
      <c r="B35" s="794"/>
      <c r="C35" s="497" t="s">
        <v>7</v>
      </c>
      <c r="D35" s="537">
        <v>0</v>
      </c>
      <c r="E35" s="537">
        <v>0</v>
      </c>
      <c r="F35" s="537">
        <v>0</v>
      </c>
      <c r="G35" s="205">
        <f t="shared" si="4"/>
        <v>0</v>
      </c>
      <c r="H35" s="791"/>
      <c r="I35" s="769"/>
      <c r="J35" s="668"/>
      <c r="K35" s="668"/>
      <c r="L35" s="1078"/>
      <c r="M35" s="766"/>
    </row>
    <row r="36" spans="1:13" s="10" customFormat="1" ht="23.25" hidden="1" customHeight="1">
      <c r="A36" s="1044" t="s">
        <v>39</v>
      </c>
      <c r="B36" s="1079" t="s">
        <v>174</v>
      </c>
      <c r="C36" s="535" t="s">
        <v>3</v>
      </c>
      <c r="D36" s="538">
        <f>SUM(D37:D40)</f>
        <v>55000</v>
      </c>
      <c r="E36" s="538" t="e">
        <f>SUM(E37:E40)</f>
        <v>#REF!</v>
      </c>
      <c r="F36" s="538" t="e">
        <f>SUM(F37:F40)</f>
        <v>#REF!</v>
      </c>
      <c r="G36" s="205">
        <f t="shared" si="4"/>
        <v>0</v>
      </c>
      <c r="H36" s="1080" t="s">
        <v>169</v>
      </c>
      <c r="I36" s="1081" t="s">
        <v>658</v>
      </c>
      <c r="J36" s="1082" t="s">
        <v>178</v>
      </c>
      <c r="K36" s="672" t="s">
        <v>87</v>
      </c>
      <c r="L36" s="1076" t="s">
        <v>1042</v>
      </c>
      <c r="M36" s="1043">
        <v>823</v>
      </c>
    </row>
    <row r="37" spans="1:13" s="10" customFormat="1" ht="22.5" hidden="1" customHeight="1">
      <c r="A37" s="711"/>
      <c r="B37" s="852"/>
      <c r="C37" s="535" t="s">
        <v>4</v>
      </c>
      <c r="D37" s="537">
        <f>'[3]912-ПП'!E86</f>
        <v>55000</v>
      </c>
      <c r="E37" s="537" t="e">
        <f>#REF!</f>
        <v>#REF!</v>
      </c>
      <c r="F37" s="537" t="e">
        <f>E37</f>
        <v>#REF!</v>
      </c>
      <c r="G37" s="205">
        <f t="shared" si="4"/>
        <v>0</v>
      </c>
      <c r="H37" s="848"/>
      <c r="I37" s="768"/>
      <c r="J37" s="667"/>
      <c r="K37" s="667"/>
      <c r="L37" s="1077"/>
      <c r="M37" s="706"/>
    </row>
    <row r="38" spans="1:13" s="10" customFormat="1" ht="22.5" hidden="1" customHeight="1">
      <c r="A38" s="711"/>
      <c r="B38" s="852"/>
      <c r="C38" s="535" t="s">
        <v>5</v>
      </c>
      <c r="D38" s="537">
        <v>0</v>
      </c>
      <c r="E38" s="537">
        <v>0</v>
      </c>
      <c r="F38" s="537">
        <v>0</v>
      </c>
      <c r="G38" s="205">
        <f t="shared" si="4"/>
        <v>0</v>
      </c>
      <c r="H38" s="848"/>
      <c r="I38" s="768"/>
      <c r="J38" s="667"/>
      <c r="K38" s="667"/>
      <c r="L38" s="1077"/>
      <c r="M38" s="706"/>
    </row>
    <row r="39" spans="1:13" s="10" customFormat="1" ht="25.5" hidden="1" customHeight="1">
      <c r="A39" s="711"/>
      <c r="B39" s="852"/>
      <c r="C39" s="535" t="s">
        <v>6</v>
      </c>
      <c r="D39" s="537">
        <v>0</v>
      </c>
      <c r="E39" s="537">
        <v>0</v>
      </c>
      <c r="F39" s="537">
        <v>0</v>
      </c>
      <c r="G39" s="205">
        <f t="shared" si="4"/>
        <v>0</v>
      </c>
      <c r="H39" s="848"/>
      <c r="I39" s="768"/>
      <c r="J39" s="667"/>
      <c r="K39" s="667"/>
      <c r="L39" s="1077"/>
      <c r="M39" s="706"/>
    </row>
    <row r="40" spans="1:13" s="10" customFormat="1" ht="21.75" hidden="1" customHeight="1">
      <c r="A40" s="712"/>
      <c r="B40" s="853"/>
      <c r="C40" s="535" t="s">
        <v>7</v>
      </c>
      <c r="D40" s="537">
        <v>0</v>
      </c>
      <c r="E40" s="537">
        <v>0</v>
      </c>
      <c r="F40" s="537">
        <v>0</v>
      </c>
      <c r="G40" s="205">
        <f t="shared" si="4"/>
        <v>0</v>
      </c>
      <c r="H40" s="849"/>
      <c r="I40" s="769"/>
      <c r="J40" s="668"/>
      <c r="K40" s="668"/>
      <c r="L40" s="1078"/>
      <c r="M40" s="707"/>
    </row>
    <row r="41" spans="1:13" s="14" customFormat="1" ht="21.75" hidden="1" customHeight="1">
      <c r="A41" s="1084" t="s">
        <v>71</v>
      </c>
      <c r="B41" s="1085" t="s">
        <v>211</v>
      </c>
      <c r="C41" s="539" t="s">
        <v>3</v>
      </c>
      <c r="D41" s="540">
        <f>SUM(D42:D45)</f>
        <v>2274.0250000000001</v>
      </c>
      <c r="E41" s="540">
        <f>SUM(E42:E45)</f>
        <v>2274.0250000000001</v>
      </c>
      <c r="F41" s="540">
        <f>SUM(F42:F45)</f>
        <v>2274.0250000000001</v>
      </c>
      <c r="G41" s="205">
        <f t="shared" si="4"/>
        <v>1</v>
      </c>
      <c r="H41" s="1086" t="s">
        <v>73</v>
      </c>
      <c r="I41" s="1087" t="s">
        <v>652</v>
      </c>
      <c r="J41" s="1082" t="s">
        <v>177</v>
      </c>
      <c r="K41" s="1088" t="s">
        <v>87</v>
      </c>
      <c r="L41" s="1076"/>
      <c r="M41" s="1043">
        <v>823</v>
      </c>
    </row>
    <row r="42" spans="1:13" s="14" customFormat="1" ht="21.75" hidden="1" customHeight="1">
      <c r="A42" s="720"/>
      <c r="B42" s="850"/>
      <c r="C42" s="541" t="s">
        <v>4</v>
      </c>
      <c r="D42" s="542">
        <f>'[3]912-ПП'!F93</f>
        <v>2274.0250000000001</v>
      </c>
      <c r="E42" s="542">
        <f>'[2]2024'!H22</f>
        <v>2274.0250000000001</v>
      </c>
      <c r="F42" s="542">
        <f>E42</f>
        <v>2274.0250000000001</v>
      </c>
      <c r="G42" s="205">
        <f t="shared" si="4"/>
        <v>1</v>
      </c>
      <c r="H42" s="780"/>
      <c r="I42" s="702"/>
      <c r="J42" s="667"/>
      <c r="K42" s="738"/>
      <c r="L42" s="1077"/>
      <c r="M42" s="706"/>
    </row>
    <row r="43" spans="1:13" s="14" customFormat="1" ht="23.25" hidden="1" customHeight="1">
      <c r="A43" s="720"/>
      <c r="B43" s="850"/>
      <c r="C43" s="541" t="s">
        <v>5</v>
      </c>
      <c r="D43" s="543">
        <v>0</v>
      </c>
      <c r="E43" s="542">
        <v>0</v>
      </c>
      <c r="F43" s="542">
        <v>0</v>
      </c>
      <c r="G43" s="205">
        <f t="shared" si="4"/>
        <v>0</v>
      </c>
      <c r="H43" s="780"/>
      <c r="I43" s="702"/>
      <c r="J43" s="667"/>
      <c r="K43" s="738"/>
      <c r="L43" s="1077"/>
      <c r="M43" s="706"/>
    </row>
    <row r="44" spans="1:13" s="14" customFormat="1" ht="22.5" hidden="1" customHeight="1">
      <c r="A44" s="720"/>
      <c r="B44" s="850"/>
      <c r="C44" s="541" t="s">
        <v>6</v>
      </c>
      <c r="D44" s="543">
        <v>0</v>
      </c>
      <c r="E44" s="542">
        <v>0</v>
      </c>
      <c r="F44" s="542">
        <v>0</v>
      </c>
      <c r="G44" s="205">
        <f t="shared" si="4"/>
        <v>0</v>
      </c>
      <c r="H44" s="780"/>
      <c r="I44" s="702"/>
      <c r="J44" s="667"/>
      <c r="K44" s="738"/>
      <c r="L44" s="1077"/>
      <c r="M44" s="706"/>
    </row>
    <row r="45" spans="1:13" s="14" customFormat="1" ht="15" hidden="1" customHeight="1">
      <c r="A45" s="721"/>
      <c r="B45" s="851"/>
      <c r="C45" s="541" t="s">
        <v>7</v>
      </c>
      <c r="D45" s="543">
        <v>0</v>
      </c>
      <c r="E45" s="542">
        <v>0</v>
      </c>
      <c r="F45" s="542">
        <v>0</v>
      </c>
      <c r="G45" s="205">
        <f t="shared" si="4"/>
        <v>0</v>
      </c>
      <c r="H45" s="781"/>
      <c r="I45" s="703"/>
      <c r="J45" s="668"/>
      <c r="K45" s="738"/>
      <c r="L45" s="1078"/>
      <c r="M45" s="707"/>
    </row>
    <row r="46" spans="1:13" s="14" customFormat="1" ht="15" hidden="1" customHeight="1">
      <c r="A46" s="1084" t="s">
        <v>72</v>
      </c>
      <c r="B46" s="1085" t="s">
        <v>168</v>
      </c>
      <c r="C46" s="539" t="s">
        <v>3</v>
      </c>
      <c r="D46" s="544">
        <f>SUM(D47:D50)</f>
        <v>160494.09357999999</v>
      </c>
      <c r="E46" s="544" t="e">
        <f>SUM(E47:E50)</f>
        <v>#REF!</v>
      </c>
      <c r="F46" s="544" t="e">
        <f>SUM(F47:F50)</f>
        <v>#REF!</v>
      </c>
      <c r="G46" s="205">
        <f t="shared" si="4"/>
        <v>0</v>
      </c>
      <c r="H46" s="1086" t="s">
        <v>74</v>
      </c>
      <c r="I46" s="1087" t="s">
        <v>220</v>
      </c>
      <c r="J46" s="1082" t="s">
        <v>178</v>
      </c>
      <c r="K46" s="1088" t="s">
        <v>65</v>
      </c>
      <c r="L46" s="1076" t="s">
        <v>1042</v>
      </c>
      <c r="M46" s="1043">
        <v>823</v>
      </c>
    </row>
    <row r="47" spans="1:13" s="14" customFormat="1" ht="15" hidden="1" customHeight="1">
      <c r="A47" s="720"/>
      <c r="B47" s="793"/>
      <c r="C47" s="541" t="s">
        <v>4</v>
      </c>
      <c r="D47" s="542">
        <f>'[3]912-ПП'!F100</f>
        <v>160494.09357999999</v>
      </c>
      <c r="E47" s="542" t="e">
        <f>#REF!</f>
        <v>#REF!</v>
      </c>
      <c r="F47" s="542" t="e">
        <f>E47</f>
        <v>#REF!</v>
      </c>
      <c r="G47" s="205">
        <f t="shared" si="4"/>
        <v>0</v>
      </c>
      <c r="H47" s="790"/>
      <c r="I47" s="759"/>
      <c r="J47" s="667"/>
      <c r="K47" s="738"/>
      <c r="L47" s="1077"/>
      <c r="M47" s="706"/>
    </row>
    <row r="48" spans="1:13" s="14" customFormat="1" ht="15" hidden="1" customHeight="1">
      <c r="A48" s="720"/>
      <c r="B48" s="793"/>
      <c r="C48" s="541" t="s">
        <v>5</v>
      </c>
      <c r="D48" s="543">
        <v>0</v>
      </c>
      <c r="E48" s="542">
        <v>0</v>
      </c>
      <c r="F48" s="542">
        <v>0</v>
      </c>
      <c r="G48" s="205">
        <f t="shared" si="4"/>
        <v>0</v>
      </c>
      <c r="H48" s="790"/>
      <c r="I48" s="759"/>
      <c r="J48" s="667"/>
      <c r="K48" s="738"/>
      <c r="L48" s="1077"/>
      <c r="M48" s="706"/>
    </row>
    <row r="49" spans="1:13" s="14" customFormat="1" ht="15" hidden="1" customHeight="1">
      <c r="A49" s="720"/>
      <c r="B49" s="793"/>
      <c r="C49" s="541" t="s">
        <v>6</v>
      </c>
      <c r="D49" s="543">
        <v>0</v>
      </c>
      <c r="E49" s="542">
        <v>0</v>
      </c>
      <c r="F49" s="542">
        <v>0</v>
      </c>
      <c r="G49" s="205">
        <f t="shared" si="4"/>
        <v>0</v>
      </c>
      <c r="H49" s="790"/>
      <c r="I49" s="759"/>
      <c r="J49" s="667"/>
      <c r="K49" s="738"/>
      <c r="L49" s="1077"/>
      <c r="M49" s="706"/>
    </row>
    <row r="50" spans="1:13" s="14" customFormat="1" ht="42" hidden="1" customHeight="1">
      <c r="A50" s="721"/>
      <c r="B50" s="794"/>
      <c r="C50" s="541" t="s">
        <v>7</v>
      </c>
      <c r="D50" s="543">
        <v>0</v>
      </c>
      <c r="E50" s="542">
        <v>0</v>
      </c>
      <c r="F50" s="542">
        <v>0</v>
      </c>
      <c r="G50" s="205">
        <f t="shared" si="4"/>
        <v>0</v>
      </c>
      <c r="H50" s="791"/>
      <c r="I50" s="760"/>
      <c r="J50" s="668"/>
      <c r="K50" s="739"/>
      <c r="L50" s="1078"/>
      <c r="M50" s="706"/>
    </row>
    <row r="51" spans="1:13" s="14" customFormat="1" ht="15" hidden="1" customHeight="1">
      <c r="A51" s="660" t="s">
        <v>109</v>
      </c>
      <c r="B51" s="1089" t="s">
        <v>107</v>
      </c>
      <c r="C51" s="539" t="s">
        <v>3</v>
      </c>
      <c r="D51" s="545">
        <f>SUM(D52:D55)</f>
        <v>20000</v>
      </c>
      <c r="E51" s="546" t="e">
        <f>SUM(E52:E55)</f>
        <v>#REF!</v>
      </c>
      <c r="F51" s="546" t="e">
        <f>SUM(F52:F55)</f>
        <v>#REF!</v>
      </c>
      <c r="G51" s="205">
        <f t="shared" si="4"/>
        <v>0</v>
      </c>
      <c r="H51" s="1092" t="s">
        <v>106</v>
      </c>
      <c r="I51" s="1087" t="s">
        <v>219</v>
      </c>
      <c r="J51" s="1082" t="s">
        <v>177</v>
      </c>
      <c r="K51" s="1088" t="s">
        <v>65</v>
      </c>
      <c r="L51" s="1041"/>
      <c r="M51" s="1043">
        <v>823</v>
      </c>
    </row>
    <row r="52" spans="1:13" s="14" customFormat="1" ht="15" hidden="1" customHeight="1">
      <c r="A52" s="661"/>
      <c r="B52" s="723"/>
      <c r="C52" s="541" t="s">
        <v>4</v>
      </c>
      <c r="D52" s="547">
        <f>'[3]912-ПП'!F107</f>
        <v>20000</v>
      </c>
      <c r="E52" s="548" t="e">
        <f>#REF!</f>
        <v>#REF!</v>
      </c>
      <c r="F52" s="548" t="e">
        <f>E52</f>
        <v>#REF!</v>
      </c>
      <c r="G52" s="205">
        <f t="shared" si="4"/>
        <v>0</v>
      </c>
      <c r="H52" s="1093"/>
      <c r="I52" s="759"/>
      <c r="J52" s="667"/>
      <c r="K52" s="738"/>
      <c r="L52" s="803"/>
      <c r="M52" s="706"/>
    </row>
    <row r="53" spans="1:13" s="14" customFormat="1" ht="15" hidden="1" customHeight="1">
      <c r="A53" s="661"/>
      <c r="B53" s="723"/>
      <c r="C53" s="541" t="s">
        <v>5</v>
      </c>
      <c r="D53" s="547">
        <v>0</v>
      </c>
      <c r="E53" s="548">
        <v>0</v>
      </c>
      <c r="F53" s="548">
        <v>0</v>
      </c>
      <c r="G53" s="205">
        <f t="shared" si="4"/>
        <v>0</v>
      </c>
      <c r="H53" s="1093"/>
      <c r="I53" s="759"/>
      <c r="J53" s="667"/>
      <c r="K53" s="738"/>
      <c r="L53" s="803"/>
      <c r="M53" s="706"/>
    </row>
    <row r="54" spans="1:13" s="14" customFormat="1" ht="15" hidden="1" customHeight="1">
      <c r="A54" s="661"/>
      <c r="B54" s="723"/>
      <c r="C54" s="541" t="s">
        <v>6</v>
      </c>
      <c r="D54" s="547">
        <v>0</v>
      </c>
      <c r="E54" s="548">
        <v>0</v>
      </c>
      <c r="F54" s="548">
        <v>0</v>
      </c>
      <c r="G54" s="205">
        <f t="shared" si="4"/>
        <v>0</v>
      </c>
      <c r="H54" s="1093"/>
      <c r="I54" s="759"/>
      <c r="J54" s="667"/>
      <c r="K54" s="738"/>
      <c r="L54" s="803"/>
      <c r="M54" s="706"/>
    </row>
    <row r="55" spans="1:13" s="14" customFormat="1" ht="45.75" hidden="1" customHeight="1">
      <c r="A55" s="662"/>
      <c r="B55" s="724"/>
      <c r="C55" s="541" t="s">
        <v>7</v>
      </c>
      <c r="D55" s="547">
        <v>0</v>
      </c>
      <c r="E55" s="548">
        <v>0</v>
      </c>
      <c r="F55" s="548">
        <v>0</v>
      </c>
      <c r="G55" s="205">
        <f t="shared" si="4"/>
        <v>0</v>
      </c>
      <c r="H55" s="1093"/>
      <c r="I55" s="760"/>
      <c r="J55" s="668"/>
      <c r="K55" s="739"/>
      <c r="L55" s="813"/>
      <c r="M55" s="706"/>
    </row>
    <row r="56" spans="1:13" s="14" customFormat="1" ht="32.25" hidden="1" customHeight="1">
      <c r="A56" s="660" t="s">
        <v>111</v>
      </c>
      <c r="B56" s="1089" t="s">
        <v>108</v>
      </c>
      <c r="C56" s="539" t="s">
        <v>3</v>
      </c>
      <c r="D56" s="543">
        <f>SUM(D57:D60)</f>
        <v>21000</v>
      </c>
      <c r="E56" s="542">
        <f>SUM(E57:E60)</f>
        <v>21000</v>
      </c>
      <c r="F56" s="542">
        <f>SUM(F57:F60)</f>
        <v>21000</v>
      </c>
      <c r="G56" s="205">
        <f t="shared" si="4"/>
        <v>1</v>
      </c>
      <c r="H56" s="1090" t="s">
        <v>167</v>
      </c>
      <c r="I56" s="666" t="s">
        <v>687</v>
      </c>
      <c r="J56" s="1082" t="s">
        <v>177</v>
      </c>
      <c r="K56" s="1088" t="s">
        <v>65</v>
      </c>
      <c r="L56" s="1042"/>
      <c r="M56" s="1091">
        <v>823</v>
      </c>
    </row>
    <row r="57" spans="1:13" s="14" customFormat="1" ht="25.5" hidden="1" customHeight="1">
      <c r="A57" s="661"/>
      <c r="B57" s="723"/>
      <c r="C57" s="541" t="s">
        <v>4</v>
      </c>
      <c r="D57" s="543">
        <f>'[3]912-ПП'!F127</f>
        <v>21000</v>
      </c>
      <c r="E57" s="542">
        <f>[2]Документ!R36</f>
        <v>21000</v>
      </c>
      <c r="F57" s="542">
        <f>E57</f>
        <v>21000</v>
      </c>
      <c r="G57" s="205">
        <f t="shared" si="4"/>
        <v>1</v>
      </c>
      <c r="H57" s="787"/>
      <c r="I57" s="667"/>
      <c r="J57" s="667"/>
      <c r="K57" s="738"/>
      <c r="L57" s="1042"/>
      <c r="M57" s="1091"/>
    </row>
    <row r="58" spans="1:13" s="14" customFormat="1" ht="15" hidden="1" customHeight="1">
      <c r="A58" s="661"/>
      <c r="B58" s="723"/>
      <c r="C58" s="541" t="s">
        <v>5</v>
      </c>
      <c r="D58" s="543">
        <v>0</v>
      </c>
      <c r="E58" s="542">
        <v>0</v>
      </c>
      <c r="F58" s="542">
        <v>0</v>
      </c>
      <c r="G58" s="205">
        <f t="shared" si="4"/>
        <v>0</v>
      </c>
      <c r="H58" s="787"/>
      <c r="I58" s="667"/>
      <c r="J58" s="667"/>
      <c r="K58" s="738"/>
      <c r="L58" s="1042"/>
      <c r="M58" s="1091"/>
    </row>
    <row r="59" spans="1:13" s="14" customFormat="1" ht="21" hidden="1" customHeight="1">
      <c r="A59" s="661"/>
      <c r="B59" s="723"/>
      <c r="C59" s="541" t="s">
        <v>6</v>
      </c>
      <c r="D59" s="543">
        <v>0</v>
      </c>
      <c r="E59" s="542">
        <v>0</v>
      </c>
      <c r="F59" s="542">
        <v>0</v>
      </c>
      <c r="G59" s="205">
        <f t="shared" si="4"/>
        <v>0</v>
      </c>
      <c r="H59" s="787"/>
      <c r="I59" s="667"/>
      <c r="J59" s="667"/>
      <c r="K59" s="738"/>
      <c r="L59" s="1042"/>
      <c r="M59" s="1091"/>
    </row>
    <row r="60" spans="1:13" s="14" customFormat="1" ht="15" hidden="1" customHeight="1">
      <c r="A60" s="662"/>
      <c r="B60" s="724"/>
      <c r="C60" s="541" t="s">
        <v>7</v>
      </c>
      <c r="D60" s="543">
        <v>0</v>
      </c>
      <c r="E60" s="542">
        <v>0</v>
      </c>
      <c r="F60" s="542">
        <v>0</v>
      </c>
      <c r="G60" s="205">
        <f t="shared" si="4"/>
        <v>0</v>
      </c>
      <c r="H60" s="788"/>
      <c r="I60" s="668"/>
      <c r="J60" s="668"/>
      <c r="K60" s="739"/>
      <c r="L60" s="1042"/>
      <c r="M60" s="1091"/>
    </row>
    <row r="61" spans="1:13" s="14" customFormat="1" ht="24.75" hidden="1" customHeight="1">
      <c r="A61" s="660" t="s">
        <v>166</v>
      </c>
      <c r="B61" s="1089" t="s">
        <v>165</v>
      </c>
      <c r="C61" s="539" t="s">
        <v>3</v>
      </c>
      <c r="D61" s="543">
        <f>SUM(D62:D65)</f>
        <v>10638.540800000001</v>
      </c>
      <c r="E61" s="542" t="e">
        <f>SUM(E62:E65)</f>
        <v>#REF!</v>
      </c>
      <c r="F61" s="542" t="e">
        <f>SUM(F62:F65)</f>
        <v>#REF!</v>
      </c>
      <c r="G61" s="205">
        <f t="shared" si="4"/>
        <v>0</v>
      </c>
      <c r="H61" s="1090" t="s">
        <v>635</v>
      </c>
      <c r="I61" s="666" t="s">
        <v>654</v>
      </c>
      <c r="J61" s="1082" t="s">
        <v>178</v>
      </c>
      <c r="K61" s="1088" t="s">
        <v>92</v>
      </c>
      <c r="L61" s="1076" t="s">
        <v>1042</v>
      </c>
      <c r="M61" s="1091">
        <v>823</v>
      </c>
    </row>
    <row r="62" spans="1:13" s="14" customFormat="1" ht="15" hidden="1" customHeight="1">
      <c r="A62" s="661"/>
      <c r="B62" s="723"/>
      <c r="C62" s="541" t="s">
        <v>4</v>
      </c>
      <c r="D62" s="543">
        <f>'[3]912-ПП'!F148</f>
        <v>9000</v>
      </c>
      <c r="E62" s="542" t="e">
        <f>#REF!</f>
        <v>#REF!</v>
      </c>
      <c r="F62" s="542" t="e">
        <f>E62</f>
        <v>#REF!</v>
      </c>
      <c r="G62" s="205">
        <f t="shared" si="4"/>
        <v>0</v>
      </c>
      <c r="H62" s="787"/>
      <c r="I62" s="667"/>
      <c r="J62" s="667"/>
      <c r="K62" s="738"/>
      <c r="L62" s="1077"/>
      <c r="M62" s="1091"/>
    </row>
    <row r="63" spans="1:13" s="14" customFormat="1" ht="15" hidden="1" customHeight="1">
      <c r="A63" s="661"/>
      <c r="B63" s="723"/>
      <c r="C63" s="541" t="s">
        <v>5</v>
      </c>
      <c r="D63" s="543">
        <v>0</v>
      </c>
      <c r="E63" s="542">
        <v>0</v>
      </c>
      <c r="F63" s="542">
        <v>0</v>
      </c>
      <c r="G63" s="205">
        <f t="shared" si="4"/>
        <v>0</v>
      </c>
      <c r="H63" s="787"/>
      <c r="I63" s="667"/>
      <c r="J63" s="667"/>
      <c r="K63" s="738"/>
      <c r="L63" s="1077"/>
      <c r="M63" s="1091"/>
    </row>
    <row r="64" spans="1:13" s="14" customFormat="1" ht="15" hidden="1" customHeight="1">
      <c r="A64" s="661"/>
      <c r="B64" s="723"/>
      <c r="C64" s="541" t="s">
        <v>6</v>
      </c>
      <c r="D64" s="543">
        <f>'[3]912-ПП'!H148</f>
        <v>1638.5408</v>
      </c>
      <c r="E64" s="542">
        <v>0</v>
      </c>
      <c r="F64" s="542">
        <v>0</v>
      </c>
      <c r="G64" s="205">
        <f t="shared" si="4"/>
        <v>0</v>
      </c>
      <c r="H64" s="787"/>
      <c r="I64" s="667"/>
      <c r="J64" s="667"/>
      <c r="K64" s="738"/>
      <c r="L64" s="1077"/>
      <c r="M64" s="1091"/>
    </row>
    <row r="65" spans="1:13" s="14" customFormat="1" ht="15" hidden="1" customHeight="1">
      <c r="A65" s="662"/>
      <c r="B65" s="724"/>
      <c r="C65" s="541" t="s">
        <v>7</v>
      </c>
      <c r="D65" s="543">
        <v>0</v>
      </c>
      <c r="E65" s="542">
        <v>0</v>
      </c>
      <c r="F65" s="542">
        <v>0</v>
      </c>
      <c r="G65" s="205">
        <f t="shared" si="4"/>
        <v>0</v>
      </c>
      <c r="H65" s="788"/>
      <c r="I65" s="668"/>
      <c r="J65" s="668"/>
      <c r="K65" s="739"/>
      <c r="L65" s="1078"/>
      <c r="M65" s="1091"/>
    </row>
    <row r="66" spans="1:13" s="14" customFormat="1" ht="15" hidden="1" customHeight="1">
      <c r="A66" s="660" t="s">
        <v>164</v>
      </c>
      <c r="B66" s="1089" t="s">
        <v>163</v>
      </c>
      <c r="C66" s="539" t="s">
        <v>3</v>
      </c>
      <c r="D66" s="543">
        <f>SUM(D67:D70)</f>
        <v>163608.42199999999</v>
      </c>
      <c r="E66" s="542" t="e">
        <f>SUM(E67:E70)</f>
        <v>#REF!</v>
      </c>
      <c r="F66" s="542" t="e">
        <f>SUM(F67:F70)</f>
        <v>#REF!</v>
      </c>
      <c r="G66" s="205">
        <f t="shared" si="4"/>
        <v>0</v>
      </c>
      <c r="H66" s="1090" t="s">
        <v>636</v>
      </c>
      <c r="I66" s="666" t="s">
        <v>655</v>
      </c>
      <c r="J66" s="1082" t="s">
        <v>178</v>
      </c>
      <c r="K66" s="1088" t="s">
        <v>92</v>
      </c>
      <c r="L66" s="1076" t="s">
        <v>1042</v>
      </c>
      <c r="M66" s="1043">
        <v>823</v>
      </c>
    </row>
    <row r="67" spans="1:13" s="14" customFormat="1" ht="15" hidden="1" customHeight="1">
      <c r="A67" s="661"/>
      <c r="B67" s="723"/>
      <c r="C67" s="541" t="s">
        <v>4</v>
      </c>
      <c r="D67" s="543">
        <f>'[3]912-ПП'!F155</f>
        <v>120000</v>
      </c>
      <c r="E67" s="542" t="e">
        <f>#REF!</f>
        <v>#REF!</v>
      </c>
      <c r="F67" s="542" t="e">
        <f>E67</f>
        <v>#REF!</v>
      </c>
      <c r="G67" s="205">
        <f t="shared" si="4"/>
        <v>0</v>
      </c>
      <c r="H67" s="787"/>
      <c r="I67" s="667"/>
      <c r="J67" s="667"/>
      <c r="K67" s="738"/>
      <c r="L67" s="1077"/>
      <c r="M67" s="706"/>
    </row>
    <row r="68" spans="1:13" s="14" customFormat="1" ht="33" hidden="1" customHeight="1">
      <c r="A68" s="661"/>
      <c r="B68" s="723"/>
      <c r="C68" s="541" t="s">
        <v>5</v>
      </c>
      <c r="D68" s="543">
        <v>0</v>
      </c>
      <c r="E68" s="542">
        <v>0</v>
      </c>
      <c r="F68" s="542">
        <v>0</v>
      </c>
      <c r="G68" s="205">
        <f t="shared" si="4"/>
        <v>0</v>
      </c>
      <c r="H68" s="787"/>
      <c r="I68" s="667"/>
      <c r="J68" s="667"/>
      <c r="K68" s="738"/>
      <c r="L68" s="1077"/>
      <c r="M68" s="706"/>
    </row>
    <row r="69" spans="1:13" s="14" customFormat="1" ht="21.75" hidden="1" customHeight="1">
      <c r="A69" s="661"/>
      <c r="B69" s="723"/>
      <c r="C69" s="541" t="s">
        <v>6</v>
      </c>
      <c r="D69" s="543">
        <f>'[3]912-ПП'!H155</f>
        <v>43608.421999999999</v>
      </c>
      <c r="E69" s="542">
        <v>0</v>
      </c>
      <c r="F69" s="542">
        <v>0</v>
      </c>
      <c r="G69" s="205">
        <f t="shared" si="4"/>
        <v>0</v>
      </c>
      <c r="H69" s="787"/>
      <c r="I69" s="667"/>
      <c r="J69" s="667"/>
      <c r="K69" s="738"/>
      <c r="L69" s="1077"/>
      <c r="M69" s="706"/>
    </row>
    <row r="70" spans="1:13" s="14" customFormat="1" ht="55.5" hidden="1" customHeight="1">
      <c r="A70" s="662"/>
      <c r="B70" s="724"/>
      <c r="C70" s="541" t="s">
        <v>7</v>
      </c>
      <c r="D70" s="543">
        <v>0</v>
      </c>
      <c r="E70" s="542">
        <v>0</v>
      </c>
      <c r="F70" s="542">
        <v>0</v>
      </c>
      <c r="G70" s="205">
        <f t="shared" si="4"/>
        <v>0</v>
      </c>
      <c r="H70" s="788"/>
      <c r="I70" s="668"/>
      <c r="J70" s="668"/>
      <c r="K70" s="739"/>
      <c r="L70" s="1078"/>
      <c r="M70" s="706"/>
    </row>
    <row r="71" spans="1:13" s="14" customFormat="1" ht="66.75" hidden="1" customHeight="1">
      <c r="A71" s="660" t="s">
        <v>162</v>
      </c>
      <c r="B71" s="1089" t="s">
        <v>161</v>
      </c>
      <c r="C71" s="539" t="s">
        <v>3</v>
      </c>
      <c r="D71" s="543">
        <f>SUM(D72:D75)</f>
        <v>10990</v>
      </c>
      <c r="E71" s="542">
        <f>SUM(E72:E75)</f>
        <v>10990</v>
      </c>
      <c r="F71" s="542">
        <f>SUM(F72:F75)</f>
        <v>10990</v>
      </c>
      <c r="G71" s="205">
        <f t="shared" si="4"/>
        <v>1</v>
      </c>
      <c r="H71" s="1090" t="s">
        <v>160</v>
      </c>
      <c r="I71" s="1097" t="s">
        <v>662</v>
      </c>
      <c r="J71" s="1082" t="s">
        <v>177</v>
      </c>
      <c r="K71" s="1088" t="s">
        <v>65</v>
      </c>
      <c r="L71" s="1076"/>
      <c r="M71" s="1043">
        <v>823</v>
      </c>
    </row>
    <row r="72" spans="1:13" s="14" customFormat="1" ht="45.75" hidden="1" customHeight="1">
      <c r="A72" s="661"/>
      <c r="B72" s="723"/>
      <c r="C72" s="541" t="s">
        <v>4</v>
      </c>
      <c r="D72" s="543">
        <f>'[3]912-ПП'!F162</f>
        <v>10990</v>
      </c>
      <c r="E72" s="542">
        <f>[2]Документ!R22</f>
        <v>10990</v>
      </c>
      <c r="F72" s="542">
        <f>E72</f>
        <v>10990</v>
      </c>
      <c r="G72" s="205">
        <f t="shared" si="4"/>
        <v>1</v>
      </c>
      <c r="H72" s="787"/>
      <c r="I72" s="757"/>
      <c r="J72" s="667"/>
      <c r="K72" s="738"/>
      <c r="L72" s="1077"/>
      <c r="M72" s="706"/>
    </row>
    <row r="73" spans="1:13" s="14" customFormat="1" ht="50.25" hidden="1" customHeight="1">
      <c r="A73" s="661"/>
      <c r="B73" s="723"/>
      <c r="C73" s="541" t="s">
        <v>5</v>
      </c>
      <c r="D73" s="543">
        <v>0</v>
      </c>
      <c r="E73" s="542">
        <v>0</v>
      </c>
      <c r="F73" s="542">
        <v>0</v>
      </c>
      <c r="G73" s="205">
        <f t="shared" si="4"/>
        <v>0</v>
      </c>
      <c r="H73" s="787"/>
      <c r="I73" s="757"/>
      <c r="J73" s="667"/>
      <c r="K73" s="738"/>
      <c r="L73" s="1077"/>
      <c r="M73" s="706"/>
    </row>
    <row r="74" spans="1:13" s="14" customFormat="1" ht="47.25" hidden="1" customHeight="1">
      <c r="A74" s="661"/>
      <c r="B74" s="723"/>
      <c r="C74" s="541" t="s">
        <v>6</v>
      </c>
      <c r="D74" s="543">
        <v>0</v>
      </c>
      <c r="E74" s="542">
        <v>0</v>
      </c>
      <c r="F74" s="542">
        <v>0</v>
      </c>
      <c r="G74" s="205">
        <f t="shared" si="4"/>
        <v>0</v>
      </c>
      <c r="H74" s="787"/>
      <c r="I74" s="757"/>
      <c r="J74" s="667"/>
      <c r="K74" s="738"/>
      <c r="L74" s="1077"/>
      <c r="M74" s="706"/>
    </row>
    <row r="75" spans="1:13" s="14" customFormat="1" ht="45.75" hidden="1" customHeight="1">
      <c r="A75" s="662"/>
      <c r="B75" s="724"/>
      <c r="C75" s="541" t="s">
        <v>7</v>
      </c>
      <c r="D75" s="543">
        <v>0</v>
      </c>
      <c r="E75" s="542">
        <v>0</v>
      </c>
      <c r="F75" s="542">
        <v>0</v>
      </c>
      <c r="G75" s="205">
        <f t="shared" si="4"/>
        <v>0</v>
      </c>
      <c r="H75" s="788"/>
      <c r="I75" s="758"/>
      <c r="J75" s="668"/>
      <c r="K75" s="739"/>
      <c r="L75" s="1078"/>
      <c r="M75" s="706"/>
    </row>
    <row r="76" spans="1:13" s="10" customFormat="1" hidden="1">
      <c r="A76" s="1094" t="s">
        <v>171</v>
      </c>
      <c r="B76" s="1095" t="s">
        <v>94</v>
      </c>
      <c r="C76" s="549" t="s">
        <v>3</v>
      </c>
      <c r="D76" s="550">
        <f>SUM(D77:D80)</f>
        <v>15999.171999999999</v>
      </c>
      <c r="E76" s="550" t="e">
        <f>SUM(E77:E80)</f>
        <v>#REF!</v>
      </c>
      <c r="F76" s="550" t="e">
        <f>SUM(F77:F80)</f>
        <v>#REF!</v>
      </c>
      <c r="G76" s="165">
        <f t="shared" si="4"/>
        <v>0</v>
      </c>
      <c r="H76" s="1096" t="s">
        <v>159</v>
      </c>
      <c r="I76" s="527" t="s">
        <v>45</v>
      </c>
      <c r="J76" s="530">
        <f>SUM(J77:J79)</f>
        <v>2</v>
      </c>
      <c r="K76" s="929" t="s">
        <v>64</v>
      </c>
      <c r="L76" s="929"/>
      <c r="M76" s="1070">
        <v>823</v>
      </c>
    </row>
    <row r="77" spans="1:13" s="10" customFormat="1" hidden="1">
      <c r="A77" s="729"/>
      <c r="B77" s="732"/>
      <c r="C77" s="549" t="s">
        <v>4</v>
      </c>
      <c r="D77" s="551">
        <f>SUM(D82,D87)</f>
        <v>15999.171999999999</v>
      </c>
      <c r="E77" s="551" t="e">
        <f>SUM(,E82,E87)</f>
        <v>#REF!</v>
      </c>
      <c r="F77" s="551" t="e">
        <f>E77</f>
        <v>#REF!</v>
      </c>
      <c r="G77" s="165">
        <f t="shared" si="4"/>
        <v>0</v>
      </c>
      <c r="H77" s="735"/>
      <c r="I77" s="527" t="s">
        <v>46</v>
      </c>
      <c r="J77" s="530">
        <f>COUNTIF($J$81:$J$90,"Да")</f>
        <v>0</v>
      </c>
      <c r="K77" s="762"/>
      <c r="L77" s="762"/>
      <c r="M77" s="764"/>
    </row>
    <row r="78" spans="1:13" s="10" customFormat="1" hidden="1">
      <c r="A78" s="729"/>
      <c r="B78" s="732"/>
      <c r="C78" s="549" t="s">
        <v>5</v>
      </c>
      <c r="D78" s="551">
        <v>0</v>
      </c>
      <c r="E78" s="551">
        <f t="shared" ref="E78:E80" si="7">SUM(,E83,E88)</f>
        <v>0</v>
      </c>
      <c r="F78" s="551">
        <f>E78</f>
        <v>0</v>
      </c>
      <c r="G78" s="165">
        <f t="shared" ref="G78:G146" si="8">IFERROR(F78/D78,0)</f>
        <v>0</v>
      </c>
      <c r="H78" s="735"/>
      <c r="I78" s="527" t="s">
        <v>47</v>
      </c>
      <c r="J78" s="530">
        <f>COUNTIF($J$81:$J$90,"Частично")</f>
        <v>2</v>
      </c>
      <c r="K78" s="762"/>
      <c r="L78" s="762"/>
      <c r="M78" s="764"/>
    </row>
    <row r="79" spans="1:13" s="10" customFormat="1" hidden="1">
      <c r="A79" s="729"/>
      <c r="B79" s="732"/>
      <c r="C79" s="549" t="s">
        <v>6</v>
      </c>
      <c r="D79" s="551">
        <v>0</v>
      </c>
      <c r="E79" s="551">
        <f t="shared" si="7"/>
        <v>0</v>
      </c>
      <c r="F79" s="551">
        <f>E79</f>
        <v>0</v>
      </c>
      <c r="G79" s="165">
        <f t="shared" si="8"/>
        <v>0</v>
      </c>
      <c r="H79" s="735"/>
      <c r="I79" s="527" t="s">
        <v>48</v>
      </c>
      <c r="J79" s="530">
        <f>COUNTIF($J$81:$J$90,"Нет")</f>
        <v>0</v>
      </c>
      <c r="K79" s="762"/>
      <c r="L79" s="762"/>
      <c r="M79" s="764"/>
    </row>
    <row r="80" spans="1:13" s="10" customFormat="1" hidden="1">
      <c r="A80" s="730"/>
      <c r="B80" s="733"/>
      <c r="C80" s="549" t="s">
        <v>7</v>
      </c>
      <c r="D80" s="551">
        <v>0</v>
      </c>
      <c r="E80" s="551">
        <f t="shared" si="7"/>
        <v>0</v>
      </c>
      <c r="F80" s="551">
        <f>E80</f>
        <v>0</v>
      </c>
      <c r="G80" s="165">
        <f t="shared" si="8"/>
        <v>0</v>
      </c>
      <c r="H80" s="736"/>
      <c r="I80" s="527" t="s">
        <v>49</v>
      </c>
      <c r="J80" s="552">
        <f>(J77+0.5*J78)/J76</f>
        <v>0.5</v>
      </c>
      <c r="K80" s="762"/>
      <c r="L80" s="762"/>
      <c r="M80" s="834"/>
    </row>
    <row r="81" spans="1:13" s="220" customFormat="1" ht="15" hidden="1" customHeight="1">
      <c r="A81" s="1084" t="s">
        <v>172</v>
      </c>
      <c r="B81" s="1098" t="s">
        <v>175</v>
      </c>
      <c r="C81" s="541" t="s">
        <v>3</v>
      </c>
      <c r="D81" s="543">
        <f>SUM(D82:D85)</f>
        <v>7999.1719999999996</v>
      </c>
      <c r="E81" s="542" t="e">
        <f>SUM(E82:E85)</f>
        <v>#REF!</v>
      </c>
      <c r="F81" s="542" t="e">
        <f>SUM(F82:F85)</f>
        <v>#REF!</v>
      </c>
      <c r="G81" s="205">
        <f t="shared" si="8"/>
        <v>0</v>
      </c>
      <c r="H81" s="1092" t="str">
        <f>'[1]Пр ГП 19-20'!$J$41</f>
        <v xml:space="preserve">Обучение плаванию ежегодно не менее 500 человек </v>
      </c>
      <c r="I81" s="1088" t="s">
        <v>656</v>
      </c>
      <c r="J81" s="1082" t="s">
        <v>178</v>
      </c>
      <c r="K81" s="1099" t="s">
        <v>65</v>
      </c>
      <c r="L81" s="1087" t="s">
        <v>637</v>
      </c>
      <c r="M81" s="1043">
        <v>823</v>
      </c>
    </row>
    <row r="82" spans="1:13" s="220" customFormat="1" ht="15" hidden="1" customHeight="1">
      <c r="A82" s="720"/>
      <c r="B82" s="1098"/>
      <c r="C82" s="541" t="s">
        <v>4</v>
      </c>
      <c r="D82" s="543">
        <f>'[3]912-ПП'!F190</f>
        <v>7999.1719999999996</v>
      </c>
      <c r="E82" s="542" t="e">
        <f>#REF!</f>
        <v>#REF!</v>
      </c>
      <c r="F82" s="542" t="e">
        <f>E82</f>
        <v>#REF!</v>
      </c>
      <c r="G82" s="205">
        <f t="shared" si="8"/>
        <v>0</v>
      </c>
      <c r="H82" s="1092"/>
      <c r="I82" s="738"/>
      <c r="J82" s="667"/>
      <c r="K82" s="1099"/>
      <c r="L82" s="702"/>
      <c r="M82" s="706"/>
    </row>
    <row r="83" spans="1:13" s="220" customFormat="1" ht="15" hidden="1" customHeight="1">
      <c r="A83" s="720"/>
      <c r="B83" s="1098"/>
      <c r="C83" s="541" t="s">
        <v>5</v>
      </c>
      <c r="D83" s="543">
        <v>0</v>
      </c>
      <c r="E83" s="542">
        <v>0</v>
      </c>
      <c r="F83" s="542">
        <v>0</v>
      </c>
      <c r="G83" s="205">
        <f t="shared" si="8"/>
        <v>0</v>
      </c>
      <c r="H83" s="1092"/>
      <c r="I83" s="738"/>
      <c r="J83" s="667"/>
      <c r="K83" s="1099"/>
      <c r="L83" s="702"/>
      <c r="M83" s="706"/>
    </row>
    <row r="84" spans="1:13" s="220" customFormat="1" ht="15" hidden="1" customHeight="1">
      <c r="A84" s="720"/>
      <c r="B84" s="1098"/>
      <c r="C84" s="541" t="s">
        <v>6</v>
      </c>
      <c r="D84" s="543">
        <v>0</v>
      </c>
      <c r="E84" s="542">
        <v>0</v>
      </c>
      <c r="F84" s="542">
        <v>0</v>
      </c>
      <c r="G84" s="205">
        <f t="shared" si="8"/>
        <v>0</v>
      </c>
      <c r="H84" s="1092"/>
      <c r="I84" s="738"/>
      <c r="J84" s="667"/>
      <c r="K84" s="1099"/>
      <c r="L84" s="702"/>
      <c r="M84" s="706"/>
    </row>
    <row r="85" spans="1:13" s="220" customFormat="1" ht="15" hidden="1" customHeight="1">
      <c r="A85" s="721"/>
      <c r="B85" s="1098"/>
      <c r="C85" s="541" t="s">
        <v>7</v>
      </c>
      <c r="D85" s="543">
        <v>0</v>
      </c>
      <c r="E85" s="542">
        <v>0</v>
      </c>
      <c r="F85" s="542">
        <v>0</v>
      </c>
      <c r="G85" s="205">
        <f t="shared" si="8"/>
        <v>0</v>
      </c>
      <c r="H85" s="1092"/>
      <c r="I85" s="739"/>
      <c r="J85" s="668"/>
      <c r="K85" s="1099"/>
      <c r="L85" s="703"/>
      <c r="M85" s="707"/>
    </row>
    <row r="86" spans="1:13" s="220" customFormat="1" ht="28.5" hidden="1" customHeight="1">
      <c r="A86" s="1084" t="s">
        <v>173</v>
      </c>
      <c r="B86" s="1085" t="s">
        <v>158</v>
      </c>
      <c r="C86" s="541" t="s">
        <v>3</v>
      </c>
      <c r="D86" s="543">
        <f>SUM(D87:D90)</f>
        <v>8000</v>
      </c>
      <c r="E86" s="542">
        <f>SUM(E87:E90)</f>
        <v>5115</v>
      </c>
      <c r="F86" s="542">
        <f>SUM(F87:F90)</f>
        <v>5115</v>
      </c>
      <c r="G86" s="205">
        <f t="shared" si="8"/>
        <v>0.63937500000000003</v>
      </c>
      <c r="H86" s="1089" t="s">
        <v>91</v>
      </c>
      <c r="I86" s="672" t="s">
        <v>657</v>
      </c>
      <c r="J86" s="1082" t="s">
        <v>178</v>
      </c>
      <c r="K86" s="1088" t="s">
        <v>65</v>
      </c>
      <c r="L86" s="1087" t="s">
        <v>637</v>
      </c>
      <c r="M86" s="1043">
        <v>823</v>
      </c>
    </row>
    <row r="87" spans="1:13" s="220" customFormat="1" ht="23.25" hidden="1" customHeight="1">
      <c r="A87" s="720"/>
      <c r="B87" s="850"/>
      <c r="C87" s="541" t="s">
        <v>4</v>
      </c>
      <c r="D87" s="543">
        <f>'[3]912-ПП'!F197</f>
        <v>8000</v>
      </c>
      <c r="E87" s="542">
        <f>[2]НП!R55</f>
        <v>5115</v>
      </c>
      <c r="F87" s="542">
        <f>E87</f>
        <v>5115</v>
      </c>
      <c r="G87" s="205">
        <f t="shared" si="8"/>
        <v>0.63937500000000003</v>
      </c>
      <c r="H87" s="723"/>
      <c r="I87" s="673"/>
      <c r="J87" s="667"/>
      <c r="K87" s="738"/>
      <c r="L87" s="702"/>
      <c r="M87" s="706"/>
    </row>
    <row r="88" spans="1:13" s="220" customFormat="1" ht="24.75" hidden="1" customHeight="1">
      <c r="A88" s="720"/>
      <c r="B88" s="850"/>
      <c r="C88" s="541" t="s">
        <v>5</v>
      </c>
      <c r="D88" s="543">
        <v>0</v>
      </c>
      <c r="E88" s="542">
        <v>0</v>
      </c>
      <c r="F88" s="542">
        <v>0</v>
      </c>
      <c r="G88" s="205">
        <f t="shared" si="8"/>
        <v>0</v>
      </c>
      <c r="H88" s="723"/>
      <c r="I88" s="673"/>
      <c r="J88" s="667"/>
      <c r="K88" s="738"/>
      <c r="L88" s="702"/>
      <c r="M88" s="706"/>
    </row>
    <row r="89" spans="1:13" s="220" customFormat="1" ht="25.5" hidden="1" customHeight="1">
      <c r="A89" s="720"/>
      <c r="B89" s="850"/>
      <c r="C89" s="541" t="s">
        <v>6</v>
      </c>
      <c r="D89" s="543">
        <v>0</v>
      </c>
      <c r="E89" s="542">
        <v>0</v>
      </c>
      <c r="F89" s="542">
        <v>0</v>
      </c>
      <c r="G89" s="205">
        <f t="shared" si="8"/>
        <v>0</v>
      </c>
      <c r="H89" s="723"/>
      <c r="I89" s="673"/>
      <c r="J89" s="667"/>
      <c r="K89" s="738"/>
      <c r="L89" s="702"/>
      <c r="M89" s="706"/>
    </row>
    <row r="90" spans="1:13" s="220" customFormat="1" ht="24" hidden="1" customHeight="1">
      <c r="A90" s="721"/>
      <c r="B90" s="851"/>
      <c r="C90" s="541" t="s">
        <v>7</v>
      </c>
      <c r="D90" s="543">
        <v>0</v>
      </c>
      <c r="E90" s="542">
        <v>0</v>
      </c>
      <c r="F90" s="542">
        <v>0</v>
      </c>
      <c r="G90" s="205">
        <f t="shared" si="8"/>
        <v>0</v>
      </c>
      <c r="H90" s="724"/>
      <c r="I90" s="674"/>
      <c r="J90" s="668"/>
      <c r="K90" s="739"/>
      <c r="L90" s="703"/>
      <c r="M90" s="707"/>
    </row>
    <row r="91" spans="1:13" s="10" customFormat="1" hidden="1">
      <c r="A91" s="1102" t="s">
        <v>12</v>
      </c>
      <c r="B91" s="1103" t="s">
        <v>112</v>
      </c>
      <c r="C91" s="553" t="s">
        <v>3</v>
      </c>
      <c r="D91" s="554">
        <f>SUM(D92:D95)</f>
        <v>1432212.3177299998</v>
      </c>
      <c r="E91" s="554" t="e">
        <f>SUM(E92:E95)</f>
        <v>#REF!</v>
      </c>
      <c r="F91" s="554" t="e">
        <f>SUM(F92:F95)</f>
        <v>#REF!</v>
      </c>
      <c r="G91" s="555">
        <f t="shared" si="8"/>
        <v>0</v>
      </c>
      <c r="H91" s="1103"/>
      <c r="I91" s="527" t="s">
        <v>45</v>
      </c>
      <c r="J91" s="528">
        <f>SUM(J96,J151,J166)</f>
        <v>13</v>
      </c>
      <c r="K91" s="1104" t="s">
        <v>66</v>
      </c>
      <c r="L91" s="1104"/>
      <c r="M91" s="1075">
        <v>823</v>
      </c>
    </row>
    <row r="92" spans="1:13" s="10" customFormat="1" hidden="1">
      <c r="A92" s="714"/>
      <c r="B92" s="717"/>
      <c r="C92" s="553" t="s">
        <v>4</v>
      </c>
      <c r="D92" s="554">
        <f t="shared" ref="D92:F94" si="9">SUM(D97,D152,D167)</f>
        <v>1403293.4690899998</v>
      </c>
      <c r="E92" s="554" t="e">
        <f t="shared" si="9"/>
        <v>#REF!</v>
      </c>
      <c r="F92" s="554" t="e">
        <f t="shared" si="9"/>
        <v>#REF!</v>
      </c>
      <c r="G92" s="555">
        <f t="shared" si="8"/>
        <v>0</v>
      </c>
      <c r="H92" s="717"/>
      <c r="I92" s="527" t="s">
        <v>46</v>
      </c>
      <c r="J92" s="530">
        <f>SUM(J97,J152,J167)</f>
        <v>4</v>
      </c>
      <c r="K92" s="752"/>
      <c r="L92" s="752"/>
      <c r="M92" s="823"/>
    </row>
    <row r="93" spans="1:13" s="10" customFormat="1" hidden="1">
      <c r="A93" s="714"/>
      <c r="B93" s="717"/>
      <c r="C93" s="553" t="s">
        <v>5</v>
      </c>
      <c r="D93" s="554">
        <f t="shared" si="9"/>
        <v>8062.6586400000006</v>
      </c>
      <c r="E93" s="554" t="e">
        <f t="shared" si="9"/>
        <v>#REF!</v>
      </c>
      <c r="F93" s="554" t="e">
        <f t="shared" si="9"/>
        <v>#REF!</v>
      </c>
      <c r="G93" s="555">
        <f t="shared" si="8"/>
        <v>0</v>
      </c>
      <c r="H93" s="717"/>
      <c r="I93" s="527" t="s">
        <v>47</v>
      </c>
      <c r="J93" s="530">
        <f>SUM(J98,J153,J168)</f>
        <v>6</v>
      </c>
      <c r="K93" s="752"/>
      <c r="L93" s="752"/>
      <c r="M93" s="823"/>
    </row>
    <row r="94" spans="1:13" s="10" customFormat="1" hidden="1">
      <c r="A94" s="714"/>
      <c r="B94" s="717"/>
      <c r="C94" s="553" t="s">
        <v>6</v>
      </c>
      <c r="D94" s="554">
        <f t="shared" si="9"/>
        <v>20856.189999999999</v>
      </c>
      <c r="E94" s="554">
        <f t="shared" si="9"/>
        <v>0</v>
      </c>
      <c r="F94" s="554">
        <f t="shared" si="9"/>
        <v>0</v>
      </c>
      <c r="G94" s="555">
        <f t="shared" si="8"/>
        <v>0</v>
      </c>
      <c r="H94" s="717"/>
      <c r="I94" s="527" t="s">
        <v>48</v>
      </c>
      <c r="J94" s="530">
        <f>SUM(J99,J154,J169)</f>
        <v>3</v>
      </c>
      <c r="K94" s="752"/>
      <c r="L94" s="752"/>
      <c r="M94" s="823"/>
    </row>
    <row r="95" spans="1:13" s="10" customFormat="1" hidden="1">
      <c r="A95" s="715"/>
      <c r="B95" s="718"/>
      <c r="C95" s="553" t="s">
        <v>7</v>
      </c>
      <c r="D95" s="554">
        <v>0</v>
      </c>
      <c r="E95" s="554">
        <f>SUM(E100,E155,E170)</f>
        <v>0</v>
      </c>
      <c r="F95" s="554">
        <f>SUM(F100,F155,F170)</f>
        <v>0</v>
      </c>
      <c r="G95" s="555">
        <f t="shared" si="8"/>
        <v>0</v>
      </c>
      <c r="H95" s="718"/>
      <c r="I95" s="527" t="s">
        <v>49</v>
      </c>
      <c r="J95" s="552">
        <f>(J92+0.5*J93)/J91</f>
        <v>0.53846153846153844</v>
      </c>
      <c r="K95" s="752"/>
      <c r="L95" s="752"/>
      <c r="M95" s="892"/>
    </row>
    <row r="96" spans="1:13" s="10" customFormat="1" hidden="1">
      <c r="A96" s="1100" t="s">
        <v>88</v>
      </c>
      <c r="B96" s="1095" t="s">
        <v>113</v>
      </c>
      <c r="C96" s="549" t="s">
        <v>3</v>
      </c>
      <c r="D96" s="550">
        <f>SUM(D97:D100)</f>
        <v>1353774.6222199998</v>
      </c>
      <c r="E96" s="550" t="e">
        <f>SUM(E97:E100)</f>
        <v>#REF!</v>
      </c>
      <c r="F96" s="550" t="e">
        <f>SUM(F97:F100)</f>
        <v>#REF!</v>
      </c>
      <c r="G96" s="165">
        <f t="shared" si="8"/>
        <v>0</v>
      </c>
      <c r="H96" s="1101" t="s">
        <v>157</v>
      </c>
      <c r="I96" s="527" t="s">
        <v>45</v>
      </c>
      <c r="J96" s="530">
        <f>SUM(J97:J99)</f>
        <v>9</v>
      </c>
      <c r="K96" s="678" t="s">
        <v>103</v>
      </c>
      <c r="L96" s="929"/>
      <c r="M96" s="1070">
        <v>823</v>
      </c>
    </row>
    <row r="97" spans="1:13" s="10" customFormat="1" hidden="1">
      <c r="A97" s="693"/>
      <c r="B97" s="749"/>
      <c r="C97" s="549" t="s">
        <v>4</v>
      </c>
      <c r="D97" s="550">
        <f>SUM(D102,D107,D112,D117,D122,D132,D137,D142,D147)</f>
        <v>1353774.6222199998</v>
      </c>
      <c r="E97" s="550" t="e">
        <f>SUM(E102,E107,E112,E117,E122,E132,E137,E142,E147)</f>
        <v>#REF!</v>
      </c>
      <c r="F97" s="550" t="e">
        <f>SUM(F102,F107,F112,F117,F122,F132,F137,F142,F147)</f>
        <v>#REF!</v>
      </c>
      <c r="G97" s="165">
        <f t="shared" si="8"/>
        <v>0</v>
      </c>
      <c r="H97" s="749"/>
      <c r="I97" s="527" t="s">
        <v>46</v>
      </c>
      <c r="J97" s="530">
        <f>COUNTIF($J$101:$J$150,"Да")</f>
        <v>3</v>
      </c>
      <c r="K97" s="678"/>
      <c r="L97" s="762"/>
      <c r="M97" s="764"/>
    </row>
    <row r="98" spans="1:13" s="10" customFormat="1" hidden="1">
      <c r="A98" s="693"/>
      <c r="B98" s="749"/>
      <c r="C98" s="549" t="s">
        <v>5</v>
      </c>
      <c r="D98" s="550">
        <v>0</v>
      </c>
      <c r="E98" s="550">
        <v>0</v>
      </c>
      <c r="F98" s="550">
        <v>0</v>
      </c>
      <c r="G98" s="165">
        <f t="shared" si="8"/>
        <v>0</v>
      </c>
      <c r="H98" s="749"/>
      <c r="I98" s="527" t="s">
        <v>47</v>
      </c>
      <c r="J98" s="530">
        <f>COUNTIF($J$101:$J$150,"Частично")</f>
        <v>3</v>
      </c>
      <c r="K98" s="678"/>
      <c r="L98" s="762"/>
      <c r="M98" s="764"/>
    </row>
    <row r="99" spans="1:13" s="10" customFormat="1" hidden="1">
      <c r="A99" s="693"/>
      <c r="B99" s="749"/>
      <c r="C99" s="549" t="s">
        <v>6</v>
      </c>
      <c r="D99" s="550">
        <v>0</v>
      </c>
      <c r="E99" s="550">
        <v>0</v>
      </c>
      <c r="F99" s="550">
        <v>0</v>
      </c>
      <c r="G99" s="165">
        <f t="shared" si="8"/>
        <v>0</v>
      </c>
      <c r="H99" s="749"/>
      <c r="I99" s="527" t="s">
        <v>48</v>
      </c>
      <c r="J99" s="530">
        <f>COUNTIF($J$101:$J$150,"Нет")</f>
        <v>3</v>
      </c>
      <c r="K99" s="678"/>
      <c r="L99" s="762"/>
      <c r="M99" s="764"/>
    </row>
    <row r="100" spans="1:13" s="10" customFormat="1" hidden="1">
      <c r="A100" s="694"/>
      <c r="B100" s="750"/>
      <c r="C100" s="549" t="s">
        <v>7</v>
      </c>
      <c r="D100" s="550">
        <v>0</v>
      </c>
      <c r="E100" s="550">
        <v>0</v>
      </c>
      <c r="F100" s="550">
        <v>0</v>
      </c>
      <c r="G100" s="165">
        <f t="shared" si="8"/>
        <v>0</v>
      </c>
      <c r="H100" s="750"/>
      <c r="I100" s="527" t="s">
        <v>49</v>
      </c>
      <c r="J100" s="552">
        <f>(J97+0.5*J98)/J96</f>
        <v>0.5</v>
      </c>
      <c r="K100" s="678"/>
      <c r="L100" s="771"/>
      <c r="M100" s="834"/>
    </row>
    <row r="101" spans="1:13" ht="15" hidden="1" customHeight="1">
      <c r="A101" s="1044" t="s">
        <v>13</v>
      </c>
      <c r="B101" s="1105" t="s">
        <v>14</v>
      </c>
      <c r="C101" s="535" t="s">
        <v>3</v>
      </c>
      <c r="D101" s="545">
        <f>SUM(D102:D105)</f>
        <v>2106.6577000000002</v>
      </c>
      <c r="E101" s="540" t="e">
        <f>SUM(E102:E105)</f>
        <v>#REF!</v>
      </c>
      <c r="F101" s="540" t="e">
        <f>SUM(F102:F105)</f>
        <v>#REF!</v>
      </c>
      <c r="G101" s="205">
        <f t="shared" si="8"/>
        <v>0</v>
      </c>
      <c r="H101" s="1106" t="s">
        <v>156</v>
      </c>
      <c r="I101" s="1107" t="s">
        <v>649</v>
      </c>
      <c r="J101" s="1082" t="s">
        <v>664</v>
      </c>
      <c r="K101" s="1108" t="s">
        <v>89</v>
      </c>
      <c r="L101" s="1087" t="s">
        <v>1042</v>
      </c>
      <c r="M101" s="1043">
        <v>823</v>
      </c>
    </row>
    <row r="102" spans="1:13" ht="15" hidden="1" customHeight="1">
      <c r="A102" s="711"/>
      <c r="B102" s="741"/>
      <c r="C102" s="535" t="s">
        <v>4</v>
      </c>
      <c r="D102" s="556">
        <f>'[3]912-ПП'!F225</f>
        <v>2106.6577000000002</v>
      </c>
      <c r="E102" s="543" t="e">
        <f>#REF!</f>
        <v>#REF!</v>
      </c>
      <c r="F102" s="543" t="e">
        <f>E102</f>
        <v>#REF!</v>
      </c>
      <c r="G102" s="205">
        <f t="shared" si="8"/>
        <v>0</v>
      </c>
      <c r="H102" s="744"/>
      <c r="I102" s="747"/>
      <c r="J102" s="667"/>
      <c r="K102" s="916"/>
      <c r="L102" s="702"/>
      <c r="M102" s="706"/>
    </row>
    <row r="103" spans="1:13" ht="15" hidden="1" customHeight="1">
      <c r="A103" s="711"/>
      <c r="B103" s="741"/>
      <c r="C103" s="535" t="s">
        <v>5</v>
      </c>
      <c r="D103" s="543">
        <v>0</v>
      </c>
      <c r="E103" s="543">
        <v>0</v>
      </c>
      <c r="F103" s="543">
        <v>0</v>
      </c>
      <c r="G103" s="205">
        <f t="shared" si="8"/>
        <v>0</v>
      </c>
      <c r="H103" s="744"/>
      <c r="I103" s="747"/>
      <c r="J103" s="667"/>
      <c r="K103" s="916"/>
      <c r="L103" s="702"/>
      <c r="M103" s="706"/>
    </row>
    <row r="104" spans="1:13" ht="15" hidden="1" customHeight="1">
      <c r="A104" s="711"/>
      <c r="B104" s="741"/>
      <c r="C104" s="535" t="s">
        <v>6</v>
      </c>
      <c r="D104" s="543">
        <v>0</v>
      </c>
      <c r="E104" s="543">
        <v>0</v>
      </c>
      <c r="F104" s="543">
        <v>0</v>
      </c>
      <c r="G104" s="205">
        <f t="shared" si="8"/>
        <v>0</v>
      </c>
      <c r="H104" s="744"/>
      <c r="I104" s="747"/>
      <c r="J104" s="667"/>
      <c r="K104" s="916"/>
      <c r="L104" s="702"/>
      <c r="M104" s="706"/>
    </row>
    <row r="105" spans="1:13" ht="15" hidden="1" customHeight="1">
      <c r="A105" s="712"/>
      <c r="B105" s="742"/>
      <c r="C105" s="535" t="s">
        <v>7</v>
      </c>
      <c r="D105" s="543">
        <v>0</v>
      </c>
      <c r="E105" s="543">
        <v>0</v>
      </c>
      <c r="F105" s="543">
        <v>0</v>
      </c>
      <c r="G105" s="205">
        <f t="shared" si="8"/>
        <v>0</v>
      </c>
      <c r="H105" s="745"/>
      <c r="I105" s="748"/>
      <c r="J105" s="668"/>
      <c r="K105" s="917"/>
      <c r="L105" s="703"/>
      <c r="M105" s="707"/>
    </row>
    <row r="106" spans="1:13" ht="22.5" hidden="1" customHeight="1">
      <c r="A106" s="1044" t="s">
        <v>40</v>
      </c>
      <c r="B106" s="1105" t="s">
        <v>114</v>
      </c>
      <c r="C106" s="535" t="s">
        <v>3</v>
      </c>
      <c r="D106" s="540">
        <f>SUM(D107:D110)</f>
        <v>73599.972000000009</v>
      </c>
      <c r="E106" s="540" t="e">
        <f>SUM(E107:E110)</f>
        <v>#REF!</v>
      </c>
      <c r="F106" s="540" t="e">
        <f>SUM(F107:F110)</f>
        <v>#REF!</v>
      </c>
      <c r="G106" s="205">
        <f t="shared" si="8"/>
        <v>0</v>
      </c>
      <c r="H106" s="1106" t="s">
        <v>90</v>
      </c>
      <c r="I106" s="1088" t="s">
        <v>685</v>
      </c>
      <c r="J106" s="1082" t="s">
        <v>177</v>
      </c>
      <c r="K106" s="672" t="s">
        <v>65</v>
      </c>
      <c r="L106" s="1087"/>
      <c r="M106" s="1043">
        <v>823</v>
      </c>
    </row>
    <row r="107" spans="1:13" ht="23.25" hidden="1" customHeight="1">
      <c r="A107" s="711"/>
      <c r="B107" s="741"/>
      <c r="C107" s="535" t="s">
        <v>4</v>
      </c>
      <c r="D107" s="556">
        <f>'[3]912-ПП'!F232</f>
        <v>73599.972000000009</v>
      </c>
      <c r="E107" s="556" t="e">
        <f>#REF!</f>
        <v>#REF!</v>
      </c>
      <c r="F107" s="556" t="e">
        <f>E107</f>
        <v>#REF!</v>
      </c>
      <c r="G107" s="205">
        <f t="shared" si="8"/>
        <v>0</v>
      </c>
      <c r="H107" s="744"/>
      <c r="I107" s="782"/>
      <c r="J107" s="667"/>
      <c r="K107" s="673"/>
      <c r="L107" s="702"/>
      <c r="M107" s="706"/>
    </row>
    <row r="108" spans="1:13" ht="24" hidden="1" customHeight="1">
      <c r="A108" s="711"/>
      <c r="B108" s="741"/>
      <c r="C108" s="535" t="s">
        <v>5</v>
      </c>
      <c r="D108" s="543">
        <v>0</v>
      </c>
      <c r="E108" s="543">
        <v>0</v>
      </c>
      <c r="F108" s="543">
        <v>0</v>
      </c>
      <c r="G108" s="205">
        <f t="shared" si="8"/>
        <v>0</v>
      </c>
      <c r="H108" s="744"/>
      <c r="I108" s="782"/>
      <c r="J108" s="667"/>
      <c r="K108" s="673"/>
      <c r="L108" s="702"/>
      <c r="M108" s="706"/>
    </row>
    <row r="109" spans="1:13" ht="24" hidden="1" customHeight="1">
      <c r="A109" s="711"/>
      <c r="B109" s="741"/>
      <c r="C109" s="535" t="s">
        <v>6</v>
      </c>
      <c r="D109" s="543">
        <v>0</v>
      </c>
      <c r="E109" s="543">
        <v>0</v>
      </c>
      <c r="F109" s="543">
        <v>0</v>
      </c>
      <c r="G109" s="205">
        <f t="shared" si="8"/>
        <v>0</v>
      </c>
      <c r="H109" s="744"/>
      <c r="I109" s="782"/>
      <c r="J109" s="667"/>
      <c r="K109" s="673"/>
      <c r="L109" s="702"/>
      <c r="M109" s="706"/>
    </row>
    <row r="110" spans="1:13" ht="25.5" hidden="1" customHeight="1">
      <c r="A110" s="712"/>
      <c r="B110" s="742"/>
      <c r="C110" s="535" t="s">
        <v>7</v>
      </c>
      <c r="D110" s="543">
        <v>0</v>
      </c>
      <c r="E110" s="543">
        <v>0</v>
      </c>
      <c r="F110" s="543">
        <v>0</v>
      </c>
      <c r="G110" s="205">
        <f t="shared" si="8"/>
        <v>0</v>
      </c>
      <c r="H110" s="745"/>
      <c r="I110" s="783"/>
      <c r="J110" s="668"/>
      <c r="K110" s="673"/>
      <c r="L110" s="703"/>
      <c r="M110" s="707"/>
    </row>
    <row r="111" spans="1:13" ht="15" hidden="1" customHeight="1">
      <c r="A111" s="1044" t="s">
        <v>41</v>
      </c>
      <c r="B111" s="1105" t="s">
        <v>36</v>
      </c>
      <c r="C111" s="535" t="s">
        <v>3</v>
      </c>
      <c r="D111" s="540">
        <f>SUM(D112:D115)</f>
        <v>44.82</v>
      </c>
      <c r="E111" s="540" t="e">
        <f>SUM(E112:E115)</f>
        <v>#REF!</v>
      </c>
      <c r="F111" s="540" t="e">
        <f>SUM(F112:F115)</f>
        <v>#REF!</v>
      </c>
      <c r="G111" s="205">
        <f t="shared" si="8"/>
        <v>0</v>
      </c>
      <c r="H111" s="1106" t="s">
        <v>75</v>
      </c>
      <c r="I111" s="672" t="s">
        <v>659</v>
      </c>
      <c r="J111" s="1082" t="s">
        <v>178</v>
      </c>
      <c r="K111" s="1109" t="s">
        <v>207</v>
      </c>
      <c r="L111" s="1087" t="s">
        <v>1042</v>
      </c>
      <c r="M111" s="1043">
        <v>823</v>
      </c>
    </row>
    <row r="112" spans="1:13" ht="15" hidden="1" customHeight="1">
      <c r="A112" s="711"/>
      <c r="B112" s="741"/>
      <c r="C112" s="535" t="s">
        <v>4</v>
      </c>
      <c r="D112" s="556">
        <f>'[3]912-ПП'!F239</f>
        <v>44.82</v>
      </c>
      <c r="E112" s="543" t="e">
        <f>#REF!</f>
        <v>#REF!</v>
      </c>
      <c r="F112" s="543" t="e">
        <f>E112</f>
        <v>#REF!</v>
      </c>
      <c r="G112" s="205">
        <f t="shared" si="8"/>
        <v>0</v>
      </c>
      <c r="H112" s="744"/>
      <c r="I112" s="673"/>
      <c r="J112" s="667"/>
      <c r="K112" s="1109"/>
      <c r="L112" s="702"/>
      <c r="M112" s="706"/>
    </row>
    <row r="113" spans="1:13" ht="15" hidden="1" customHeight="1">
      <c r="A113" s="711"/>
      <c r="B113" s="741"/>
      <c r="C113" s="535" t="s">
        <v>5</v>
      </c>
      <c r="D113" s="543">
        <v>0</v>
      </c>
      <c r="E113" s="543">
        <v>0</v>
      </c>
      <c r="F113" s="543">
        <v>0</v>
      </c>
      <c r="G113" s="205">
        <f t="shared" si="8"/>
        <v>0</v>
      </c>
      <c r="H113" s="744"/>
      <c r="I113" s="673"/>
      <c r="J113" s="667"/>
      <c r="K113" s="1109"/>
      <c r="L113" s="702"/>
      <c r="M113" s="706"/>
    </row>
    <row r="114" spans="1:13" ht="15" hidden="1" customHeight="1">
      <c r="A114" s="711"/>
      <c r="B114" s="741"/>
      <c r="C114" s="535" t="s">
        <v>6</v>
      </c>
      <c r="D114" s="543">
        <v>0</v>
      </c>
      <c r="E114" s="543">
        <v>0</v>
      </c>
      <c r="F114" s="543">
        <v>0</v>
      </c>
      <c r="G114" s="205">
        <f t="shared" si="8"/>
        <v>0</v>
      </c>
      <c r="H114" s="744"/>
      <c r="I114" s="673"/>
      <c r="J114" s="667"/>
      <c r="K114" s="1109"/>
      <c r="L114" s="702"/>
      <c r="M114" s="706"/>
    </row>
    <row r="115" spans="1:13" ht="27.75" hidden="1" customHeight="1">
      <c r="A115" s="712"/>
      <c r="B115" s="742"/>
      <c r="C115" s="535" t="s">
        <v>7</v>
      </c>
      <c r="D115" s="543">
        <v>0</v>
      </c>
      <c r="E115" s="543">
        <v>0</v>
      </c>
      <c r="F115" s="543">
        <v>0</v>
      </c>
      <c r="G115" s="205">
        <f t="shared" si="8"/>
        <v>0</v>
      </c>
      <c r="H115" s="745"/>
      <c r="I115" s="674"/>
      <c r="J115" s="668"/>
      <c r="K115" s="1109"/>
      <c r="L115" s="703"/>
      <c r="M115" s="707"/>
    </row>
    <row r="116" spans="1:13" ht="15" hidden="1" customHeight="1">
      <c r="A116" s="1044" t="s">
        <v>42</v>
      </c>
      <c r="B116" s="1105" t="s">
        <v>9</v>
      </c>
      <c r="C116" s="535" t="s">
        <v>3</v>
      </c>
      <c r="D116" s="540">
        <f>SUM(D117:D120)</f>
        <v>1148547.0990199998</v>
      </c>
      <c r="E116" s="543" t="e">
        <f>SUM(E117:E120)</f>
        <v>#REF!</v>
      </c>
      <c r="F116" s="543" t="e">
        <f>SUM(F117:F120)</f>
        <v>#REF!</v>
      </c>
      <c r="G116" s="205">
        <f t="shared" si="8"/>
        <v>0</v>
      </c>
      <c r="H116" s="1106" t="s">
        <v>76</v>
      </c>
      <c r="I116" s="1087" t="s">
        <v>212</v>
      </c>
      <c r="J116" s="1082" t="s">
        <v>178</v>
      </c>
      <c r="K116" s="672" t="s">
        <v>208</v>
      </c>
      <c r="L116" s="1087" t="s">
        <v>1042</v>
      </c>
      <c r="M116" s="1043">
        <v>823</v>
      </c>
    </row>
    <row r="117" spans="1:13" ht="15" hidden="1" customHeight="1">
      <c r="A117" s="711"/>
      <c r="B117" s="741"/>
      <c r="C117" s="535" t="s">
        <v>4</v>
      </c>
      <c r="D117" s="556">
        <f>'[3]912-ПП'!F246</f>
        <v>1148547.0990199998</v>
      </c>
      <c r="E117" s="543" t="e">
        <f>#REF!</f>
        <v>#REF!</v>
      </c>
      <c r="F117" s="543" t="e">
        <f>E117</f>
        <v>#REF!</v>
      </c>
      <c r="G117" s="205">
        <f t="shared" si="8"/>
        <v>0</v>
      </c>
      <c r="H117" s="744"/>
      <c r="I117" s="702"/>
      <c r="J117" s="667"/>
      <c r="K117" s="673"/>
      <c r="L117" s="702"/>
      <c r="M117" s="706"/>
    </row>
    <row r="118" spans="1:13" ht="15" hidden="1" customHeight="1">
      <c r="A118" s="711"/>
      <c r="B118" s="741"/>
      <c r="C118" s="535" t="s">
        <v>5</v>
      </c>
      <c r="D118" s="543">
        <v>0</v>
      </c>
      <c r="E118" s="543">
        <v>0</v>
      </c>
      <c r="F118" s="543">
        <v>0</v>
      </c>
      <c r="G118" s="205">
        <f t="shared" si="8"/>
        <v>0</v>
      </c>
      <c r="H118" s="744"/>
      <c r="I118" s="702"/>
      <c r="J118" s="667"/>
      <c r="K118" s="673"/>
      <c r="L118" s="702"/>
      <c r="M118" s="706"/>
    </row>
    <row r="119" spans="1:13" ht="15" hidden="1" customHeight="1">
      <c r="A119" s="711"/>
      <c r="B119" s="741"/>
      <c r="C119" s="535" t="s">
        <v>6</v>
      </c>
      <c r="D119" s="543">
        <v>0</v>
      </c>
      <c r="E119" s="543">
        <v>0</v>
      </c>
      <c r="F119" s="543">
        <v>0</v>
      </c>
      <c r="G119" s="205">
        <f t="shared" si="8"/>
        <v>0</v>
      </c>
      <c r="H119" s="744"/>
      <c r="I119" s="702"/>
      <c r="J119" s="667"/>
      <c r="K119" s="673"/>
      <c r="L119" s="702"/>
      <c r="M119" s="706"/>
    </row>
    <row r="120" spans="1:13" ht="25.5" hidden="1" customHeight="1">
      <c r="A120" s="712"/>
      <c r="B120" s="742"/>
      <c r="C120" s="535" t="s">
        <v>7</v>
      </c>
      <c r="D120" s="543">
        <v>0</v>
      </c>
      <c r="E120" s="543">
        <v>0</v>
      </c>
      <c r="F120" s="543">
        <v>0</v>
      </c>
      <c r="G120" s="205">
        <f t="shared" si="8"/>
        <v>0</v>
      </c>
      <c r="H120" s="745"/>
      <c r="I120" s="703"/>
      <c r="J120" s="668"/>
      <c r="K120" s="673"/>
      <c r="L120" s="703"/>
      <c r="M120" s="707"/>
    </row>
    <row r="121" spans="1:13" ht="15" hidden="1" customHeight="1">
      <c r="A121" s="1044" t="s">
        <v>43</v>
      </c>
      <c r="B121" s="1105" t="s">
        <v>213</v>
      </c>
      <c r="C121" s="535" t="s">
        <v>3</v>
      </c>
      <c r="D121" s="540">
        <f>SUM(D122:D125)</f>
        <v>5704.7280000000001</v>
      </c>
      <c r="E121" s="540" t="e">
        <f>SUM(E122:E125)</f>
        <v>#REF!</v>
      </c>
      <c r="F121" s="540" t="e">
        <f>SUM(F122:F125)</f>
        <v>#REF!</v>
      </c>
      <c r="G121" s="205">
        <f t="shared" si="8"/>
        <v>0</v>
      </c>
      <c r="H121" s="1083" t="s">
        <v>214</v>
      </c>
      <c r="I121" s="1087" t="s">
        <v>215</v>
      </c>
      <c r="J121" s="1082" t="s">
        <v>178</v>
      </c>
      <c r="K121" s="672" t="s">
        <v>208</v>
      </c>
      <c r="L121" s="1087" t="s">
        <v>1042</v>
      </c>
      <c r="M121" s="1043">
        <v>823</v>
      </c>
    </row>
    <row r="122" spans="1:13" ht="15" hidden="1" customHeight="1">
      <c r="A122" s="711"/>
      <c r="B122" s="741"/>
      <c r="C122" s="535" t="s">
        <v>4</v>
      </c>
      <c r="D122" s="556">
        <f>'[3]912-ПП'!F253</f>
        <v>5704.7280000000001</v>
      </c>
      <c r="E122" s="543" t="e">
        <f>#REF!</f>
        <v>#REF!</v>
      </c>
      <c r="F122" s="543" t="e">
        <f>E122</f>
        <v>#REF!</v>
      </c>
      <c r="G122" s="205">
        <f t="shared" si="8"/>
        <v>0</v>
      </c>
      <c r="H122" s="773"/>
      <c r="I122" s="702"/>
      <c r="J122" s="667"/>
      <c r="K122" s="673"/>
      <c r="L122" s="702"/>
      <c r="M122" s="706"/>
    </row>
    <row r="123" spans="1:13" ht="15" hidden="1" customHeight="1">
      <c r="A123" s="711"/>
      <c r="B123" s="741"/>
      <c r="C123" s="535" t="s">
        <v>5</v>
      </c>
      <c r="D123" s="543">
        <v>0</v>
      </c>
      <c r="E123" s="543">
        <v>0</v>
      </c>
      <c r="F123" s="543">
        <v>0</v>
      </c>
      <c r="G123" s="205">
        <f t="shared" si="8"/>
        <v>0</v>
      </c>
      <c r="H123" s="773"/>
      <c r="I123" s="702"/>
      <c r="J123" s="667"/>
      <c r="K123" s="673"/>
      <c r="L123" s="702"/>
      <c r="M123" s="706"/>
    </row>
    <row r="124" spans="1:13" ht="15" hidden="1" customHeight="1">
      <c r="A124" s="711"/>
      <c r="B124" s="741"/>
      <c r="C124" s="535" t="s">
        <v>6</v>
      </c>
      <c r="D124" s="543">
        <v>0</v>
      </c>
      <c r="E124" s="543">
        <v>0</v>
      </c>
      <c r="F124" s="543">
        <v>0</v>
      </c>
      <c r="G124" s="205">
        <f t="shared" si="8"/>
        <v>0</v>
      </c>
      <c r="H124" s="773"/>
      <c r="I124" s="702"/>
      <c r="J124" s="667"/>
      <c r="K124" s="673"/>
      <c r="L124" s="702"/>
      <c r="M124" s="706"/>
    </row>
    <row r="125" spans="1:13" ht="20.25" hidden="1" customHeight="1">
      <c r="A125" s="712"/>
      <c r="B125" s="742"/>
      <c r="C125" s="535" t="s">
        <v>7</v>
      </c>
      <c r="D125" s="543">
        <v>0</v>
      </c>
      <c r="E125" s="543">
        <v>0</v>
      </c>
      <c r="F125" s="543">
        <v>0</v>
      </c>
      <c r="G125" s="205">
        <f t="shared" si="8"/>
        <v>0</v>
      </c>
      <c r="H125" s="774"/>
      <c r="I125" s="703"/>
      <c r="J125" s="668"/>
      <c r="K125" s="673"/>
      <c r="L125" s="703"/>
      <c r="M125" s="707"/>
    </row>
    <row r="126" spans="1:13" ht="20.25" hidden="1" customHeight="1">
      <c r="A126" s="1044" t="s">
        <v>704</v>
      </c>
      <c r="B126" s="1105" t="s">
        <v>330</v>
      </c>
      <c r="C126" s="535" t="s">
        <v>3</v>
      </c>
      <c r="D126" s="543">
        <f>SUM(D127:D130)</f>
        <v>118.58799999999999</v>
      </c>
      <c r="E126" s="543">
        <f>SUM(E127:E130)</f>
        <v>0</v>
      </c>
      <c r="F126" s="543">
        <f>SUM(F127:F130)</f>
        <v>0</v>
      </c>
      <c r="G126" s="205">
        <f t="shared" si="8"/>
        <v>0</v>
      </c>
      <c r="H126" s="1045" t="s">
        <v>331</v>
      </c>
      <c r="I126" s="672"/>
      <c r="J126" s="666"/>
      <c r="K126" s="1109" t="s">
        <v>332</v>
      </c>
      <c r="L126" s="489"/>
      <c r="M126" s="1043">
        <v>823</v>
      </c>
    </row>
    <row r="127" spans="1:13" ht="20.25" hidden="1" customHeight="1">
      <c r="A127" s="711"/>
      <c r="B127" s="741"/>
      <c r="C127" s="535" t="s">
        <v>4</v>
      </c>
      <c r="D127" s="543">
        <f>'[3]912-ПП'!F274</f>
        <v>118.58799999999999</v>
      </c>
      <c r="E127" s="543"/>
      <c r="F127" s="543"/>
      <c r="G127" s="205">
        <f t="shared" si="8"/>
        <v>0</v>
      </c>
      <c r="H127" s="817"/>
      <c r="I127" s="673"/>
      <c r="J127" s="667"/>
      <c r="K127" s="1109"/>
      <c r="L127" s="489"/>
      <c r="M127" s="706"/>
    </row>
    <row r="128" spans="1:13" ht="20.25" hidden="1" customHeight="1">
      <c r="A128" s="711"/>
      <c r="B128" s="741"/>
      <c r="C128" s="535" t="s">
        <v>5</v>
      </c>
      <c r="D128" s="543"/>
      <c r="E128" s="543"/>
      <c r="F128" s="543"/>
      <c r="G128" s="205">
        <f t="shared" si="8"/>
        <v>0</v>
      </c>
      <c r="H128" s="817"/>
      <c r="I128" s="673"/>
      <c r="J128" s="667"/>
      <c r="K128" s="1109"/>
      <c r="L128" s="489"/>
      <c r="M128" s="706"/>
    </row>
    <row r="129" spans="1:13" ht="20.25" hidden="1" customHeight="1">
      <c r="A129" s="711"/>
      <c r="B129" s="741"/>
      <c r="C129" s="535" t="s">
        <v>6</v>
      </c>
      <c r="D129" s="543"/>
      <c r="E129" s="543"/>
      <c r="F129" s="543"/>
      <c r="G129" s="205">
        <f t="shared" si="8"/>
        <v>0</v>
      </c>
      <c r="H129" s="817"/>
      <c r="I129" s="673"/>
      <c r="J129" s="667"/>
      <c r="K129" s="1109"/>
      <c r="L129" s="489"/>
      <c r="M129" s="706"/>
    </row>
    <row r="130" spans="1:13" ht="20.25" hidden="1" customHeight="1">
      <c r="A130" s="712"/>
      <c r="B130" s="742"/>
      <c r="C130" s="535" t="s">
        <v>7</v>
      </c>
      <c r="D130" s="543"/>
      <c r="E130" s="543"/>
      <c r="F130" s="543"/>
      <c r="G130" s="205">
        <f t="shared" si="8"/>
        <v>0</v>
      </c>
      <c r="H130" s="876"/>
      <c r="I130" s="674"/>
      <c r="J130" s="668"/>
      <c r="K130" s="1109"/>
      <c r="L130" s="489"/>
      <c r="M130" s="707"/>
    </row>
    <row r="131" spans="1:13" ht="15" hidden="1" customHeight="1">
      <c r="A131" s="1111" t="s">
        <v>115</v>
      </c>
      <c r="B131" s="1110" t="s">
        <v>116</v>
      </c>
      <c r="C131" s="557" t="s">
        <v>3</v>
      </c>
      <c r="D131" s="558">
        <f>SUM(D132:D135)</f>
        <v>7144.6274999999996</v>
      </c>
      <c r="E131" s="559" t="e">
        <f>SUM(E132:E135)</f>
        <v>#REF!</v>
      </c>
      <c r="F131" s="559" t="e">
        <f>SUM(F132:F135)</f>
        <v>#REF!</v>
      </c>
      <c r="G131" s="205">
        <f t="shared" si="8"/>
        <v>0</v>
      </c>
      <c r="H131" s="1110" t="s">
        <v>155</v>
      </c>
      <c r="I131" s="1041" t="s">
        <v>688</v>
      </c>
      <c r="J131" s="1112" t="s">
        <v>177</v>
      </c>
      <c r="K131" s="1115" t="s">
        <v>10</v>
      </c>
      <c r="L131" s="1076"/>
      <c r="M131" s="1043">
        <v>823</v>
      </c>
    </row>
    <row r="132" spans="1:13" ht="15" hidden="1" customHeight="1">
      <c r="A132" s="1111"/>
      <c r="B132" s="858"/>
      <c r="C132" s="557" t="s">
        <v>4</v>
      </c>
      <c r="D132" s="558">
        <f>'[3]912-ПП'!F295</f>
        <v>7144.6274999999996</v>
      </c>
      <c r="E132" s="559" t="e">
        <f>#REF!</f>
        <v>#REF!</v>
      </c>
      <c r="F132" s="559" t="e">
        <f>E132</f>
        <v>#REF!</v>
      </c>
      <c r="G132" s="205">
        <f t="shared" si="8"/>
        <v>0</v>
      </c>
      <c r="H132" s="858"/>
      <c r="I132" s="754"/>
      <c r="J132" s="1113"/>
      <c r="K132" s="754"/>
      <c r="L132" s="1077"/>
      <c r="M132" s="706"/>
    </row>
    <row r="133" spans="1:13" ht="15" hidden="1" customHeight="1">
      <c r="A133" s="1111"/>
      <c r="B133" s="858"/>
      <c r="C133" s="557" t="s">
        <v>5</v>
      </c>
      <c r="D133" s="558">
        <v>0</v>
      </c>
      <c r="E133" s="559">
        <v>0</v>
      </c>
      <c r="F133" s="559">
        <v>0</v>
      </c>
      <c r="G133" s="205">
        <f t="shared" si="8"/>
        <v>0</v>
      </c>
      <c r="H133" s="858"/>
      <c r="I133" s="754"/>
      <c r="J133" s="1113"/>
      <c r="K133" s="754"/>
      <c r="L133" s="1077"/>
      <c r="M133" s="706"/>
    </row>
    <row r="134" spans="1:13" ht="15" hidden="1" customHeight="1">
      <c r="A134" s="1111"/>
      <c r="B134" s="858"/>
      <c r="C134" s="557" t="s">
        <v>6</v>
      </c>
      <c r="D134" s="558">
        <v>0</v>
      </c>
      <c r="E134" s="559">
        <v>0</v>
      </c>
      <c r="F134" s="559">
        <v>0</v>
      </c>
      <c r="G134" s="205">
        <f t="shared" si="8"/>
        <v>0</v>
      </c>
      <c r="H134" s="858"/>
      <c r="I134" s="754"/>
      <c r="J134" s="1113"/>
      <c r="K134" s="754"/>
      <c r="L134" s="1077"/>
      <c r="M134" s="706"/>
    </row>
    <row r="135" spans="1:13" ht="15" hidden="1" customHeight="1">
      <c r="A135" s="1111"/>
      <c r="B135" s="859"/>
      <c r="C135" s="557" t="s">
        <v>7</v>
      </c>
      <c r="D135" s="558">
        <v>0</v>
      </c>
      <c r="E135" s="559">
        <v>0</v>
      </c>
      <c r="F135" s="559">
        <v>0</v>
      </c>
      <c r="G135" s="205">
        <f t="shared" si="8"/>
        <v>0</v>
      </c>
      <c r="H135" s="859"/>
      <c r="I135" s="755"/>
      <c r="J135" s="1114"/>
      <c r="K135" s="755"/>
      <c r="L135" s="1078"/>
      <c r="M135" s="707"/>
    </row>
    <row r="136" spans="1:13" ht="15" hidden="1">
      <c r="A136" s="1110" t="s">
        <v>117</v>
      </c>
      <c r="B136" s="1110" t="s">
        <v>118</v>
      </c>
      <c r="C136" s="557" t="s">
        <v>3</v>
      </c>
      <c r="D136" s="558">
        <f>SUM(D137:D140)</f>
        <v>35831</v>
      </c>
      <c r="E136" s="560" t="e">
        <f>SUM(E137:E140)</f>
        <v>#REF!</v>
      </c>
      <c r="F136" s="560" t="e">
        <f>SUM(F137:F140)</f>
        <v>#REF!</v>
      </c>
      <c r="G136" s="205">
        <f t="shared" si="8"/>
        <v>0</v>
      </c>
      <c r="H136" s="1083" t="s">
        <v>118</v>
      </c>
      <c r="I136" s="672" t="s">
        <v>661</v>
      </c>
      <c r="J136" s="669" t="s">
        <v>177</v>
      </c>
      <c r="K136" s="1108" t="s">
        <v>140</v>
      </c>
      <c r="L136" s="672"/>
      <c r="M136" s="1043">
        <v>823</v>
      </c>
    </row>
    <row r="137" spans="1:13" ht="15" hidden="1">
      <c r="A137" s="858"/>
      <c r="B137" s="858"/>
      <c r="C137" s="557" t="s">
        <v>4</v>
      </c>
      <c r="D137" s="558">
        <f>'[3]912-ПП'!F323</f>
        <v>35831</v>
      </c>
      <c r="E137" s="560" t="e">
        <f>#REF!</f>
        <v>#REF!</v>
      </c>
      <c r="F137" s="560" t="e">
        <f>E137</f>
        <v>#REF!</v>
      </c>
      <c r="G137" s="205">
        <f t="shared" si="8"/>
        <v>0</v>
      </c>
      <c r="H137" s="852"/>
      <c r="I137" s="667"/>
      <c r="J137" s="667"/>
      <c r="K137" s="667"/>
      <c r="L137" s="667"/>
      <c r="M137" s="706"/>
    </row>
    <row r="138" spans="1:13" ht="15" hidden="1">
      <c r="A138" s="858"/>
      <c r="B138" s="858"/>
      <c r="C138" s="557" t="s">
        <v>5</v>
      </c>
      <c r="D138" s="558">
        <v>0</v>
      </c>
      <c r="E138" s="560">
        <v>0</v>
      </c>
      <c r="F138" s="560">
        <v>0</v>
      </c>
      <c r="G138" s="205">
        <f t="shared" si="8"/>
        <v>0</v>
      </c>
      <c r="H138" s="852"/>
      <c r="I138" s="667"/>
      <c r="J138" s="667"/>
      <c r="K138" s="667"/>
      <c r="L138" s="667"/>
      <c r="M138" s="706"/>
    </row>
    <row r="139" spans="1:13" ht="15" hidden="1">
      <c r="A139" s="858"/>
      <c r="B139" s="858"/>
      <c r="C139" s="557" t="s">
        <v>6</v>
      </c>
      <c r="D139" s="558">
        <v>0</v>
      </c>
      <c r="E139" s="560">
        <v>0</v>
      </c>
      <c r="F139" s="560">
        <v>0</v>
      </c>
      <c r="G139" s="205">
        <f t="shared" si="8"/>
        <v>0</v>
      </c>
      <c r="H139" s="852"/>
      <c r="I139" s="667"/>
      <c r="J139" s="667"/>
      <c r="K139" s="667"/>
      <c r="L139" s="667"/>
      <c r="M139" s="706"/>
    </row>
    <row r="140" spans="1:13" ht="15" hidden="1">
      <c r="A140" s="859"/>
      <c r="B140" s="859"/>
      <c r="C140" s="557" t="s">
        <v>7</v>
      </c>
      <c r="D140" s="558">
        <v>0</v>
      </c>
      <c r="E140" s="560">
        <v>0</v>
      </c>
      <c r="F140" s="560">
        <v>0</v>
      </c>
      <c r="G140" s="205">
        <f t="shared" si="8"/>
        <v>0</v>
      </c>
      <c r="H140" s="853"/>
      <c r="I140" s="668"/>
      <c r="J140" s="668"/>
      <c r="K140" s="668"/>
      <c r="L140" s="668"/>
      <c r="M140" s="707"/>
    </row>
    <row r="141" spans="1:13" ht="15" hidden="1" customHeight="1">
      <c r="A141" s="1110" t="s">
        <v>152</v>
      </c>
      <c r="B141" s="1110" t="s">
        <v>151</v>
      </c>
      <c r="C141" s="557" t="s">
        <v>3</v>
      </c>
      <c r="D141" s="558">
        <f>SUM(D142:D145)</f>
        <v>795.71800000000007</v>
      </c>
      <c r="E141" s="559" t="e">
        <f>SUM(E142:E145)</f>
        <v>#REF!</v>
      </c>
      <c r="F141" s="559" t="e">
        <f>SUM(F142:F145)</f>
        <v>#REF!</v>
      </c>
      <c r="G141" s="205">
        <f t="shared" si="8"/>
        <v>0</v>
      </c>
      <c r="H141" s="1083" t="s">
        <v>150</v>
      </c>
      <c r="I141" s="672" t="s">
        <v>665</v>
      </c>
      <c r="J141" s="1082" t="s">
        <v>664</v>
      </c>
      <c r="K141" s="1108" t="s">
        <v>10</v>
      </c>
      <c r="L141" s="1087" t="s">
        <v>1043</v>
      </c>
      <c r="M141" s="1043">
        <v>823</v>
      </c>
    </row>
    <row r="142" spans="1:13" ht="15" hidden="1" customHeight="1">
      <c r="A142" s="858"/>
      <c r="B142" s="858"/>
      <c r="C142" s="557" t="s">
        <v>4</v>
      </c>
      <c r="D142" s="558">
        <f>'[3]912-ПП'!F365</f>
        <v>795.71800000000007</v>
      </c>
      <c r="E142" s="559" t="e">
        <f>#REF!</f>
        <v>#REF!</v>
      </c>
      <c r="F142" s="559" t="e">
        <f>E142</f>
        <v>#REF!</v>
      </c>
      <c r="G142" s="205">
        <f t="shared" si="8"/>
        <v>0</v>
      </c>
      <c r="H142" s="852"/>
      <c r="I142" s="667"/>
      <c r="J142" s="667"/>
      <c r="K142" s="667"/>
      <c r="L142" s="702"/>
      <c r="M142" s="706"/>
    </row>
    <row r="143" spans="1:13" ht="15" hidden="1" customHeight="1">
      <c r="A143" s="858"/>
      <c r="B143" s="858"/>
      <c r="C143" s="557" t="s">
        <v>5</v>
      </c>
      <c r="D143" s="558">
        <v>0</v>
      </c>
      <c r="E143" s="559">
        <v>0</v>
      </c>
      <c r="F143" s="559">
        <v>0</v>
      </c>
      <c r="G143" s="205">
        <f t="shared" si="8"/>
        <v>0</v>
      </c>
      <c r="H143" s="852"/>
      <c r="I143" s="667"/>
      <c r="J143" s="667"/>
      <c r="K143" s="667"/>
      <c r="L143" s="702"/>
      <c r="M143" s="706"/>
    </row>
    <row r="144" spans="1:13" ht="15" hidden="1" customHeight="1">
      <c r="A144" s="858"/>
      <c r="B144" s="858"/>
      <c r="C144" s="557" t="s">
        <v>6</v>
      </c>
      <c r="D144" s="558">
        <v>0</v>
      </c>
      <c r="E144" s="559">
        <v>0</v>
      </c>
      <c r="F144" s="559">
        <v>0</v>
      </c>
      <c r="G144" s="205">
        <f t="shared" si="8"/>
        <v>0</v>
      </c>
      <c r="H144" s="852"/>
      <c r="I144" s="667"/>
      <c r="J144" s="667"/>
      <c r="K144" s="667"/>
      <c r="L144" s="702"/>
      <c r="M144" s="706"/>
    </row>
    <row r="145" spans="1:13" ht="15" hidden="1" customHeight="1">
      <c r="A145" s="859"/>
      <c r="B145" s="859"/>
      <c r="C145" s="557" t="s">
        <v>7</v>
      </c>
      <c r="D145" s="558">
        <v>0</v>
      </c>
      <c r="E145" s="559">
        <v>0</v>
      </c>
      <c r="F145" s="559">
        <v>0</v>
      </c>
      <c r="G145" s="205">
        <f t="shared" si="8"/>
        <v>0</v>
      </c>
      <c r="H145" s="853"/>
      <c r="I145" s="668"/>
      <c r="J145" s="668"/>
      <c r="K145" s="668"/>
      <c r="L145" s="703"/>
      <c r="M145" s="707"/>
    </row>
    <row r="146" spans="1:13" ht="22.5" hidden="1" customHeight="1">
      <c r="A146" s="1110" t="s">
        <v>369</v>
      </c>
      <c r="B146" s="1119" t="s">
        <v>370</v>
      </c>
      <c r="C146" s="557" t="s">
        <v>3</v>
      </c>
      <c r="D146" s="558">
        <f>SUM(D147:D150)</f>
        <v>80000</v>
      </c>
      <c r="E146" s="559" t="e">
        <f>SUM(E147:E150)</f>
        <v>#REF!</v>
      </c>
      <c r="F146" s="559" t="e">
        <f>SUM(F147:F150)</f>
        <v>#REF!</v>
      </c>
      <c r="G146" s="205">
        <f t="shared" si="8"/>
        <v>0</v>
      </c>
      <c r="H146" s="1083" t="s">
        <v>372</v>
      </c>
      <c r="I146" s="672" t="s">
        <v>660</v>
      </c>
      <c r="J146" s="669" t="s">
        <v>206</v>
      </c>
      <c r="K146" s="1108" t="s">
        <v>149</v>
      </c>
      <c r="L146" s="1087" t="s">
        <v>1042</v>
      </c>
      <c r="M146" s="1043">
        <v>823</v>
      </c>
    </row>
    <row r="147" spans="1:13" ht="23.25" hidden="1" customHeight="1">
      <c r="A147" s="858"/>
      <c r="B147" s="855"/>
      <c r="C147" s="557" t="s">
        <v>4</v>
      </c>
      <c r="D147" s="558">
        <f>'[3]912-ПП'!F372</f>
        <v>80000</v>
      </c>
      <c r="E147" s="559" t="e">
        <f>#REF!</f>
        <v>#REF!</v>
      </c>
      <c r="F147" s="559" t="e">
        <f>E147</f>
        <v>#REF!</v>
      </c>
      <c r="G147" s="205">
        <f t="shared" ref="G147:G222" si="10">IFERROR(F147/D147,0)</f>
        <v>0</v>
      </c>
      <c r="H147" s="852"/>
      <c r="I147" s="667"/>
      <c r="J147" s="670"/>
      <c r="K147" s="667"/>
      <c r="L147" s="702"/>
      <c r="M147" s="706"/>
    </row>
    <row r="148" spans="1:13" ht="21" hidden="1" customHeight="1">
      <c r="A148" s="858"/>
      <c r="B148" s="855"/>
      <c r="C148" s="557" t="s">
        <v>5</v>
      </c>
      <c r="D148" s="558">
        <v>0</v>
      </c>
      <c r="E148" s="559">
        <v>0</v>
      </c>
      <c r="F148" s="559">
        <v>0</v>
      </c>
      <c r="G148" s="205">
        <f t="shared" si="10"/>
        <v>0</v>
      </c>
      <c r="H148" s="852"/>
      <c r="I148" s="667"/>
      <c r="J148" s="670"/>
      <c r="K148" s="667"/>
      <c r="L148" s="702"/>
      <c r="M148" s="706"/>
    </row>
    <row r="149" spans="1:13" ht="22.5" hidden="1" customHeight="1">
      <c r="A149" s="858"/>
      <c r="B149" s="855"/>
      <c r="C149" s="557" t="s">
        <v>6</v>
      </c>
      <c r="D149" s="558">
        <v>0</v>
      </c>
      <c r="E149" s="559">
        <v>0</v>
      </c>
      <c r="F149" s="559">
        <v>0</v>
      </c>
      <c r="G149" s="205">
        <f t="shared" si="10"/>
        <v>0</v>
      </c>
      <c r="H149" s="852"/>
      <c r="I149" s="667"/>
      <c r="J149" s="670"/>
      <c r="K149" s="667"/>
      <c r="L149" s="702"/>
      <c r="M149" s="706"/>
    </row>
    <row r="150" spans="1:13" ht="23.25" hidden="1" customHeight="1">
      <c r="A150" s="859"/>
      <c r="B150" s="856"/>
      <c r="C150" s="557" t="s">
        <v>7</v>
      </c>
      <c r="D150" s="558">
        <v>0</v>
      </c>
      <c r="E150" s="559">
        <v>0</v>
      </c>
      <c r="F150" s="559">
        <v>0</v>
      </c>
      <c r="G150" s="205">
        <f t="shared" si="10"/>
        <v>0</v>
      </c>
      <c r="H150" s="853"/>
      <c r="I150" s="668"/>
      <c r="J150" s="671"/>
      <c r="K150" s="668"/>
      <c r="L150" s="703"/>
      <c r="M150" s="707"/>
    </row>
    <row r="151" spans="1:13" s="10" customFormat="1" ht="25.5" hidden="1" customHeight="1">
      <c r="A151" s="1067" t="s">
        <v>38</v>
      </c>
      <c r="B151" s="1116" t="s">
        <v>119</v>
      </c>
      <c r="C151" s="549" t="s">
        <v>3</v>
      </c>
      <c r="D151" s="561">
        <f>SUM(D152:D155)</f>
        <v>68656.19</v>
      </c>
      <c r="E151" s="562" t="e">
        <f>SUM(E152:E155)</f>
        <v>#REF!</v>
      </c>
      <c r="F151" s="562" t="e">
        <f>SUM(F152:F155)</f>
        <v>#REF!</v>
      </c>
      <c r="G151" s="165">
        <f t="shared" si="10"/>
        <v>0</v>
      </c>
      <c r="H151" s="1117" t="s">
        <v>148</v>
      </c>
      <c r="I151" s="527" t="s">
        <v>45</v>
      </c>
      <c r="J151" s="530">
        <v>2</v>
      </c>
      <c r="K151" s="678" t="s">
        <v>67</v>
      </c>
      <c r="L151" s="1118"/>
      <c r="M151" s="1070">
        <v>823</v>
      </c>
    </row>
    <row r="152" spans="1:13" s="10" customFormat="1" ht="24.75" hidden="1" customHeight="1">
      <c r="A152" s="842"/>
      <c r="B152" s="864"/>
      <c r="C152" s="549" t="s">
        <v>4</v>
      </c>
      <c r="D152" s="551">
        <f t="shared" ref="D152:E154" si="11">SUM(D157,D162)</f>
        <v>47800</v>
      </c>
      <c r="E152" s="551" t="e">
        <f t="shared" si="11"/>
        <v>#REF!</v>
      </c>
      <c r="F152" s="551" t="e">
        <f>E152</f>
        <v>#REF!</v>
      </c>
      <c r="G152" s="165">
        <f t="shared" si="10"/>
        <v>0</v>
      </c>
      <c r="H152" s="861"/>
      <c r="I152" s="527" t="s">
        <v>46</v>
      </c>
      <c r="J152" s="530">
        <v>0</v>
      </c>
      <c r="K152" s="678"/>
      <c r="L152" s="1118"/>
      <c r="M152" s="764"/>
    </row>
    <row r="153" spans="1:13" s="10" customFormat="1" ht="22.5" hidden="1" customHeight="1">
      <c r="A153" s="842"/>
      <c r="B153" s="864"/>
      <c r="C153" s="549" t="s">
        <v>5</v>
      </c>
      <c r="D153" s="551">
        <f t="shared" si="11"/>
        <v>0</v>
      </c>
      <c r="E153" s="551">
        <f t="shared" si="11"/>
        <v>0</v>
      </c>
      <c r="F153" s="551">
        <f>E153</f>
        <v>0</v>
      </c>
      <c r="G153" s="165">
        <f t="shared" si="10"/>
        <v>0</v>
      </c>
      <c r="H153" s="861"/>
      <c r="I153" s="527" t="s">
        <v>47</v>
      </c>
      <c r="J153" s="530">
        <v>2</v>
      </c>
      <c r="K153" s="678"/>
      <c r="L153" s="1118"/>
      <c r="M153" s="764"/>
    </row>
    <row r="154" spans="1:13" s="10" customFormat="1" ht="23.25" hidden="1" customHeight="1">
      <c r="A154" s="842"/>
      <c r="B154" s="864"/>
      <c r="C154" s="549" t="s">
        <v>6</v>
      </c>
      <c r="D154" s="551">
        <f t="shared" si="11"/>
        <v>20856.189999999999</v>
      </c>
      <c r="E154" s="551">
        <f t="shared" si="11"/>
        <v>0</v>
      </c>
      <c r="F154" s="551">
        <f>E154</f>
        <v>0</v>
      </c>
      <c r="G154" s="165">
        <f t="shared" si="10"/>
        <v>0</v>
      </c>
      <c r="H154" s="861"/>
      <c r="I154" s="527" t="s">
        <v>48</v>
      </c>
      <c r="J154" s="530">
        <v>0</v>
      </c>
      <c r="K154" s="678"/>
      <c r="L154" s="1118"/>
      <c r="M154" s="764"/>
    </row>
    <row r="155" spans="1:13" s="10" customFormat="1" ht="22.5" hidden="1" customHeight="1">
      <c r="A155" s="843"/>
      <c r="B155" s="865"/>
      <c r="C155" s="549" t="s">
        <v>7</v>
      </c>
      <c r="D155" s="551">
        <v>0</v>
      </c>
      <c r="E155" s="551">
        <v>0</v>
      </c>
      <c r="F155" s="551">
        <v>0</v>
      </c>
      <c r="G155" s="165">
        <f t="shared" si="10"/>
        <v>0</v>
      </c>
      <c r="H155" s="862"/>
      <c r="I155" s="527" t="s">
        <v>49</v>
      </c>
      <c r="J155" s="552">
        <f>(J152+0.5*J153)/J151</f>
        <v>0.5</v>
      </c>
      <c r="K155" s="678"/>
      <c r="L155" s="1118"/>
      <c r="M155" s="834"/>
    </row>
    <row r="156" spans="1:13" ht="15" hidden="1" customHeight="1">
      <c r="A156" s="1044" t="s">
        <v>15</v>
      </c>
      <c r="B156" s="1079" t="s">
        <v>120</v>
      </c>
      <c r="C156" s="535" t="s">
        <v>3</v>
      </c>
      <c r="D156" s="545">
        <f>SUM(D157:D160)</f>
        <v>10666.666669999999</v>
      </c>
      <c r="E156" s="540" t="e">
        <f>SUM(E157:E160)</f>
        <v>#REF!</v>
      </c>
      <c r="F156" s="540" t="e">
        <f>SUM(F157:F160)</f>
        <v>#REF!</v>
      </c>
      <c r="G156" s="205">
        <f t="shared" si="10"/>
        <v>0</v>
      </c>
      <c r="H156" s="1083" t="s">
        <v>77</v>
      </c>
      <c r="I156" s="1087" t="s">
        <v>684</v>
      </c>
      <c r="J156" s="1082" t="s">
        <v>178</v>
      </c>
      <c r="K156" s="666" t="s">
        <v>92</v>
      </c>
      <c r="L156" s="1076" t="s">
        <v>1042</v>
      </c>
      <c r="M156" s="1043">
        <v>823</v>
      </c>
    </row>
    <row r="157" spans="1:13" ht="15" hidden="1" customHeight="1">
      <c r="A157" s="711"/>
      <c r="B157" s="866"/>
      <c r="C157" s="535" t="s">
        <v>4</v>
      </c>
      <c r="D157" s="542">
        <f>'[3]912-ПП'!F386</f>
        <v>6400</v>
      </c>
      <c r="E157" s="542" t="e">
        <f>#REF!</f>
        <v>#REF!</v>
      </c>
      <c r="F157" s="542" t="e">
        <f>E157</f>
        <v>#REF!</v>
      </c>
      <c r="G157" s="205">
        <f t="shared" si="10"/>
        <v>0</v>
      </c>
      <c r="H157" s="773"/>
      <c r="I157" s="702"/>
      <c r="J157" s="667"/>
      <c r="K157" s="667"/>
      <c r="L157" s="1077"/>
      <c r="M157" s="706"/>
    </row>
    <row r="158" spans="1:13" ht="19.5" hidden="1" customHeight="1">
      <c r="A158" s="711"/>
      <c r="B158" s="866"/>
      <c r="C158" s="535" t="s">
        <v>5</v>
      </c>
      <c r="D158" s="543">
        <v>0</v>
      </c>
      <c r="E158" s="542">
        <v>0</v>
      </c>
      <c r="F158" s="542">
        <v>0</v>
      </c>
      <c r="G158" s="205">
        <f t="shared" si="10"/>
        <v>0</v>
      </c>
      <c r="H158" s="773"/>
      <c r="I158" s="702"/>
      <c r="J158" s="667"/>
      <c r="K158" s="667"/>
      <c r="L158" s="1077"/>
      <c r="M158" s="706"/>
    </row>
    <row r="159" spans="1:13" ht="21.75" hidden="1" customHeight="1">
      <c r="A159" s="711"/>
      <c r="B159" s="866"/>
      <c r="C159" s="535" t="s">
        <v>6</v>
      </c>
      <c r="D159" s="543">
        <f>'[3]912-ПП'!H386</f>
        <v>4266.6666699999996</v>
      </c>
      <c r="E159" s="542">
        <v>0</v>
      </c>
      <c r="F159" s="542">
        <v>0</v>
      </c>
      <c r="G159" s="205">
        <f t="shared" si="10"/>
        <v>0</v>
      </c>
      <c r="H159" s="773"/>
      <c r="I159" s="702"/>
      <c r="J159" s="667"/>
      <c r="K159" s="667"/>
      <c r="L159" s="1077"/>
      <c r="M159" s="706"/>
    </row>
    <row r="160" spans="1:13" ht="22.5" hidden="1" customHeight="1">
      <c r="A160" s="712"/>
      <c r="B160" s="867"/>
      <c r="C160" s="535" t="s">
        <v>7</v>
      </c>
      <c r="D160" s="543">
        <v>0</v>
      </c>
      <c r="E160" s="542">
        <v>0</v>
      </c>
      <c r="F160" s="542">
        <v>0</v>
      </c>
      <c r="G160" s="205">
        <f t="shared" si="10"/>
        <v>0</v>
      </c>
      <c r="H160" s="774"/>
      <c r="I160" s="703"/>
      <c r="J160" s="668"/>
      <c r="K160" s="668"/>
      <c r="L160" s="1078"/>
      <c r="M160" s="707"/>
    </row>
    <row r="161" spans="1:13" ht="21.75" hidden="1" customHeight="1">
      <c r="A161" s="1084" t="s">
        <v>16</v>
      </c>
      <c r="B161" s="1085" t="s">
        <v>78</v>
      </c>
      <c r="C161" s="541" t="s">
        <v>3</v>
      </c>
      <c r="D161" s="540">
        <f>SUM(D162:D165)</f>
        <v>57989.523329999996</v>
      </c>
      <c r="E161" s="540" t="e">
        <f>SUM(E162:E165)</f>
        <v>#REF!</v>
      </c>
      <c r="F161" s="540" t="e">
        <f>SUM(F162:F165)</f>
        <v>#REF!</v>
      </c>
      <c r="G161" s="205">
        <f t="shared" si="10"/>
        <v>0</v>
      </c>
      <c r="H161" s="1083" t="s">
        <v>79</v>
      </c>
      <c r="I161" s="1087" t="s">
        <v>95</v>
      </c>
      <c r="J161" s="1082" t="s">
        <v>178</v>
      </c>
      <c r="K161" s="672" t="s">
        <v>65</v>
      </c>
      <c r="L161" s="1076" t="s">
        <v>674</v>
      </c>
      <c r="M161" s="1043">
        <v>823</v>
      </c>
    </row>
    <row r="162" spans="1:13" ht="23.25" hidden="1" customHeight="1">
      <c r="A162" s="720"/>
      <c r="B162" s="850"/>
      <c r="C162" s="541" t="s">
        <v>4</v>
      </c>
      <c r="D162" s="556">
        <f>'[3]912-ПП'!F393</f>
        <v>41400</v>
      </c>
      <c r="E162" s="542" t="e">
        <f>#REF!</f>
        <v>#REF!</v>
      </c>
      <c r="F162" s="542" t="e">
        <f>E162</f>
        <v>#REF!</v>
      </c>
      <c r="G162" s="205">
        <f t="shared" si="10"/>
        <v>0</v>
      </c>
      <c r="H162" s="773"/>
      <c r="I162" s="702" t="s">
        <v>46</v>
      </c>
      <c r="J162" s="667"/>
      <c r="K162" s="673"/>
      <c r="L162" s="1077"/>
      <c r="M162" s="706"/>
    </row>
    <row r="163" spans="1:13" ht="24" hidden="1" customHeight="1">
      <c r="A163" s="720"/>
      <c r="B163" s="850"/>
      <c r="C163" s="541" t="s">
        <v>5</v>
      </c>
      <c r="D163" s="547">
        <v>0</v>
      </c>
      <c r="E163" s="542">
        <v>0</v>
      </c>
      <c r="F163" s="542">
        <v>0</v>
      </c>
      <c r="G163" s="205">
        <f t="shared" si="10"/>
        <v>0</v>
      </c>
      <c r="H163" s="773"/>
      <c r="I163" s="702" t="s">
        <v>47</v>
      </c>
      <c r="J163" s="667"/>
      <c r="K163" s="673"/>
      <c r="L163" s="1077"/>
      <c r="M163" s="706"/>
    </row>
    <row r="164" spans="1:13" ht="24" hidden="1" customHeight="1">
      <c r="A164" s="720"/>
      <c r="B164" s="850"/>
      <c r="C164" s="541" t="s">
        <v>6</v>
      </c>
      <c r="D164" s="547">
        <f>'[3]912-ПП'!H393</f>
        <v>16589.52333</v>
      </c>
      <c r="E164" s="542">
        <v>0</v>
      </c>
      <c r="F164" s="542">
        <v>0</v>
      </c>
      <c r="G164" s="205">
        <f t="shared" si="10"/>
        <v>0</v>
      </c>
      <c r="H164" s="773"/>
      <c r="I164" s="702" t="s">
        <v>48</v>
      </c>
      <c r="J164" s="667"/>
      <c r="K164" s="673"/>
      <c r="L164" s="1077"/>
      <c r="M164" s="706"/>
    </row>
    <row r="165" spans="1:13" ht="23.25" hidden="1" customHeight="1">
      <c r="A165" s="721"/>
      <c r="B165" s="851"/>
      <c r="C165" s="541" t="s">
        <v>7</v>
      </c>
      <c r="D165" s="547">
        <v>0</v>
      </c>
      <c r="E165" s="542">
        <v>0</v>
      </c>
      <c r="F165" s="542">
        <v>0</v>
      </c>
      <c r="G165" s="205">
        <f t="shared" si="10"/>
        <v>0</v>
      </c>
      <c r="H165" s="774"/>
      <c r="I165" s="703" t="s">
        <v>49</v>
      </c>
      <c r="J165" s="668"/>
      <c r="K165" s="674"/>
      <c r="L165" s="1078"/>
      <c r="M165" s="707"/>
    </row>
    <row r="166" spans="1:13" s="10" customFormat="1" hidden="1">
      <c r="A166" s="1094" t="s">
        <v>97</v>
      </c>
      <c r="B166" s="1120" t="s">
        <v>96</v>
      </c>
      <c r="C166" s="549" t="s">
        <v>3</v>
      </c>
      <c r="D166" s="562">
        <f>SUM(D167:D170)</f>
        <v>9781.5055100000009</v>
      </c>
      <c r="E166" s="562" t="e">
        <f>SUM(E167:E170)</f>
        <v>#REF!</v>
      </c>
      <c r="F166" s="562" t="e">
        <f>SUM(F167:F170)</f>
        <v>#REF!</v>
      </c>
      <c r="G166" s="165">
        <f t="shared" si="10"/>
        <v>0</v>
      </c>
      <c r="H166" s="1096" t="s">
        <v>80</v>
      </c>
      <c r="I166" s="563" t="s">
        <v>45</v>
      </c>
      <c r="J166" s="564">
        <f>SUM(J167:J169)</f>
        <v>2</v>
      </c>
      <c r="K166" s="929" t="s">
        <v>68</v>
      </c>
      <c r="L166" s="1121"/>
      <c r="M166" s="1070">
        <v>823</v>
      </c>
    </row>
    <row r="167" spans="1:13" s="10" customFormat="1" hidden="1">
      <c r="A167" s="729"/>
      <c r="B167" s="914"/>
      <c r="C167" s="549" t="s">
        <v>4</v>
      </c>
      <c r="D167" s="562">
        <f t="shared" ref="D167:E169" si="12">SUM(D172,D177)</f>
        <v>1718.8468699999999</v>
      </c>
      <c r="E167" s="562" t="e">
        <f t="shared" si="12"/>
        <v>#REF!</v>
      </c>
      <c r="F167" s="562" t="e">
        <f>E167</f>
        <v>#REF!</v>
      </c>
      <c r="G167" s="165">
        <f t="shared" si="10"/>
        <v>0</v>
      </c>
      <c r="H167" s="735"/>
      <c r="I167" s="563" t="s">
        <v>46</v>
      </c>
      <c r="J167" s="564">
        <f>COUNTIF($J$171:$J$180,"Да")</f>
        <v>1</v>
      </c>
      <c r="K167" s="762"/>
      <c r="L167" s="911"/>
      <c r="M167" s="764"/>
    </row>
    <row r="168" spans="1:13" s="10" customFormat="1" hidden="1">
      <c r="A168" s="729"/>
      <c r="B168" s="914"/>
      <c r="C168" s="549" t="s">
        <v>5</v>
      </c>
      <c r="D168" s="562">
        <f t="shared" si="12"/>
        <v>8062.6586400000006</v>
      </c>
      <c r="E168" s="562" t="e">
        <f t="shared" si="12"/>
        <v>#REF!</v>
      </c>
      <c r="F168" s="562" t="e">
        <f>E168</f>
        <v>#REF!</v>
      </c>
      <c r="G168" s="165">
        <f t="shared" si="10"/>
        <v>0</v>
      </c>
      <c r="H168" s="735"/>
      <c r="I168" s="563" t="s">
        <v>47</v>
      </c>
      <c r="J168" s="564">
        <f>COUNTIF($J$171:$J$180,"Частично")</f>
        <v>1</v>
      </c>
      <c r="K168" s="762"/>
      <c r="L168" s="911"/>
      <c r="M168" s="764"/>
    </row>
    <row r="169" spans="1:13" s="10" customFormat="1" hidden="1">
      <c r="A169" s="729"/>
      <c r="B169" s="914"/>
      <c r="C169" s="549" t="s">
        <v>6</v>
      </c>
      <c r="D169" s="562">
        <f t="shared" si="12"/>
        <v>0</v>
      </c>
      <c r="E169" s="562">
        <f t="shared" si="12"/>
        <v>0</v>
      </c>
      <c r="F169" s="562">
        <f>E169</f>
        <v>0</v>
      </c>
      <c r="G169" s="165">
        <f t="shared" si="10"/>
        <v>0</v>
      </c>
      <c r="H169" s="735"/>
      <c r="I169" s="563" t="s">
        <v>48</v>
      </c>
      <c r="J169" s="564">
        <f>COUNTIF($J$171:$J$180,"Нет")</f>
        <v>0</v>
      </c>
      <c r="K169" s="762"/>
      <c r="L169" s="911"/>
      <c r="M169" s="764"/>
    </row>
    <row r="170" spans="1:13" s="10" customFormat="1" hidden="1">
      <c r="A170" s="730"/>
      <c r="B170" s="915"/>
      <c r="C170" s="549" t="s">
        <v>7</v>
      </c>
      <c r="D170" s="562">
        <v>0</v>
      </c>
      <c r="E170" s="562">
        <v>0</v>
      </c>
      <c r="F170" s="562">
        <v>0</v>
      </c>
      <c r="G170" s="165">
        <f t="shared" si="10"/>
        <v>0</v>
      </c>
      <c r="H170" s="736"/>
      <c r="I170" s="563" t="s">
        <v>49</v>
      </c>
      <c r="J170" s="565">
        <f>(J167+0.5*J168)/J166</f>
        <v>0.75</v>
      </c>
      <c r="K170" s="771"/>
      <c r="L170" s="912"/>
      <c r="M170" s="834"/>
    </row>
    <row r="171" spans="1:13" ht="15" hidden="1" customHeight="1">
      <c r="A171" s="1125" t="s">
        <v>98</v>
      </c>
      <c r="B171" s="1105" t="s">
        <v>147</v>
      </c>
      <c r="C171" s="535" t="s">
        <v>3</v>
      </c>
      <c r="D171" s="540">
        <f>SUM(D172:D175)</f>
        <v>4859.9562100000003</v>
      </c>
      <c r="E171" s="540" t="e">
        <f>SUM(E172:E175)</f>
        <v>#REF!</v>
      </c>
      <c r="F171" s="540" t="e">
        <f>SUM(F172:F175)</f>
        <v>#REF!</v>
      </c>
      <c r="G171" s="205">
        <f t="shared" si="10"/>
        <v>0</v>
      </c>
      <c r="H171" s="1083" t="s">
        <v>379</v>
      </c>
      <c r="I171" s="1087" t="s">
        <v>644</v>
      </c>
      <c r="J171" s="1082" t="s">
        <v>177</v>
      </c>
      <c r="K171" s="1041" t="s">
        <v>675</v>
      </c>
      <c r="L171" s="1122" t="s">
        <v>645</v>
      </c>
      <c r="M171" s="1043">
        <v>823</v>
      </c>
    </row>
    <row r="172" spans="1:13" ht="15" hidden="1" customHeight="1">
      <c r="A172" s="711"/>
      <c r="B172" s="741"/>
      <c r="C172" s="535" t="s">
        <v>4</v>
      </c>
      <c r="D172" s="536">
        <f>'[3]912-ПП'!F406</f>
        <v>291.59756999999996</v>
      </c>
      <c r="E172" s="542" t="e">
        <f>#REF!</f>
        <v>#REF!</v>
      </c>
      <c r="F172" s="542" t="e">
        <f>E172</f>
        <v>#REF!</v>
      </c>
      <c r="G172" s="205">
        <f t="shared" si="10"/>
        <v>0</v>
      </c>
      <c r="H172" s="773"/>
      <c r="I172" s="702"/>
      <c r="J172" s="667"/>
      <c r="K172" s="803"/>
      <c r="L172" s="1123"/>
      <c r="M172" s="706"/>
    </row>
    <row r="173" spans="1:13" ht="15" hidden="1" customHeight="1">
      <c r="A173" s="711"/>
      <c r="B173" s="741"/>
      <c r="C173" s="535" t="s">
        <v>5</v>
      </c>
      <c r="D173" s="543">
        <f>'[3]912-ПП'!G406</f>
        <v>4568.3586400000004</v>
      </c>
      <c r="E173" s="542" t="e">
        <f>#REF!</f>
        <v>#REF!</v>
      </c>
      <c r="F173" s="542" t="e">
        <f>E173</f>
        <v>#REF!</v>
      </c>
      <c r="G173" s="205">
        <f t="shared" si="10"/>
        <v>0</v>
      </c>
      <c r="H173" s="773"/>
      <c r="I173" s="702"/>
      <c r="J173" s="667"/>
      <c r="K173" s="803"/>
      <c r="L173" s="1123"/>
      <c r="M173" s="706"/>
    </row>
    <row r="174" spans="1:13" ht="15" hidden="1" customHeight="1">
      <c r="A174" s="711"/>
      <c r="B174" s="741"/>
      <c r="C174" s="535" t="s">
        <v>6</v>
      </c>
      <c r="D174" s="543">
        <v>0</v>
      </c>
      <c r="E174" s="542">
        <v>0</v>
      </c>
      <c r="F174" s="542">
        <v>0</v>
      </c>
      <c r="G174" s="205">
        <f t="shared" si="10"/>
        <v>0</v>
      </c>
      <c r="H174" s="773"/>
      <c r="I174" s="702"/>
      <c r="J174" s="667"/>
      <c r="K174" s="803"/>
      <c r="L174" s="1123"/>
      <c r="M174" s="706"/>
    </row>
    <row r="175" spans="1:13" ht="15" hidden="1" customHeight="1">
      <c r="A175" s="712"/>
      <c r="B175" s="742"/>
      <c r="C175" s="535" t="s">
        <v>7</v>
      </c>
      <c r="D175" s="543">
        <v>0</v>
      </c>
      <c r="E175" s="542">
        <v>0</v>
      </c>
      <c r="F175" s="542">
        <v>0</v>
      </c>
      <c r="G175" s="205">
        <f t="shared" si="10"/>
        <v>0</v>
      </c>
      <c r="H175" s="774"/>
      <c r="I175" s="703"/>
      <c r="J175" s="668"/>
      <c r="K175" s="813"/>
      <c r="L175" s="1124"/>
      <c r="M175" s="707"/>
    </row>
    <row r="176" spans="1:13" ht="15" hidden="1" customHeight="1">
      <c r="A176" s="1125" t="s">
        <v>99</v>
      </c>
      <c r="B176" s="1105" t="s">
        <v>146</v>
      </c>
      <c r="C176" s="535" t="s">
        <v>3</v>
      </c>
      <c r="D176" s="540">
        <f>SUM(D177:D180)</f>
        <v>4921.5493000000006</v>
      </c>
      <c r="E176" s="540" t="e">
        <f>SUM(E177:E180)</f>
        <v>#REF!</v>
      </c>
      <c r="F176" s="540" t="e">
        <f>SUM(F177:F180)</f>
        <v>#REF!</v>
      </c>
      <c r="G176" s="205">
        <f t="shared" si="10"/>
        <v>0</v>
      </c>
      <c r="H176" s="1083" t="s">
        <v>145</v>
      </c>
      <c r="I176" s="1087" t="s">
        <v>646</v>
      </c>
      <c r="J176" s="1082" t="s">
        <v>178</v>
      </c>
      <c r="K176" s="1041" t="s">
        <v>647</v>
      </c>
      <c r="L176" s="1076" t="s">
        <v>674</v>
      </c>
      <c r="M176" s="1043">
        <v>823</v>
      </c>
    </row>
    <row r="177" spans="1:13" hidden="1">
      <c r="A177" s="711"/>
      <c r="B177" s="741"/>
      <c r="C177" s="535" t="s">
        <v>4</v>
      </c>
      <c r="D177" s="566">
        <f>'[3]912-ПП'!F412</f>
        <v>1427.2492999999999</v>
      </c>
      <c r="E177" s="566" t="e">
        <f>#REF!</f>
        <v>#REF!</v>
      </c>
      <c r="F177" s="566" t="e">
        <f>E177</f>
        <v>#REF!</v>
      </c>
      <c r="G177" s="205">
        <f t="shared" si="10"/>
        <v>0</v>
      </c>
      <c r="H177" s="773"/>
      <c r="I177" s="702"/>
      <c r="J177" s="667"/>
      <c r="K177" s="803"/>
      <c r="L177" s="1077"/>
      <c r="M177" s="706"/>
    </row>
    <row r="178" spans="1:13" ht="15" hidden="1" customHeight="1">
      <c r="A178" s="711"/>
      <c r="B178" s="741"/>
      <c r="C178" s="535" t="s">
        <v>5</v>
      </c>
      <c r="D178" s="547">
        <f>'[3]912-ПП'!G412</f>
        <v>3494.3</v>
      </c>
      <c r="E178" s="547" t="e">
        <f>#REF!</f>
        <v>#REF!</v>
      </c>
      <c r="F178" s="547" t="e">
        <f>E178</f>
        <v>#REF!</v>
      </c>
      <c r="G178" s="205">
        <f t="shared" si="10"/>
        <v>0</v>
      </c>
      <c r="H178" s="773"/>
      <c r="I178" s="702"/>
      <c r="J178" s="667"/>
      <c r="K178" s="803"/>
      <c r="L178" s="1077"/>
      <c r="M178" s="706"/>
    </row>
    <row r="179" spans="1:13" ht="15" hidden="1" customHeight="1">
      <c r="A179" s="711"/>
      <c r="B179" s="741"/>
      <c r="C179" s="535" t="s">
        <v>6</v>
      </c>
      <c r="D179" s="543">
        <v>0</v>
      </c>
      <c r="E179" s="542">
        <v>0</v>
      </c>
      <c r="F179" s="542">
        <v>0</v>
      </c>
      <c r="G179" s="205">
        <f t="shared" si="10"/>
        <v>0</v>
      </c>
      <c r="H179" s="773"/>
      <c r="I179" s="702"/>
      <c r="J179" s="667"/>
      <c r="K179" s="803"/>
      <c r="L179" s="1077"/>
      <c r="M179" s="706"/>
    </row>
    <row r="180" spans="1:13" ht="15" hidden="1" customHeight="1">
      <c r="A180" s="712"/>
      <c r="B180" s="742"/>
      <c r="C180" s="535" t="s">
        <v>7</v>
      </c>
      <c r="D180" s="543">
        <v>0</v>
      </c>
      <c r="E180" s="542">
        <v>0</v>
      </c>
      <c r="F180" s="542">
        <v>0</v>
      </c>
      <c r="G180" s="205">
        <f t="shared" si="10"/>
        <v>0</v>
      </c>
      <c r="H180" s="774"/>
      <c r="I180" s="703"/>
      <c r="J180" s="668"/>
      <c r="K180" s="813"/>
      <c r="L180" s="1078"/>
      <c r="M180" s="707"/>
    </row>
    <row r="181" spans="1:13" hidden="1">
      <c r="A181" s="1127" t="s">
        <v>17</v>
      </c>
      <c r="B181" s="1128" t="s">
        <v>18</v>
      </c>
      <c r="C181" s="567" t="s">
        <v>3</v>
      </c>
      <c r="D181" s="568" t="e">
        <f>SUM(D182:D185)</f>
        <v>#REF!</v>
      </c>
      <c r="E181" s="568" t="e">
        <f>SUM(E182:E185)</f>
        <v>#REF!</v>
      </c>
      <c r="F181" s="568" t="e">
        <f>SUM(F182:F185)</f>
        <v>#REF!</v>
      </c>
      <c r="G181" s="569">
        <f t="shared" si="10"/>
        <v>0</v>
      </c>
      <c r="H181" s="1128"/>
      <c r="I181" s="527" t="s">
        <v>45</v>
      </c>
      <c r="J181" s="570">
        <f>SUM(J186,J231,J266,J196,J221,J251,)</f>
        <v>15</v>
      </c>
      <c r="K181" s="1104" t="s">
        <v>105</v>
      </c>
      <c r="L181" s="1129"/>
      <c r="M181" s="1075" t="s">
        <v>35</v>
      </c>
    </row>
    <row r="182" spans="1:13" hidden="1">
      <c r="A182" s="870"/>
      <c r="B182" s="900"/>
      <c r="C182" s="567" t="s">
        <v>4</v>
      </c>
      <c r="D182" s="571" t="e">
        <f>SUM(D187,D232,D267,D197,D222,D252,)</f>
        <v>#REF!</v>
      </c>
      <c r="E182" s="571" t="e">
        <f>SUM(E187,E232,E267,E197,E222,E252,)</f>
        <v>#REF!</v>
      </c>
      <c r="F182" s="571" t="e">
        <f>E182</f>
        <v>#REF!</v>
      </c>
      <c r="G182" s="569">
        <f t="shared" si="10"/>
        <v>0</v>
      </c>
      <c r="H182" s="900"/>
      <c r="I182" s="527" t="s">
        <v>46</v>
      </c>
      <c r="J182" s="570">
        <f>SUM(J187,J232,J267,J197,J222,J252)</f>
        <v>6</v>
      </c>
      <c r="K182" s="752"/>
      <c r="L182" s="874"/>
      <c r="M182" s="823"/>
    </row>
    <row r="183" spans="1:13" hidden="1">
      <c r="A183" s="870"/>
      <c r="B183" s="900"/>
      <c r="C183" s="567" t="s">
        <v>5</v>
      </c>
      <c r="D183" s="571">
        <f>SUM(D188,D233,D268,D198,D223,D253,)</f>
        <v>624810.89999999991</v>
      </c>
      <c r="E183" s="572">
        <f>SUM(E188,E233,E268)</f>
        <v>554620.89999999991</v>
      </c>
      <c r="F183" s="572">
        <f>E183</f>
        <v>554620.89999999991</v>
      </c>
      <c r="G183" s="569">
        <f t="shared" si="10"/>
        <v>0.88766201101805364</v>
      </c>
      <c r="H183" s="900"/>
      <c r="I183" s="527" t="s">
        <v>47</v>
      </c>
      <c r="J183" s="570">
        <f>SUM(J188,J233,J268,J198,J223,J253,)</f>
        <v>4</v>
      </c>
      <c r="K183" s="752"/>
      <c r="L183" s="874"/>
      <c r="M183" s="823"/>
    </row>
    <row r="184" spans="1:13" hidden="1">
      <c r="A184" s="870"/>
      <c r="B184" s="900"/>
      <c r="C184" s="567" t="s">
        <v>6</v>
      </c>
      <c r="D184" s="571" t="e">
        <f>SUM(D189,D234,D269,D199,D224,D254,)</f>
        <v>#REF!</v>
      </c>
      <c r="E184" s="572" t="e">
        <f>SUM(E189,E234,E269,E254,)</f>
        <v>#REF!</v>
      </c>
      <c r="F184" s="572" t="e">
        <f>E184</f>
        <v>#REF!</v>
      </c>
      <c r="G184" s="569">
        <f t="shared" si="10"/>
        <v>0</v>
      </c>
      <c r="H184" s="900"/>
      <c r="I184" s="527" t="s">
        <v>48</v>
      </c>
      <c r="J184" s="570">
        <f>SUM(J189,J234,J269,J199,J224,J254,)</f>
        <v>5</v>
      </c>
      <c r="K184" s="752"/>
      <c r="L184" s="874"/>
      <c r="M184" s="823"/>
    </row>
    <row r="185" spans="1:13" hidden="1">
      <c r="A185" s="871"/>
      <c r="B185" s="901"/>
      <c r="C185" s="567" t="s">
        <v>7</v>
      </c>
      <c r="D185" s="571" t="e">
        <f>SUM(D190,D235,D270,D200,D225,D255,)</f>
        <v>#REF!</v>
      </c>
      <c r="E185" s="572">
        <v>0</v>
      </c>
      <c r="F185" s="572">
        <v>0</v>
      </c>
      <c r="G185" s="569">
        <f t="shared" si="10"/>
        <v>0</v>
      </c>
      <c r="H185" s="901"/>
      <c r="I185" s="527" t="s">
        <v>49</v>
      </c>
      <c r="J185" s="552">
        <f>(J182+0.5*J183)/J181</f>
        <v>0.53333333333333333</v>
      </c>
      <c r="K185" s="905"/>
      <c r="L185" s="875"/>
      <c r="M185" s="892"/>
    </row>
    <row r="186" spans="1:13" hidden="1">
      <c r="A186" s="1067" t="s">
        <v>383</v>
      </c>
      <c r="B186" s="1095" t="s">
        <v>384</v>
      </c>
      <c r="C186" s="549" t="s">
        <v>3</v>
      </c>
      <c r="D186" s="561" t="e">
        <f>SUM(D187:D190)</f>
        <v>#REF!</v>
      </c>
      <c r="E186" s="561" t="e">
        <f>SUM(E187:E190)</f>
        <v>#REF!</v>
      </c>
      <c r="F186" s="561" t="e">
        <f>SUM(F187:F190)</f>
        <v>#REF!</v>
      </c>
      <c r="G186" s="165">
        <f t="shared" si="10"/>
        <v>0</v>
      </c>
      <c r="H186" s="1126" t="s">
        <v>385</v>
      </c>
      <c r="I186" s="527" t="s">
        <v>45</v>
      </c>
      <c r="J186" s="528">
        <v>3</v>
      </c>
      <c r="K186" s="929" t="s">
        <v>598</v>
      </c>
      <c r="L186" s="929"/>
      <c r="M186" s="1070">
        <v>823</v>
      </c>
    </row>
    <row r="187" spans="1:13" hidden="1">
      <c r="A187" s="842"/>
      <c r="B187" s="732"/>
      <c r="C187" s="549" t="s">
        <v>4</v>
      </c>
      <c r="D187" s="561" t="e">
        <f>SUM(#REF!,D192,D217)</f>
        <v>#REF!</v>
      </c>
      <c r="E187" s="561" t="e">
        <f>SUM(E217,E192,#REF!)</f>
        <v>#REF!</v>
      </c>
      <c r="F187" s="561" t="e">
        <f>E187</f>
        <v>#REF!</v>
      </c>
      <c r="G187" s="165">
        <f t="shared" si="10"/>
        <v>0</v>
      </c>
      <c r="H187" s="884"/>
      <c r="I187" s="527" t="s">
        <v>46</v>
      </c>
      <c r="J187" s="528">
        <v>0</v>
      </c>
      <c r="K187" s="762"/>
      <c r="L187" s="762"/>
      <c r="M187" s="764"/>
    </row>
    <row r="188" spans="1:13" hidden="1">
      <c r="A188" s="842"/>
      <c r="B188" s="732"/>
      <c r="C188" s="549" t="s">
        <v>5</v>
      </c>
      <c r="D188" s="561">
        <v>0</v>
      </c>
      <c r="E188" s="561">
        <v>0</v>
      </c>
      <c r="F188" s="561">
        <f>E188</f>
        <v>0</v>
      </c>
      <c r="G188" s="165">
        <f t="shared" si="10"/>
        <v>0</v>
      </c>
      <c r="H188" s="884"/>
      <c r="I188" s="527" t="s">
        <v>47</v>
      </c>
      <c r="J188" s="528">
        <v>0</v>
      </c>
      <c r="K188" s="762"/>
      <c r="L188" s="762"/>
      <c r="M188" s="764"/>
    </row>
    <row r="189" spans="1:13" hidden="1">
      <c r="A189" s="842"/>
      <c r="B189" s="732"/>
      <c r="C189" s="549" t="s">
        <v>6</v>
      </c>
      <c r="D189" s="561" t="e">
        <f>SUM(#REF!,D194,D219)</f>
        <v>#REF!</v>
      </c>
      <c r="E189" s="561" t="e">
        <f>SUM(E219,E194,#REF!)</f>
        <v>#REF!</v>
      </c>
      <c r="F189" s="561" t="e">
        <f>E189</f>
        <v>#REF!</v>
      </c>
      <c r="G189" s="165">
        <f t="shared" si="10"/>
        <v>0</v>
      </c>
      <c r="H189" s="884"/>
      <c r="I189" s="527" t="s">
        <v>48</v>
      </c>
      <c r="J189" s="528">
        <v>3</v>
      </c>
      <c r="K189" s="762"/>
      <c r="L189" s="762"/>
      <c r="M189" s="764"/>
    </row>
    <row r="190" spans="1:13" hidden="1">
      <c r="A190" s="843"/>
      <c r="B190" s="733"/>
      <c r="C190" s="549" t="s">
        <v>7</v>
      </c>
      <c r="D190" s="561" t="e">
        <f>SUM(D220,D195,#REF!)</f>
        <v>#REF!</v>
      </c>
      <c r="E190" s="561">
        <v>0</v>
      </c>
      <c r="F190" s="561">
        <f>E190</f>
        <v>0</v>
      </c>
      <c r="G190" s="165">
        <f t="shared" si="10"/>
        <v>0</v>
      </c>
      <c r="H190" s="885"/>
      <c r="I190" s="527" t="s">
        <v>49</v>
      </c>
      <c r="J190" s="552">
        <f>(J187+0.5*J188)/J186</f>
        <v>0</v>
      </c>
      <c r="K190" s="771"/>
      <c r="L190" s="771"/>
      <c r="M190" s="834"/>
    </row>
    <row r="191" spans="1:13" ht="15.75" customHeight="1">
      <c r="A191" s="1134" t="s">
        <v>706</v>
      </c>
      <c r="B191" s="1137" t="s">
        <v>672</v>
      </c>
      <c r="C191" s="236" t="s">
        <v>3</v>
      </c>
      <c r="D191" s="573">
        <f>SUM(D192:D195)</f>
        <v>14179.4</v>
      </c>
      <c r="E191" s="573">
        <f>SUM(E192:E195)</f>
        <v>3179.3684200000002</v>
      </c>
      <c r="F191" s="573">
        <f>SUM(F192:F195)</f>
        <v>3179.3684200000002</v>
      </c>
      <c r="G191" s="574">
        <f t="shared" si="10"/>
        <v>0.22422446789003769</v>
      </c>
      <c r="H191" s="1140" t="s">
        <v>673</v>
      </c>
      <c r="I191" s="1143" t="s">
        <v>1044</v>
      </c>
      <c r="J191" s="1146" t="s">
        <v>177</v>
      </c>
      <c r="K191" s="1130" t="s">
        <v>129</v>
      </c>
      <c r="L191" s="1130" t="s">
        <v>820</v>
      </c>
      <c r="M191" s="1064">
        <v>807</v>
      </c>
    </row>
    <row r="192" spans="1:13" ht="15.75" customHeight="1">
      <c r="A192" s="1135"/>
      <c r="B192" s="1138"/>
      <c r="C192" s="236" t="s">
        <v>4</v>
      </c>
      <c r="D192" s="575">
        <v>3020.4</v>
      </c>
      <c r="E192" s="576">
        <v>3020.4</v>
      </c>
      <c r="F192" s="576">
        <f>E192</f>
        <v>3020.4</v>
      </c>
      <c r="G192" s="574">
        <f t="shared" si="10"/>
        <v>1</v>
      </c>
      <c r="H192" s="1141"/>
      <c r="I192" s="1144"/>
      <c r="J192" s="1147"/>
      <c r="K192" s="1131"/>
      <c r="L192" s="1131"/>
      <c r="M192" s="1065"/>
    </row>
    <row r="193" spans="1:13" ht="15.75" customHeight="1">
      <c r="A193" s="1135"/>
      <c r="B193" s="1138"/>
      <c r="C193" s="236" t="s">
        <v>5</v>
      </c>
      <c r="D193" s="575">
        <v>0</v>
      </c>
      <c r="E193" s="576">
        <v>0</v>
      </c>
      <c r="F193" s="576">
        <v>0</v>
      </c>
      <c r="G193" s="574">
        <f t="shared" si="10"/>
        <v>0</v>
      </c>
      <c r="H193" s="1141"/>
      <c r="I193" s="1144"/>
      <c r="J193" s="1147"/>
      <c r="K193" s="1131"/>
      <c r="L193" s="1131"/>
      <c r="M193" s="1065"/>
    </row>
    <row r="194" spans="1:13" ht="15.75" customHeight="1">
      <c r="A194" s="1135"/>
      <c r="B194" s="1138"/>
      <c r="C194" s="236" t="s">
        <v>6</v>
      </c>
      <c r="D194" s="575">
        <v>159</v>
      </c>
      <c r="E194" s="576">
        <v>158.96842000000001</v>
      </c>
      <c r="F194" s="576">
        <f>E194</f>
        <v>158.96842000000001</v>
      </c>
      <c r="G194" s="574">
        <f t="shared" si="10"/>
        <v>0.9998013836477988</v>
      </c>
      <c r="H194" s="1141"/>
      <c r="I194" s="1144"/>
      <c r="J194" s="1147"/>
      <c r="K194" s="1131"/>
      <c r="L194" s="1131"/>
      <c r="M194" s="1065"/>
    </row>
    <row r="195" spans="1:13" ht="15.75" customHeight="1">
      <c r="A195" s="1136"/>
      <c r="B195" s="1139"/>
      <c r="C195" s="236" t="s">
        <v>7</v>
      </c>
      <c r="D195" s="575">
        <v>11000</v>
      </c>
      <c r="E195" s="576">
        <v>0</v>
      </c>
      <c r="F195" s="576">
        <v>0</v>
      </c>
      <c r="G195" s="574">
        <f t="shared" si="10"/>
        <v>0</v>
      </c>
      <c r="H195" s="1142"/>
      <c r="I195" s="1145"/>
      <c r="J195" s="1148"/>
      <c r="K195" s="1132"/>
      <c r="L195" s="1132"/>
      <c r="M195" s="1066"/>
    </row>
    <row r="196" spans="1:13" ht="15.75" hidden="1" customHeight="1">
      <c r="A196" s="1067" t="s">
        <v>651</v>
      </c>
      <c r="B196" s="1133" t="s">
        <v>60</v>
      </c>
      <c r="C196" s="549" t="s">
        <v>3</v>
      </c>
      <c r="D196" s="561">
        <f>SUM(D197:D200)</f>
        <v>11926.269</v>
      </c>
      <c r="E196" s="561">
        <f>SUM(E197:E200)</f>
        <v>1124.568</v>
      </c>
      <c r="F196" s="561">
        <f>SUM(F197:F200)</f>
        <v>1124.568</v>
      </c>
      <c r="G196" s="165">
        <f t="shared" si="10"/>
        <v>9.4293361989403385E-2</v>
      </c>
      <c r="H196" s="1096" t="s">
        <v>83</v>
      </c>
      <c r="I196" s="527" t="s">
        <v>45</v>
      </c>
      <c r="J196" s="577">
        <f>SUM(J197:J199)</f>
        <v>3</v>
      </c>
      <c r="K196" s="929" t="str">
        <f>'[1]Пр ГП 19-20'!$K$167</f>
        <v>Министерство строительства МО, администрации муниципальных образований</v>
      </c>
      <c r="L196" s="490"/>
      <c r="M196" s="491"/>
    </row>
    <row r="197" spans="1:13" hidden="1">
      <c r="A197" s="842"/>
      <c r="B197" s="878"/>
      <c r="C197" s="549" t="s">
        <v>4</v>
      </c>
      <c r="D197" s="561">
        <f>SUM(D212,D207,D202)</f>
        <v>11926.269</v>
      </c>
      <c r="E197" s="561">
        <f>SUM(E202,E212)</f>
        <v>1124.568</v>
      </c>
      <c r="F197" s="561">
        <f>E197</f>
        <v>1124.568</v>
      </c>
      <c r="G197" s="165">
        <f t="shared" si="10"/>
        <v>9.4293361989403385E-2</v>
      </c>
      <c r="H197" s="735"/>
      <c r="I197" s="527" t="s">
        <v>46</v>
      </c>
      <c r="J197" s="577">
        <v>1</v>
      </c>
      <c r="K197" s="762"/>
      <c r="L197" s="490"/>
      <c r="M197" s="491"/>
    </row>
    <row r="198" spans="1:13" hidden="1">
      <c r="A198" s="842"/>
      <c r="B198" s="878"/>
      <c r="C198" s="549" t="s">
        <v>5</v>
      </c>
      <c r="D198" s="561">
        <v>0</v>
      </c>
      <c r="E198" s="561">
        <v>0</v>
      </c>
      <c r="F198" s="561">
        <f>E198</f>
        <v>0</v>
      </c>
      <c r="G198" s="165">
        <f t="shared" si="10"/>
        <v>0</v>
      </c>
      <c r="H198" s="735"/>
      <c r="I198" s="527" t="s">
        <v>47</v>
      </c>
      <c r="J198" s="577">
        <f>COUNTIF($J$201:$J$215,"Частично")</f>
        <v>0</v>
      </c>
      <c r="K198" s="762"/>
      <c r="L198" s="490"/>
      <c r="M198" s="491"/>
    </row>
    <row r="199" spans="1:13" hidden="1">
      <c r="A199" s="842"/>
      <c r="B199" s="878"/>
      <c r="C199" s="549" t="s">
        <v>6</v>
      </c>
      <c r="D199" s="561">
        <v>0</v>
      </c>
      <c r="E199" s="561">
        <v>0</v>
      </c>
      <c r="F199" s="561">
        <f>E199</f>
        <v>0</v>
      </c>
      <c r="G199" s="165">
        <f t="shared" si="10"/>
        <v>0</v>
      </c>
      <c r="H199" s="735"/>
      <c r="I199" s="527" t="s">
        <v>48</v>
      </c>
      <c r="J199" s="577">
        <v>2</v>
      </c>
      <c r="K199" s="762"/>
      <c r="L199" s="490"/>
      <c r="M199" s="491"/>
    </row>
    <row r="200" spans="1:13" hidden="1">
      <c r="A200" s="843"/>
      <c r="B200" s="879"/>
      <c r="C200" s="549" t="s">
        <v>7</v>
      </c>
      <c r="D200" s="561">
        <v>0</v>
      </c>
      <c r="E200" s="561">
        <v>0</v>
      </c>
      <c r="F200" s="561">
        <f>E200</f>
        <v>0</v>
      </c>
      <c r="G200" s="165">
        <f t="shared" si="10"/>
        <v>0</v>
      </c>
      <c r="H200" s="736"/>
      <c r="I200" s="527" t="s">
        <v>49</v>
      </c>
      <c r="J200" s="532">
        <f>(J197+0.5*J198)/J196</f>
        <v>0.33333333333333331</v>
      </c>
      <c r="K200" s="771"/>
      <c r="L200" s="490"/>
      <c r="M200" s="491"/>
    </row>
    <row r="201" spans="1:13" s="221" customFormat="1" ht="15" hidden="1" customHeight="1">
      <c r="A201" s="660" t="s">
        <v>126</v>
      </c>
      <c r="B201" s="682" t="s">
        <v>19</v>
      </c>
      <c r="C201" s="539" t="s">
        <v>3</v>
      </c>
      <c r="D201" s="545">
        <f>SUM(D202:D205)</f>
        <v>6000</v>
      </c>
      <c r="E201" s="548">
        <v>0</v>
      </c>
      <c r="F201" s="548">
        <v>0</v>
      </c>
      <c r="G201" s="205">
        <f t="shared" si="10"/>
        <v>0</v>
      </c>
      <c r="H201" s="1090" t="s">
        <v>144</v>
      </c>
      <c r="I201" s="672" t="s">
        <v>221</v>
      </c>
      <c r="J201" s="669" t="s">
        <v>206</v>
      </c>
      <c r="K201" s="672" t="s">
        <v>142</v>
      </c>
      <c r="L201" s="1076" t="s">
        <v>1045</v>
      </c>
      <c r="M201" s="1043">
        <v>823</v>
      </c>
    </row>
    <row r="202" spans="1:13" s="221" customFormat="1" ht="15" hidden="1" customHeight="1">
      <c r="A202" s="661"/>
      <c r="B202" s="683"/>
      <c r="C202" s="541" t="s">
        <v>4</v>
      </c>
      <c r="D202" s="578">
        <f>'[3]912-ПП'!F601</f>
        <v>6000</v>
      </c>
      <c r="E202" s="548">
        <v>0</v>
      </c>
      <c r="F202" s="548">
        <v>0</v>
      </c>
      <c r="G202" s="205">
        <f t="shared" si="10"/>
        <v>0</v>
      </c>
      <c r="H202" s="787"/>
      <c r="I202" s="673"/>
      <c r="J202" s="670"/>
      <c r="K202" s="673"/>
      <c r="L202" s="1077"/>
      <c r="M202" s="706"/>
    </row>
    <row r="203" spans="1:13" s="221" customFormat="1" ht="15" hidden="1" customHeight="1">
      <c r="A203" s="661"/>
      <c r="B203" s="683"/>
      <c r="C203" s="541" t="s">
        <v>5</v>
      </c>
      <c r="D203" s="578">
        <v>0</v>
      </c>
      <c r="E203" s="548">
        <v>0</v>
      </c>
      <c r="F203" s="548">
        <v>0</v>
      </c>
      <c r="G203" s="205">
        <f t="shared" si="10"/>
        <v>0</v>
      </c>
      <c r="H203" s="787"/>
      <c r="I203" s="673"/>
      <c r="J203" s="670"/>
      <c r="K203" s="673"/>
      <c r="L203" s="1077"/>
      <c r="M203" s="706"/>
    </row>
    <row r="204" spans="1:13" s="221" customFormat="1" ht="15" hidden="1" customHeight="1">
      <c r="A204" s="661"/>
      <c r="B204" s="683"/>
      <c r="C204" s="541" t="s">
        <v>6</v>
      </c>
      <c r="D204" s="578">
        <v>0</v>
      </c>
      <c r="E204" s="548">
        <v>0</v>
      </c>
      <c r="F204" s="548">
        <v>0</v>
      </c>
      <c r="G204" s="205">
        <f t="shared" si="10"/>
        <v>0</v>
      </c>
      <c r="H204" s="787"/>
      <c r="I204" s="673"/>
      <c r="J204" s="670"/>
      <c r="K204" s="673"/>
      <c r="L204" s="1077"/>
      <c r="M204" s="706"/>
    </row>
    <row r="205" spans="1:13" s="221" customFormat="1" ht="15" hidden="1" customHeight="1">
      <c r="A205" s="662"/>
      <c r="B205" s="684"/>
      <c r="C205" s="541" t="s">
        <v>7</v>
      </c>
      <c r="D205" s="578">
        <v>0</v>
      </c>
      <c r="E205" s="548">
        <v>0</v>
      </c>
      <c r="F205" s="548">
        <v>0</v>
      </c>
      <c r="G205" s="205">
        <f t="shared" si="10"/>
        <v>0</v>
      </c>
      <c r="H205" s="788"/>
      <c r="I205" s="674"/>
      <c r="J205" s="671"/>
      <c r="K205" s="674"/>
      <c r="L205" s="1078"/>
      <c r="M205" s="707"/>
    </row>
    <row r="206" spans="1:13" s="221" customFormat="1" ht="15" hidden="1" customHeight="1">
      <c r="A206" s="660" t="s">
        <v>686</v>
      </c>
      <c r="B206" s="682" t="s">
        <v>461</v>
      </c>
      <c r="C206" s="539" t="s">
        <v>3</v>
      </c>
      <c r="D206" s="578">
        <f>SUM(D207:D210)</f>
        <v>4801.7</v>
      </c>
      <c r="E206" s="548">
        <v>0</v>
      </c>
      <c r="F206" s="548">
        <v>0</v>
      </c>
      <c r="G206" s="205">
        <f t="shared" si="10"/>
        <v>0</v>
      </c>
      <c r="H206" s="1090" t="s">
        <v>462</v>
      </c>
      <c r="I206" s="672" t="s">
        <v>1046</v>
      </c>
      <c r="J206" s="669" t="s">
        <v>206</v>
      </c>
      <c r="K206" s="672" t="s">
        <v>241</v>
      </c>
      <c r="L206" s="1076" t="s">
        <v>1045</v>
      </c>
      <c r="M206" s="1043">
        <v>823</v>
      </c>
    </row>
    <row r="207" spans="1:13" s="221" customFormat="1" ht="15" hidden="1" customHeight="1">
      <c r="A207" s="661"/>
      <c r="B207" s="683"/>
      <c r="C207" s="541" t="s">
        <v>4</v>
      </c>
      <c r="D207" s="578">
        <f>'[3]912-ПП'!F608</f>
        <v>4801.7</v>
      </c>
      <c r="E207" s="548">
        <v>0</v>
      </c>
      <c r="F207" s="548">
        <v>0</v>
      </c>
      <c r="G207" s="205">
        <f t="shared" si="10"/>
        <v>0</v>
      </c>
      <c r="H207" s="787"/>
      <c r="I207" s="673"/>
      <c r="J207" s="670"/>
      <c r="K207" s="673"/>
      <c r="L207" s="1077"/>
      <c r="M207" s="706"/>
    </row>
    <row r="208" spans="1:13" s="221" customFormat="1" ht="15" hidden="1" customHeight="1">
      <c r="A208" s="661"/>
      <c r="B208" s="683"/>
      <c r="C208" s="541" t="s">
        <v>5</v>
      </c>
      <c r="D208" s="578">
        <v>0</v>
      </c>
      <c r="E208" s="548">
        <v>0</v>
      </c>
      <c r="F208" s="548">
        <v>0</v>
      </c>
      <c r="G208" s="205">
        <f t="shared" si="10"/>
        <v>0</v>
      </c>
      <c r="H208" s="787"/>
      <c r="I208" s="673"/>
      <c r="J208" s="670"/>
      <c r="K208" s="673"/>
      <c r="L208" s="1077"/>
      <c r="M208" s="706"/>
    </row>
    <row r="209" spans="1:13" s="221" customFormat="1" ht="15" hidden="1" customHeight="1">
      <c r="A209" s="661"/>
      <c r="B209" s="683"/>
      <c r="C209" s="541" t="s">
        <v>6</v>
      </c>
      <c r="D209" s="578">
        <v>0</v>
      </c>
      <c r="E209" s="548">
        <v>0</v>
      </c>
      <c r="F209" s="548">
        <v>0</v>
      </c>
      <c r="G209" s="205">
        <f t="shared" si="10"/>
        <v>0</v>
      </c>
      <c r="H209" s="787"/>
      <c r="I209" s="673"/>
      <c r="J209" s="670"/>
      <c r="K209" s="673"/>
      <c r="L209" s="1077"/>
      <c r="M209" s="706"/>
    </row>
    <row r="210" spans="1:13" s="221" customFormat="1" ht="15" hidden="1" customHeight="1">
      <c r="A210" s="662"/>
      <c r="B210" s="684"/>
      <c r="C210" s="541" t="s">
        <v>7</v>
      </c>
      <c r="D210" s="578">
        <v>0</v>
      </c>
      <c r="E210" s="548">
        <v>0</v>
      </c>
      <c r="F210" s="548">
        <v>0</v>
      </c>
      <c r="G210" s="205">
        <f t="shared" si="10"/>
        <v>0</v>
      </c>
      <c r="H210" s="788"/>
      <c r="I210" s="674"/>
      <c r="J210" s="671"/>
      <c r="K210" s="674"/>
      <c r="L210" s="1078"/>
      <c r="M210" s="707"/>
    </row>
    <row r="211" spans="1:13" ht="15" hidden="1" customHeight="1">
      <c r="A211" s="660" t="s">
        <v>127</v>
      </c>
      <c r="B211" s="682" t="s">
        <v>124</v>
      </c>
      <c r="C211" s="541" t="s">
        <v>3</v>
      </c>
      <c r="D211" s="579">
        <f>SUM(D212:D215)</f>
        <v>1124.569</v>
      </c>
      <c r="E211" s="204">
        <f>SUM(E212:E215)</f>
        <v>1124.568</v>
      </c>
      <c r="F211" s="204">
        <f>SUM(F212:F215)</f>
        <v>1124.568</v>
      </c>
      <c r="G211" s="205">
        <f t="shared" si="10"/>
        <v>0.99999911077043746</v>
      </c>
      <c r="H211" s="663" t="s">
        <v>176</v>
      </c>
      <c r="I211" s="666" t="s">
        <v>676</v>
      </c>
      <c r="J211" s="1082" t="s">
        <v>177</v>
      </c>
      <c r="K211" s="672" t="s">
        <v>142</v>
      </c>
      <c r="L211" s="1076"/>
      <c r="M211" s="1043">
        <v>823</v>
      </c>
    </row>
    <row r="212" spans="1:13" ht="15" hidden="1" customHeight="1">
      <c r="A212" s="661"/>
      <c r="B212" s="683"/>
      <c r="C212" s="541" t="s">
        <v>4</v>
      </c>
      <c r="D212" s="580">
        <f>'[3]912-ПП'!F713</f>
        <v>1124.569</v>
      </c>
      <c r="E212" s="204">
        <f>'[2]2024'!H97</f>
        <v>1124.568</v>
      </c>
      <c r="F212" s="204">
        <f>E212</f>
        <v>1124.568</v>
      </c>
      <c r="G212" s="205">
        <f t="shared" si="10"/>
        <v>0.99999911077043746</v>
      </c>
      <c r="H212" s="664"/>
      <c r="I212" s="667"/>
      <c r="J212" s="667"/>
      <c r="K212" s="673"/>
      <c r="L212" s="1077"/>
      <c r="M212" s="706"/>
    </row>
    <row r="213" spans="1:13" ht="15" hidden="1" customHeight="1">
      <c r="A213" s="661"/>
      <c r="B213" s="683"/>
      <c r="C213" s="541" t="s">
        <v>5</v>
      </c>
      <c r="D213" s="581">
        <v>0</v>
      </c>
      <c r="E213" s="204">
        <v>0</v>
      </c>
      <c r="F213" s="204">
        <v>0</v>
      </c>
      <c r="G213" s="205">
        <f t="shared" si="10"/>
        <v>0</v>
      </c>
      <c r="H213" s="664"/>
      <c r="I213" s="667"/>
      <c r="J213" s="667"/>
      <c r="K213" s="673"/>
      <c r="L213" s="1077"/>
      <c r="M213" s="706"/>
    </row>
    <row r="214" spans="1:13" ht="15" hidden="1" customHeight="1">
      <c r="A214" s="661"/>
      <c r="B214" s="683"/>
      <c r="C214" s="541" t="s">
        <v>6</v>
      </c>
      <c r="D214" s="203">
        <v>0</v>
      </c>
      <c r="E214" s="204">
        <v>0</v>
      </c>
      <c r="F214" s="204">
        <v>0</v>
      </c>
      <c r="G214" s="205">
        <f t="shared" si="10"/>
        <v>0</v>
      </c>
      <c r="H214" s="664"/>
      <c r="I214" s="667"/>
      <c r="J214" s="667"/>
      <c r="K214" s="673"/>
      <c r="L214" s="1077"/>
      <c r="M214" s="706"/>
    </row>
    <row r="215" spans="1:13" ht="15" hidden="1" customHeight="1">
      <c r="A215" s="662"/>
      <c r="B215" s="684"/>
      <c r="C215" s="582" t="s">
        <v>7</v>
      </c>
      <c r="D215" s="203">
        <v>0</v>
      </c>
      <c r="E215" s="204">
        <v>0</v>
      </c>
      <c r="F215" s="204">
        <v>0</v>
      </c>
      <c r="G215" s="205">
        <f t="shared" si="10"/>
        <v>0</v>
      </c>
      <c r="H215" s="665"/>
      <c r="I215" s="668"/>
      <c r="J215" s="668"/>
      <c r="K215" s="674"/>
      <c r="L215" s="1078"/>
      <c r="M215" s="707"/>
    </row>
    <row r="216" spans="1:13" ht="15" customHeight="1">
      <c r="A216" s="1149" t="s">
        <v>705</v>
      </c>
      <c r="B216" s="1152" t="s">
        <v>700</v>
      </c>
      <c r="C216" s="583" t="s">
        <v>3</v>
      </c>
      <c r="D216" s="584">
        <f>SUM(D217:D220)</f>
        <v>0</v>
      </c>
      <c r="E216" s="584" t="e">
        <f>SUM(E217:E220)</f>
        <v>#REF!</v>
      </c>
      <c r="F216" s="584" t="e">
        <f t="shared" ref="F216:F220" si="13">E216</f>
        <v>#REF!</v>
      </c>
      <c r="G216" s="585">
        <f>IFERROR(F216/D216,0)</f>
        <v>0</v>
      </c>
      <c r="H216" s="1152" t="s">
        <v>701</v>
      </c>
      <c r="I216" s="1155" t="s">
        <v>1047</v>
      </c>
      <c r="J216" s="1158"/>
      <c r="K216" s="1161" t="s">
        <v>452</v>
      </c>
      <c r="L216" s="1161"/>
      <c r="M216" s="1164"/>
    </row>
    <row r="217" spans="1:13" ht="15" customHeight="1">
      <c r="A217" s="1150"/>
      <c r="B217" s="1153"/>
      <c r="C217" s="583" t="s">
        <v>4</v>
      </c>
      <c r="D217" s="584">
        <v>0</v>
      </c>
      <c r="E217" s="584" t="e">
        <f>#REF!</f>
        <v>#REF!</v>
      </c>
      <c r="F217" s="584" t="e">
        <f t="shared" si="13"/>
        <v>#REF!</v>
      </c>
      <c r="G217" s="585">
        <f>IFERROR(F217/D217,0)</f>
        <v>0</v>
      </c>
      <c r="H217" s="1153"/>
      <c r="I217" s="1156"/>
      <c r="J217" s="1159"/>
      <c r="K217" s="1162"/>
      <c r="L217" s="1162"/>
      <c r="M217" s="1165"/>
    </row>
    <row r="218" spans="1:13" ht="15" customHeight="1">
      <c r="A218" s="1150"/>
      <c r="B218" s="1153"/>
      <c r="C218" s="583" t="s">
        <v>5</v>
      </c>
      <c r="D218" s="584">
        <v>0</v>
      </c>
      <c r="E218" s="584">
        <v>0</v>
      </c>
      <c r="F218" s="584">
        <f t="shared" si="13"/>
        <v>0</v>
      </c>
      <c r="G218" s="585">
        <f>IFERROR(F218/D218,0)</f>
        <v>0</v>
      </c>
      <c r="H218" s="1153"/>
      <c r="I218" s="1156"/>
      <c r="J218" s="1159"/>
      <c r="K218" s="1162"/>
      <c r="L218" s="1162"/>
      <c r="M218" s="1165"/>
    </row>
    <row r="219" spans="1:13" ht="15" customHeight="1">
      <c r="A219" s="1150"/>
      <c r="B219" s="1153"/>
      <c r="C219" s="583" t="s">
        <v>6</v>
      </c>
      <c r="D219" s="584">
        <v>0</v>
      </c>
      <c r="E219" s="584" t="e">
        <f>#REF!</f>
        <v>#REF!</v>
      </c>
      <c r="F219" s="584" t="e">
        <f t="shared" si="13"/>
        <v>#REF!</v>
      </c>
      <c r="G219" s="585">
        <f>IFERROR(F219/D219,0)</f>
        <v>0</v>
      </c>
      <c r="H219" s="1153"/>
      <c r="I219" s="1156"/>
      <c r="J219" s="1159"/>
      <c r="K219" s="1162"/>
      <c r="L219" s="1162"/>
      <c r="M219" s="1165"/>
    </row>
    <row r="220" spans="1:13" ht="15" customHeight="1">
      <c r="A220" s="1151"/>
      <c r="B220" s="1154"/>
      <c r="C220" s="583" t="s">
        <v>7</v>
      </c>
      <c r="D220" s="584">
        <v>0</v>
      </c>
      <c r="E220" s="584">
        <v>0</v>
      </c>
      <c r="F220" s="584">
        <f t="shared" si="13"/>
        <v>0</v>
      </c>
      <c r="G220" s="585">
        <f>IFERROR(F220/D220,0)</f>
        <v>0</v>
      </c>
      <c r="H220" s="1154"/>
      <c r="I220" s="1157"/>
      <c r="J220" s="1160"/>
      <c r="K220" s="1163"/>
      <c r="L220" s="1163"/>
      <c r="M220" s="1165"/>
    </row>
    <row r="221" spans="1:13" s="10" customFormat="1" ht="15" hidden="1" customHeight="1">
      <c r="A221" s="927" t="s">
        <v>556</v>
      </c>
      <c r="B221" s="924" t="s">
        <v>557</v>
      </c>
      <c r="C221" s="164" t="s">
        <v>3</v>
      </c>
      <c r="D221" s="158">
        <f>SUM(D222:D225)</f>
        <v>99630.567459999991</v>
      </c>
      <c r="E221" s="159" t="e">
        <f>SUM(E222:E225)</f>
        <v>#REF!</v>
      </c>
      <c r="F221" s="159" t="e">
        <f>SUM(F222:F225)</f>
        <v>#REF!</v>
      </c>
      <c r="G221" s="165">
        <f t="shared" si="10"/>
        <v>0</v>
      </c>
      <c r="H221" s="928" t="s">
        <v>81</v>
      </c>
      <c r="I221" s="527" t="s">
        <v>45</v>
      </c>
      <c r="J221" s="528">
        <f>SUM(J222:J224)</f>
        <v>1</v>
      </c>
      <c r="K221" s="929"/>
      <c r="L221" s="166"/>
      <c r="M221" s="491"/>
    </row>
    <row r="222" spans="1:13" s="10" customFormat="1" ht="15" hidden="1" customHeight="1">
      <c r="A222" s="881"/>
      <c r="B222" s="925"/>
      <c r="C222" s="164" t="s">
        <v>4</v>
      </c>
      <c r="D222" s="158">
        <f>D227</f>
        <v>29440.567459999998</v>
      </c>
      <c r="E222" s="159" t="e">
        <f>E227</f>
        <v>#REF!</v>
      </c>
      <c r="F222" s="159" t="e">
        <f t="shared" ref="F222:F228" si="14">E222</f>
        <v>#REF!</v>
      </c>
      <c r="G222" s="165">
        <f t="shared" si="10"/>
        <v>0</v>
      </c>
      <c r="H222" s="928"/>
      <c r="I222" s="527" t="s">
        <v>46</v>
      </c>
      <c r="J222" s="528">
        <f>COUNTIF($J$226:$J$230,"Да")</f>
        <v>0</v>
      </c>
      <c r="K222" s="762"/>
      <c r="L222" s="166"/>
      <c r="M222" s="491"/>
    </row>
    <row r="223" spans="1:13" s="10" customFormat="1" ht="15" hidden="1" customHeight="1">
      <c r="A223" s="881"/>
      <c r="B223" s="925"/>
      <c r="C223" s="164" t="s">
        <v>5</v>
      </c>
      <c r="D223" s="158">
        <f>D228</f>
        <v>70190</v>
      </c>
      <c r="E223" s="159" t="e">
        <f>E228</f>
        <v>#REF!</v>
      </c>
      <c r="F223" s="159" t="e">
        <f t="shared" si="14"/>
        <v>#REF!</v>
      </c>
      <c r="G223" s="165">
        <f t="shared" ref="G223:G295" si="15">IFERROR(F223/D223,0)</f>
        <v>0</v>
      </c>
      <c r="H223" s="928"/>
      <c r="I223" s="527" t="s">
        <v>47</v>
      </c>
      <c r="J223" s="528">
        <v>1</v>
      </c>
      <c r="K223" s="762"/>
      <c r="L223" s="166"/>
      <c r="M223" s="491"/>
    </row>
    <row r="224" spans="1:13" s="10" customFormat="1" ht="15" hidden="1" customHeight="1">
      <c r="A224" s="881"/>
      <c r="B224" s="925"/>
      <c r="C224" s="164" t="s">
        <v>6</v>
      </c>
      <c r="D224" s="158">
        <v>0</v>
      </c>
      <c r="E224" s="159">
        <f>E229</f>
        <v>0</v>
      </c>
      <c r="F224" s="159">
        <f t="shared" si="14"/>
        <v>0</v>
      </c>
      <c r="G224" s="165">
        <f t="shared" si="15"/>
        <v>0</v>
      </c>
      <c r="H224" s="928"/>
      <c r="I224" s="527" t="s">
        <v>48</v>
      </c>
      <c r="J224" s="528">
        <f>COUNTIF($J$226:$J$230,"Нет")</f>
        <v>0</v>
      </c>
      <c r="K224" s="762"/>
      <c r="L224" s="166"/>
      <c r="M224" s="491"/>
    </row>
    <row r="225" spans="1:13" s="10" customFormat="1" ht="15" hidden="1" customHeight="1">
      <c r="A225" s="882"/>
      <c r="B225" s="926"/>
      <c r="C225" s="164" t="s">
        <v>7</v>
      </c>
      <c r="D225" s="158">
        <v>0</v>
      </c>
      <c r="E225" s="159">
        <v>0</v>
      </c>
      <c r="F225" s="159">
        <f t="shared" si="14"/>
        <v>0</v>
      </c>
      <c r="G225" s="165">
        <f t="shared" si="15"/>
        <v>0</v>
      </c>
      <c r="H225" s="928"/>
      <c r="I225" s="527" t="s">
        <v>49</v>
      </c>
      <c r="J225" s="552">
        <f>(J222+0.5*J223)/J221</f>
        <v>0.5</v>
      </c>
      <c r="K225" s="771"/>
      <c r="L225" s="166"/>
      <c r="M225" s="491"/>
    </row>
    <row r="226" spans="1:13" ht="102" hidden="1" customHeight="1">
      <c r="A226" s="687" t="s">
        <v>558</v>
      </c>
      <c r="B226" s="659" t="s">
        <v>559</v>
      </c>
      <c r="C226" s="541" t="s">
        <v>3</v>
      </c>
      <c r="D226" s="203">
        <f>SUM(D227:D230)</f>
        <v>99630.567459999991</v>
      </c>
      <c r="E226" s="204" t="e">
        <f>SUM(E227:E230)</f>
        <v>#REF!</v>
      </c>
      <c r="F226" s="204" t="e">
        <f t="shared" si="14"/>
        <v>#REF!</v>
      </c>
      <c r="G226" s="205">
        <f t="shared" si="15"/>
        <v>0</v>
      </c>
      <c r="H226" s="664" t="s">
        <v>560</v>
      </c>
      <c r="I226" s="1166" t="s">
        <v>1048</v>
      </c>
      <c r="J226" s="669" t="s">
        <v>178</v>
      </c>
      <c r="K226" s="672" t="s">
        <v>140</v>
      </c>
      <c r="L226" s="1076" t="s">
        <v>1049</v>
      </c>
      <c r="M226" s="492"/>
    </row>
    <row r="227" spans="1:13" ht="76.5" hidden="1" customHeight="1">
      <c r="A227" s="687"/>
      <c r="B227" s="659"/>
      <c r="C227" s="541" t="s">
        <v>4</v>
      </c>
      <c r="D227" s="203">
        <f>'[3]912-ПП'!F853</f>
        <v>29440.567459999998</v>
      </c>
      <c r="E227" s="204" t="e">
        <f>#REF!</f>
        <v>#REF!</v>
      </c>
      <c r="F227" s="204" t="e">
        <f t="shared" si="14"/>
        <v>#REF!</v>
      </c>
      <c r="G227" s="205">
        <f t="shared" si="15"/>
        <v>0</v>
      </c>
      <c r="H227" s="664"/>
      <c r="I227" s="907"/>
      <c r="J227" s="670"/>
      <c r="K227" s="673"/>
      <c r="L227" s="1077"/>
      <c r="M227" s="492"/>
    </row>
    <row r="228" spans="1:13" ht="60" hidden="1" customHeight="1">
      <c r="A228" s="687"/>
      <c r="B228" s="659"/>
      <c r="C228" s="541" t="s">
        <v>5</v>
      </c>
      <c r="D228" s="203">
        <f>'[3]912-ПП'!G853</f>
        <v>70190</v>
      </c>
      <c r="E228" s="204" t="e">
        <f>#REF!</f>
        <v>#REF!</v>
      </c>
      <c r="F228" s="204" t="e">
        <f t="shared" si="14"/>
        <v>#REF!</v>
      </c>
      <c r="G228" s="205">
        <f t="shared" si="15"/>
        <v>0</v>
      </c>
      <c r="H228" s="664"/>
      <c r="I228" s="907"/>
      <c r="J228" s="670"/>
      <c r="K228" s="673"/>
      <c r="L228" s="1077"/>
      <c r="M228" s="492"/>
    </row>
    <row r="229" spans="1:13" ht="48" hidden="1" customHeight="1">
      <c r="A229" s="687"/>
      <c r="B229" s="659"/>
      <c r="C229" s="541" t="s">
        <v>6</v>
      </c>
      <c r="D229" s="203">
        <v>0</v>
      </c>
      <c r="E229" s="204">
        <v>0</v>
      </c>
      <c r="F229" s="204">
        <v>0</v>
      </c>
      <c r="G229" s="205">
        <f t="shared" si="15"/>
        <v>0</v>
      </c>
      <c r="H229" s="664"/>
      <c r="I229" s="907"/>
      <c r="J229" s="670"/>
      <c r="K229" s="673"/>
      <c r="L229" s="1077"/>
      <c r="M229" s="492"/>
    </row>
    <row r="230" spans="1:13" ht="20.25" hidden="1" customHeight="1">
      <c r="A230" s="687"/>
      <c r="B230" s="659"/>
      <c r="C230" s="582" t="s">
        <v>7</v>
      </c>
      <c r="D230" s="203">
        <v>0</v>
      </c>
      <c r="E230" s="204">
        <v>0</v>
      </c>
      <c r="F230" s="204">
        <v>0</v>
      </c>
      <c r="G230" s="205">
        <f t="shared" si="15"/>
        <v>0</v>
      </c>
      <c r="H230" s="665"/>
      <c r="I230" s="908"/>
      <c r="J230" s="671"/>
      <c r="K230" s="674"/>
      <c r="L230" s="1078"/>
      <c r="M230" s="492"/>
    </row>
    <row r="231" spans="1:13" s="10" customFormat="1" ht="15" hidden="1" customHeight="1">
      <c r="A231" s="927" t="s">
        <v>138</v>
      </c>
      <c r="B231" s="1068" t="s">
        <v>137</v>
      </c>
      <c r="C231" s="525" t="s">
        <v>3</v>
      </c>
      <c r="D231" s="158">
        <f>SUM(D232:D235)</f>
        <v>987968.1484699999</v>
      </c>
      <c r="E231" s="159">
        <f>SUM(E232:E235)</f>
        <v>972662.17833999987</v>
      </c>
      <c r="F231" s="159">
        <f>SUM(F232:F235)</f>
        <v>674367.42828999995</v>
      </c>
      <c r="G231" s="160">
        <f t="shared" si="15"/>
        <v>0.68258013108453708</v>
      </c>
      <c r="H231" s="1126" t="s">
        <v>216</v>
      </c>
      <c r="I231" s="527" t="s">
        <v>45</v>
      </c>
      <c r="J231" s="528">
        <f>SUM(J232:J234)</f>
        <v>3</v>
      </c>
      <c r="K231" s="678" t="s">
        <v>136</v>
      </c>
      <c r="L231" s="678"/>
      <c r="M231" s="1070">
        <v>807</v>
      </c>
    </row>
    <row r="232" spans="1:13" s="10" customFormat="1" ht="15" hidden="1" customHeight="1">
      <c r="A232" s="881"/>
      <c r="B232" s="845"/>
      <c r="C232" s="525" t="s">
        <v>4</v>
      </c>
      <c r="D232" s="158">
        <f t="shared" ref="D232:F235" si="16">SUM(D237,D242,D247)</f>
        <v>433347.24846999999</v>
      </c>
      <c r="E232" s="159">
        <f t="shared" si="16"/>
        <v>418041.27834000002</v>
      </c>
      <c r="F232" s="159">
        <f t="shared" si="16"/>
        <v>261007.30507</v>
      </c>
      <c r="G232" s="160">
        <f t="shared" si="15"/>
        <v>0.60230520902469553</v>
      </c>
      <c r="H232" s="884"/>
      <c r="I232" s="527" t="s">
        <v>46</v>
      </c>
      <c r="J232" s="528">
        <f>COUNTIF($J$236:$J$250,"Да")</f>
        <v>2</v>
      </c>
      <c r="K232" s="678"/>
      <c r="L232" s="678"/>
      <c r="M232" s="764"/>
    </row>
    <row r="233" spans="1:13" s="10" customFormat="1" ht="15" hidden="1" customHeight="1">
      <c r="A233" s="881"/>
      <c r="B233" s="845"/>
      <c r="C233" s="525" t="s">
        <v>5</v>
      </c>
      <c r="D233" s="586">
        <f t="shared" si="16"/>
        <v>554620.89999999991</v>
      </c>
      <c r="E233" s="159">
        <f t="shared" si="16"/>
        <v>554620.89999999991</v>
      </c>
      <c r="F233" s="159">
        <f t="shared" si="16"/>
        <v>413360.12321999995</v>
      </c>
      <c r="G233" s="160">
        <f t="shared" si="15"/>
        <v>0.7453021031482947</v>
      </c>
      <c r="H233" s="884"/>
      <c r="I233" s="527" t="s">
        <v>47</v>
      </c>
      <c r="J233" s="528">
        <f>COUNTIF($J$236:$J$250,"Частично")</f>
        <v>1</v>
      </c>
      <c r="K233" s="678"/>
      <c r="L233" s="678"/>
      <c r="M233" s="764"/>
    </row>
    <row r="234" spans="1:13" s="10" customFormat="1" ht="15" hidden="1" customHeight="1">
      <c r="A234" s="881"/>
      <c r="B234" s="845"/>
      <c r="C234" s="525" t="s">
        <v>6</v>
      </c>
      <c r="D234" s="158">
        <f t="shared" si="16"/>
        <v>0</v>
      </c>
      <c r="E234" s="159">
        <f t="shared" si="16"/>
        <v>0</v>
      </c>
      <c r="F234" s="159">
        <f t="shared" si="16"/>
        <v>0</v>
      </c>
      <c r="G234" s="160">
        <f t="shared" si="15"/>
        <v>0</v>
      </c>
      <c r="H234" s="884"/>
      <c r="I234" s="527" t="s">
        <v>48</v>
      </c>
      <c r="J234" s="528">
        <f>COUNTIF($J$236:$J$250,"Нет")</f>
        <v>0</v>
      </c>
      <c r="K234" s="678"/>
      <c r="L234" s="678"/>
      <c r="M234" s="764"/>
    </row>
    <row r="235" spans="1:13" s="10" customFormat="1" ht="15" hidden="1" customHeight="1">
      <c r="A235" s="882"/>
      <c r="B235" s="846"/>
      <c r="C235" s="587" t="s">
        <v>7</v>
      </c>
      <c r="D235" s="158">
        <f t="shared" si="16"/>
        <v>0</v>
      </c>
      <c r="E235" s="159">
        <f t="shared" si="16"/>
        <v>0</v>
      </c>
      <c r="F235" s="159">
        <f t="shared" si="16"/>
        <v>0</v>
      </c>
      <c r="G235" s="160">
        <f t="shared" si="15"/>
        <v>0</v>
      </c>
      <c r="H235" s="885"/>
      <c r="I235" s="527" t="s">
        <v>49</v>
      </c>
      <c r="J235" s="552">
        <f>(J232+0.5*J233)/J231</f>
        <v>0.83333333333333337</v>
      </c>
      <c r="K235" s="678"/>
      <c r="L235" s="678"/>
      <c r="M235" s="834"/>
    </row>
    <row r="236" spans="1:13" ht="15" customHeight="1">
      <c r="A236" s="1167" t="s">
        <v>61</v>
      </c>
      <c r="B236" s="1170" t="s">
        <v>82</v>
      </c>
      <c r="C236" s="510" t="s">
        <v>3</v>
      </c>
      <c r="D236" s="575">
        <f>SUM(D237:D240)</f>
        <v>635921.6484699999</v>
      </c>
      <c r="E236" s="576">
        <f>SUM(E237:E240)</f>
        <v>620615.67833999998</v>
      </c>
      <c r="F236" s="576">
        <f>SUM(F237:F240)</f>
        <v>322320.92829000001</v>
      </c>
      <c r="G236" s="588">
        <f t="shared" si="15"/>
        <v>0.50685635418371155</v>
      </c>
      <c r="H236" s="1173" t="s">
        <v>133</v>
      </c>
      <c r="I236" s="1174" t="s">
        <v>1050</v>
      </c>
      <c r="J236" s="1175" t="s">
        <v>178</v>
      </c>
      <c r="K236" s="1063" t="s">
        <v>135</v>
      </c>
      <c r="L236" s="1178" t="s">
        <v>1051</v>
      </c>
      <c r="M236" s="1064">
        <v>807</v>
      </c>
    </row>
    <row r="237" spans="1:13" ht="15" customHeight="1">
      <c r="A237" s="1168"/>
      <c r="B237" s="1171"/>
      <c r="C237" s="510" t="s">
        <v>4</v>
      </c>
      <c r="D237" s="575">
        <f>'[3]912-ПП'!F867</f>
        <v>265813.04846999998</v>
      </c>
      <c r="E237" s="576">
        <v>250507.07834000001</v>
      </c>
      <c r="F237" s="576">
        <v>93473.105070000005</v>
      </c>
      <c r="G237" s="588">
        <f t="shared" si="15"/>
        <v>0.35164979901484972</v>
      </c>
      <c r="H237" s="1173"/>
      <c r="I237" s="1174"/>
      <c r="J237" s="1176"/>
      <c r="K237" s="1063"/>
      <c r="L237" s="1179"/>
      <c r="M237" s="1065"/>
    </row>
    <row r="238" spans="1:13" ht="15" customHeight="1">
      <c r="A238" s="1168"/>
      <c r="B238" s="1171"/>
      <c r="C238" s="510" t="s">
        <v>5</v>
      </c>
      <c r="D238" s="575">
        <f>'[3]912-ПП'!G867</f>
        <v>370108.6</v>
      </c>
      <c r="E238" s="576">
        <v>370108.6</v>
      </c>
      <c r="F238" s="576">
        <v>228847.82321999999</v>
      </c>
      <c r="G238" s="588">
        <f t="shared" si="15"/>
        <v>0.61832614324552304</v>
      </c>
      <c r="H238" s="1173"/>
      <c r="I238" s="1174"/>
      <c r="J238" s="1176"/>
      <c r="K238" s="1063"/>
      <c r="L238" s="1179"/>
      <c r="M238" s="1065"/>
    </row>
    <row r="239" spans="1:13" ht="15" customHeight="1">
      <c r="A239" s="1168"/>
      <c r="B239" s="1171"/>
      <c r="C239" s="510" t="s">
        <v>6</v>
      </c>
      <c r="D239" s="575">
        <v>0</v>
      </c>
      <c r="E239" s="576">
        <v>0</v>
      </c>
      <c r="F239" s="576">
        <v>0</v>
      </c>
      <c r="G239" s="588">
        <f t="shared" si="15"/>
        <v>0</v>
      </c>
      <c r="H239" s="1173"/>
      <c r="I239" s="1174"/>
      <c r="J239" s="1176"/>
      <c r="K239" s="1063"/>
      <c r="L239" s="1179"/>
      <c r="M239" s="1065"/>
    </row>
    <row r="240" spans="1:13" ht="54" customHeight="1">
      <c r="A240" s="1169"/>
      <c r="B240" s="1172"/>
      <c r="C240" s="589" t="s">
        <v>7</v>
      </c>
      <c r="D240" s="575">
        <v>0</v>
      </c>
      <c r="E240" s="576">
        <v>0</v>
      </c>
      <c r="F240" s="576">
        <v>0</v>
      </c>
      <c r="G240" s="588">
        <f t="shared" si="15"/>
        <v>0</v>
      </c>
      <c r="H240" s="1173"/>
      <c r="I240" s="1174"/>
      <c r="J240" s="1177"/>
      <c r="K240" s="1063"/>
      <c r="L240" s="1180"/>
      <c r="M240" s="1066"/>
    </row>
    <row r="241" spans="1:13" ht="44.25" customHeight="1">
      <c r="A241" s="1167" t="s">
        <v>62</v>
      </c>
      <c r="B241" s="1170" t="s">
        <v>563</v>
      </c>
      <c r="C241" s="510" t="s">
        <v>3</v>
      </c>
      <c r="D241" s="575">
        <f>SUM(D242:D245)</f>
        <v>92170</v>
      </c>
      <c r="E241" s="576">
        <f>SUM(E242:E245)</f>
        <v>92170</v>
      </c>
      <c r="F241" s="576">
        <f>SUM(F242:F245)</f>
        <v>92170</v>
      </c>
      <c r="G241" s="588">
        <f t="shared" si="15"/>
        <v>1</v>
      </c>
      <c r="H241" s="1173" t="s">
        <v>133</v>
      </c>
      <c r="I241" s="1174" t="s">
        <v>681</v>
      </c>
      <c r="J241" s="1175" t="s">
        <v>177</v>
      </c>
      <c r="K241" s="1063" t="s">
        <v>134</v>
      </c>
      <c r="L241" s="1061" t="s">
        <v>820</v>
      </c>
      <c r="M241" s="1064">
        <v>807</v>
      </c>
    </row>
    <row r="242" spans="1:13" ht="39" customHeight="1">
      <c r="A242" s="1168"/>
      <c r="B242" s="1171"/>
      <c r="C242" s="510" t="s">
        <v>4</v>
      </c>
      <c r="D242" s="575">
        <f>'[3]912-ПП'!F874</f>
        <v>92170</v>
      </c>
      <c r="E242" s="576">
        <f>92170000/1000</f>
        <v>92170</v>
      </c>
      <c r="F242" s="576">
        <f>92170000/1000</f>
        <v>92170</v>
      </c>
      <c r="G242" s="588">
        <f t="shared" si="15"/>
        <v>1</v>
      </c>
      <c r="H242" s="1173"/>
      <c r="I242" s="1174"/>
      <c r="J242" s="1176"/>
      <c r="K242" s="1063"/>
      <c r="L242" s="1062"/>
      <c r="M242" s="1065"/>
    </row>
    <row r="243" spans="1:13" ht="45" customHeight="1">
      <c r="A243" s="1168"/>
      <c r="B243" s="1171"/>
      <c r="C243" s="510" t="s">
        <v>5</v>
      </c>
      <c r="D243" s="575">
        <v>0</v>
      </c>
      <c r="E243" s="576">
        <v>0</v>
      </c>
      <c r="F243" s="576">
        <v>0</v>
      </c>
      <c r="G243" s="588">
        <f t="shared" si="15"/>
        <v>0</v>
      </c>
      <c r="H243" s="1173"/>
      <c r="I243" s="1174"/>
      <c r="J243" s="1176"/>
      <c r="K243" s="1063"/>
      <c r="L243" s="1062"/>
      <c r="M243" s="1065"/>
    </row>
    <row r="244" spans="1:13" ht="39" customHeight="1">
      <c r="A244" s="1168"/>
      <c r="B244" s="1171"/>
      <c r="C244" s="510" t="s">
        <v>6</v>
      </c>
      <c r="D244" s="575">
        <v>0</v>
      </c>
      <c r="E244" s="576">
        <v>0</v>
      </c>
      <c r="F244" s="576">
        <v>0</v>
      </c>
      <c r="G244" s="588">
        <f t="shared" si="15"/>
        <v>0</v>
      </c>
      <c r="H244" s="1173"/>
      <c r="I244" s="1174"/>
      <c r="J244" s="1176"/>
      <c r="K244" s="1063"/>
      <c r="L244" s="1062"/>
      <c r="M244" s="1065"/>
    </row>
    <row r="245" spans="1:13" ht="42" customHeight="1">
      <c r="A245" s="1169"/>
      <c r="B245" s="1172"/>
      <c r="C245" s="589" t="s">
        <v>7</v>
      </c>
      <c r="D245" s="575">
        <v>0</v>
      </c>
      <c r="E245" s="576">
        <v>0</v>
      </c>
      <c r="F245" s="576">
        <v>0</v>
      </c>
      <c r="G245" s="588">
        <f t="shared" si="15"/>
        <v>0</v>
      </c>
      <c r="H245" s="1173"/>
      <c r="I245" s="1174"/>
      <c r="J245" s="1177"/>
      <c r="K245" s="1063"/>
      <c r="L245" s="1182"/>
      <c r="M245" s="1066"/>
    </row>
    <row r="246" spans="1:13" ht="34.5" customHeight="1">
      <c r="A246" s="1167" t="s">
        <v>56</v>
      </c>
      <c r="B246" s="1170" t="s">
        <v>566</v>
      </c>
      <c r="C246" s="510" t="s">
        <v>3</v>
      </c>
      <c r="D246" s="575">
        <f>SUM(D247:D250)</f>
        <v>259876.5</v>
      </c>
      <c r="E246" s="576">
        <f>SUM(E247:E250)</f>
        <v>259876.5</v>
      </c>
      <c r="F246" s="576">
        <f>SUM(F247:F250)</f>
        <v>259876.5</v>
      </c>
      <c r="G246" s="588">
        <f t="shared" si="15"/>
        <v>1</v>
      </c>
      <c r="H246" s="1173" t="s">
        <v>133</v>
      </c>
      <c r="I246" s="1143" t="s">
        <v>1052</v>
      </c>
      <c r="J246" s="1175" t="s">
        <v>177</v>
      </c>
      <c r="K246" s="1061" t="s">
        <v>132</v>
      </c>
      <c r="L246" s="1061" t="s">
        <v>820</v>
      </c>
      <c r="M246" s="1064">
        <v>807</v>
      </c>
    </row>
    <row r="247" spans="1:13" ht="34.5" customHeight="1">
      <c r="A247" s="1168"/>
      <c r="B247" s="1171"/>
      <c r="C247" s="510" t="s">
        <v>4</v>
      </c>
      <c r="D247" s="575">
        <f>'[3]912-ПП'!F881</f>
        <v>75364.2</v>
      </c>
      <c r="E247" s="576">
        <v>75364.2</v>
      </c>
      <c r="F247" s="576">
        <v>75364.2</v>
      </c>
      <c r="G247" s="588">
        <f t="shared" si="15"/>
        <v>1</v>
      </c>
      <c r="H247" s="1173"/>
      <c r="I247" s="1144"/>
      <c r="J247" s="1176"/>
      <c r="K247" s="1062"/>
      <c r="L247" s="1062"/>
      <c r="M247" s="1065"/>
    </row>
    <row r="248" spans="1:13" ht="31.5" customHeight="1">
      <c r="A248" s="1168"/>
      <c r="B248" s="1171"/>
      <c r="C248" s="510" t="s">
        <v>5</v>
      </c>
      <c r="D248" s="575">
        <f>'[3]912-ПП'!G881</f>
        <v>184512.3</v>
      </c>
      <c r="E248" s="576">
        <v>184512.3</v>
      </c>
      <c r="F248" s="576">
        <v>184512.3</v>
      </c>
      <c r="G248" s="588">
        <f t="shared" si="15"/>
        <v>1</v>
      </c>
      <c r="H248" s="1173"/>
      <c r="I248" s="1144"/>
      <c r="J248" s="1176"/>
      <c r="K248" s="1062"/>
      <c r="L248" s="1062"/>
      <c r="M248" s="1065"/>
    </row>
    <row r="249" spans="1:13" ht="42" customHeight="1">
      <c r="A249" s="1168"/>
      <c r="B249" s="1171"/>
      <c r="C249" s="510" t="s">
        <v>6</v>
      </c>
      <c r="D249" s="575">
        <v>0</v>
      </c>
      <c r="E249" s="576">
        <v>0</v>
      </c>
      <c r="F249" s="576">
        <v>0</v>
      </c>
      <c r="G249" s="588">
        <f t="shared" si="15"/>
        <v>0</v>
      </c>
      <c r="H249" s="1173"/>
      <c r="I249" s="1144"/>
      <c r="J249" s="1176"/>
      <c r="K249" s="1062"/>
      <c r="L249" s="1062"/>
      <c r="M249" s="1065"/>
    </row>
    <row r="250" spans="1:13" ht="23.25" customHeight="1">
      <c r="A250" s="1169"/>
      <c r="B250" s="1172"/>
      <c r="C250" s="589" t="s">
        <v>7</v>
      </c>
      <c r="D250" s="575">
        <v>0</v>
      </c>
      <c r="E250" s="576">
        <v>0</v>
      </c>
      <c r="F250" s="576">
        <v>0</v>
      </c>
      <c r="G250" s="588">
        <f t="shared" si="15"/>
        <v>0</v>
      </c>
      <c r="H250" s="1173"/>
      <c r="I250" s="1145"/>
      <c r="J250" s="1177"/>
      <c r="K250" s="1182"/>
      <c r="L250" s="1182"/>
      <c r="M250" s="1066"/>
    </row>
    <row r="251" spans="1:13" s="10" customFormat="1" ht="23.25" hidden="1" customHeight="1">
      <c r="A251" s="686" t="s">
        <v>567</v>
      </c>
      <c r="B251" s="685" t="s">
        <v>568</v>
      </c>
      <c r="C251" s="549" t="s">
        <v>3</v>
      </c>
      <c r="D251" s="158">
        <f>SUM(D252:D255)</f>
        <v>80355</v>
      </c>
      <c r="E251" s="159">
        <f>SUM(E252:E255)</f>
        <v>80354.95</v>
      </c>
      <c r="F251" s="159">
        <f>SUM(F252:F255)</f>
        <v>80354.95</v>
      </c>
      <c r="G251" s="160">
        <f t="shared" si="15"/>
        <v>0.99999937776118475</v>
      </c>
      <c r="H251" s="688" t="s">
        <v>614</v>
      </c>
      <c r="I251" s="527" t="s">
        <v>45</v>
      </c>
      <c r="J251" s="528">
        <f>SUM(J252:J254)</f>
        <v>3</v>
      </c>
      <c r="K251" s="678"/>
      <c r="L251" s="678"/>
      <c r="M251" s="1181">
        <v>807</v>
      </c>
    </row>
    <row r="252" spans="1:13" s="10" customFormat="1" ht="23.25" hidden="1" customHeight="1">
      <c r="A252" s="686"/>
      <c r="B252" s="685"/>
      <c r="C252" s="549" t="s">
        <v>4</v>
      </c>
      <c r="D252" s="158">
        <f>SUM(D257,D262,)</f>
        <v>79551.453999999998</v>
      </c>
      <c r="E252" s="159">
        <f>SUM(E257,E262,)</f>
        <v>79551.45</v>
      </c>
      <c r="F252" s="159">
        <f>SUM(F257,F262,)</f>
        <v>79551.45</v>
      </c>
      <c r="G252" s="160">
        <f t="shared" si="15"/>
        <v>0.99999994971807804</v>
      </c>
      <c r="H252" s="689"/>
      <c r="I252" s="527" t="s">
        <v>46</v>
      </c>
      <c r="J252" s="528">
        <f>COUNTIF($J$256:$J$265,"Да")</f>
        <v>2</v>
      </c>
      <c r="K252" s="678"/>
      <c r="L252" s="678"/>
      <c r="M252" s="680"/>
    </row>
    <row r="253" spans="1:13" s="10" customFormat="1" ht="23.25" hidden="1" customHeight="1">
      <c r="A253" s="686"/>
      <c r="B253" s="685"/>
      <c r="C253" s="549" t="s">
        <v>5</v>
      </c>
      <c r="D253" s="158">
        <f>SUM(D258,D263,)</f>
        <v>0</v>
      </c>
      <c r="E253" s="159">
        <f>SUM(E258,E263,)</f>
        <v>0</v>
      </c>
      <c r="F253" s="159">
        <f>SUM(F258,F263,F268)</f>
        <v>0</v>
      </c>
      <c r="G253" s="160">
        <f t="shared" si="15"/>
        <v>0</v>
      </c>
      <c r="H253" s="689"/>
      <c r="I253" s="527" t="s">
        <v>47</v>
      </c>
      <c r="J253" s="528">
        <f>COUNTIF($J$236:$J$250,"Частично")</f>
        <v>1</v>
      </c>
      <c r="K253" s="678"/>
      <c r="L253" s="678"/>
      <c r="M253" s="680"/>
    </row>
    <row r="254" spans="1:13" s="10" customFormat="1" ht="23.25" hidden="1" customHeight="1">
      <c r="A254" s="686"/>
      <c r="B254" s="685"/>
      <c r="C254" s="549" t="s">
        <v>6</v>
      </c>
      <c r="D254" s="158">
        <f>SUM(D259,D264,)</f>
        <v>803.54600000000005</v>
      </c>
      <c r="E254" s="159">
        <v>803.5</v>
      </c>
      <c r="F254" s="159">
        <v>803.5</v>
      </c>
      <c r="G254" s="160">
        <f t="shared" si="15"/>
        <v>0.99994275374402952</v>
      </c>
      <c r="H254" s="689"/>
      <c r="I254" s="527" t="s">
        <v>48</v>
      </c>
      <c r="J254" s="528">
        <f>COUNTIF($J$256:$J$265,"Нет")</f>
        <v>0</v>
      </c>
      <c r="K254" s="678"/>
      <c r="L254" s="678"/>
      <c r="M254" s="680"/>
    </row>
    <row r="255" spans="1:13" s="10" customFormat="1" ht="23.25" hidden="1" customHeight="1">
      <c r="A255" s="686"/>
      <c r="B255" s="685"/>
      <c r="C255" s="590" t="s">
        <v>7</v>
      </c>
      <c r="D255" s="158">
        <f>SUM(D260,D265,D270)</f>
        <v>0</v>
      </c>
      <c r="E255" s="159">
        <f>SUM(E260,E265,E270)</f>
        <v>0</v>
      </c>
      <c r="F255" s="159">
        <f>SUM(F260,F265,F270)</f>
        <v>0</v>
      </c>
      <c r="G255" s="160">
        <f t="shared" si="15"/>
        <v>0</v>
      </c>
      <c r="H255" s="690"/>
      <c r="I255" s="527" t="s">
        <v>49</v>
      </c>
      <c r="J255" s="552">
        <f>(J252+0.5*J253)/J251</f>
        <v>0.83333333333333337</v>
      </c>
      <c r="K255" s="678"/>
      <c r="L255" s="678"/>
      <c r="M255" s="681"/>
    </row>
    <row r="256" spans="1:13" ht="23.25" hidden="1" customHeight="1">
      <c r="A256" s="660" t="s">
        <v>571</v>
      </c>
      <c r="B256" s="682" t="s">
        <v>572</v>
      </c>
      <c r="C256" s="541" t="s">
        <v>3</v>
      </c>
      <c r="D256" s="203">
        <f>SUM(D257:D260)</f>
        <v>59324.6</v>
      </c>
      <c r="E256" s="204">
        <f>SUM(E257:E260)</f>
        <v>59328.182000000001</v>
      </c>
      <c r="F256" s="204">
        <f>SUM(F257:F260)</f>
        <v>59328.182000000001</v>
      </c>
      <c r="G256" s="207">
        <f t="shared" si="15"/>
        <v>1.0000603796738621</v>
      </c>
      <c r="H256" s="663" t="s">
        <v>573</v>
      </c>
      <c r="I256" s="666" t="s">
        <v>682</v>
      </c>
      <c r="J256" s="669" t="s">
        <v>177</v>
      </c>
      <c r="K256" s="672" t="s">
        <v>650</v>
      </c>
      <c r="L256" s="1041"/>
      <c r="M256" s="1043">
        <v>807</v>
      </c>
    </row>
    <row r="257" spans="1:13" ht="23.25" hidden="1" customHeight="1">
      <c r="A257" s="661"/>
      <c r="B257" s="683"/>
      <c r="C257" s="541" t="s">
        <v>4</v>
      </c>
      <c r="D257" s="203">
        <f>'[2]334-ПП'!F879</f>
        <v>58731.353999999999</v>
      </c>
      <c r="E257" s="204">
        <f>58731354/1000</f>
        <v>58731.353999999999</v>
      </c>
      <c r="F257" s="204">
        <f>58731354/1000</f>
        <v>58731.353999999999</v>
      </c>
      <c r="G257" s="207">
        <f t="shared" si="15"/>
        <v>1</v>
      </c>
      <c r="H257" s="664"/>
      <c r="I257" s="667"/>
      <c r="J257" s="670"/>
      <c r="K257" s="673"/>
      <c r="L257" s="803"/>
      <c r="M257" s="706"/>
    </row>
    <row r="258" spans="1:13" ht="23.25" hidden="1" customHeight="1">
      <c r="A258" s="661"/>
      <c r="B258" s="683"/>
      <c r="C258" s="541" t="s">
        <v>5</v>
      </c>
      <c r="D258" s="203">
        <v>0</v>
      </c>
      <c r="E258" s="204">
        <v>0</v>
      </c>
      <c r="F258" s="204">
        <v>0</v>
      </c>
      <c r="G258" s="207">
        <f t="shared" si="15"/>
        <v>0</v>
      </c>
      <c r="H258" s="664"/>
      <c r="I258" s="667"/>
      <c r="J258" s="670"/>
      <c r="K258" s="673"/>
      <c r="L258" s="803"/>
      <c r="M258" s="706"/>
    </row>
    <row r="259" spans="1:13" ht="23.25" hidden="1" customHeight="1">
      <c r="A259" s="661"/>
      <c r="B259" s="683"/>
      <c r="C259" s="541" t="s">
        <v>6</v>
      </c>
      <c r="D259" s="203">
        <f>'[2]334-ПП'!H879</f>
        <v>593.24599999999998</v>
      </c>
      <c r="E259" s="204">
        <f>596828/1000</f>
        <v>596.82799999999997</v>
      </c>
      <c r="F259" s="204">
        <f>596828/1000</f>
        <v>596.82799999999997</v>
      </c>
      <c r="G259" s="207">
        <f t="shared" si="15"/>
        <v>1.0060379673862108</v>
      </c>
      <c r="H259" s="664"/>
      <c r="I259" s="667"/>
      <c r="J259" s="670"/>
      <c r="K259" s="673"/>
      <c r="L259" s="803"/>
      <c r="M259" s="706"/>
    </row>
    <row r="260" spans="1:13" ht="23.25" hidden="1" customHeight="1">
      <c r="A260" s="662"/>
      <c r="B260" s="684"/>
      <c r="C260" s="582" t="s">
        <v>7</v>
      </c>
      <c r="D260" s="203">
        <v>0</v>
      </c>
      <c r="E260" s="204">
        <v>0</v>
      </c>
      <c r="F260" s="204">
        <v>0</v>
      </c>
      <c r="G260" s="207">
        <f t="shared" si="15"/>
        <v>0</v>
      </c>
      <c r="H260" s="665"/>
      <c r="I260" s="668"/>
      <c r="J260" s="671"/>
      <c r="K260" s="674"/>
      <c r="L260" s="813"/>
      <c r="M260" s="707"/>
    </row>
    <row r="261" spans="1:13" ht="23.25" hidden="1" customHeight="1">
      <c r="A261" s="687" t="s">
        <v>575</v>
      </c>
      <c r="B261" s="659" t="s">
        <v>576</v>
      </c>
      <c r="C261" s="541" t="s">
        <v>3</v>
      </c>
      <c r="D261" s="203">
        <f>SUM(D262:D265)</f>
        <v>21030.399999999998</v>
      </c>
      <c r="E261" s="204">
        <f>SUM(E262:E265)</f>
        <v>21030.405000000002</v>
      </c>
      <c r="F261" s="204">
        <f>SUM(F262:F265)</f>
        <v>21030.405000000002</v>
      </c>
      <c r="G261" s="207">
        <f t="shared" si="15"/>
        <v>1.0000002377510653</v>
      </c>
      <c r="H261" s="663" t="s">
        <v>573</v>
      </c>
      <c r="I261" s="666" t="s">
        <v>683</v>
      </c>
      <c r="J261" s="669" t="s">
        <v>177</v>
      </c>
      <c r="K261" s="672" t="s">
        <v>650</v>
      </c>
      <c r="L261" s="1041"/>
      <c r="M261" s="1043">
        <v>807</v>
      </c>
    </row>
    <row r="262" spans="1:13" ht="23.25" hidden="1" customHeight="1">
      <c r="A262" s="687"/>
      <c r="B262" s="659"/>
      <c r="C262" s="541" t="s">
        <v>4</v>
      </c>
      <c r="D262" s="203">
        <f>'[2]334-ПП'!F886</f>
        <v>20820.099999999999</v>
      </c>
      <c r="E262" s="204">
        <f>20820096/1000</f>
        <v>20820.096000000001</v>
      </c>
      <c r="F262" s="204">
        <f>E262</f>
        <v>20820.096000000001</v>
      </c>
      <c r="G262" s="207">
        <f t="shared" si="15"/>
        <v>0.99999980787796416</v>
      </c>
      <c r="H262" s="664"/>
      <c r="I262" s="667"/>
      <c r="J262" s="670"/>
      <c r="K262" s="673"/>
      <c r="L262" s="803"/>
      <c r="M262" s="706"/>
    </row>
    <row r="263" spans="1:13" ht="23.25" hidden="1" customHeight="1">
      <c r="A263" s="687"/>
      <c r="B263" s="659"/>
      <c r="C263" s="541" t="s">
        <v>5</v>
      </c>
      <c r="D263" s="203">
        <v>0</v>
      </c>
      <c r="E263" s="204">
        <v>0</v>
      </c>
      <c r="F263" s="204">
        <f>E263</f>
        <v>0</v>
      </c>
      <c r="G263" s="207">
        <f t="shared" si="15"/>
        <v>0</v>
      </c>
      <c r="H263" s="664"/>
      <c r="I263" s="667"/>
      <c r="J263" s="670"/>
      <c r="K263" s="673"/>
      <c r="L263" s="803"/>
      <c r="M263" s="706"/>
    </row>
    <row r="264" spans="1:13" ht="23.25" hidden="1" customHeight="1">
      <c r="A264" s="687"/>
      <c r="B264" s="659"/>
      <c r="C264" s="541" t="s">
        <v>6</v>
      </c>
      <c r="D264" s="203">
        <f>'[2]334-ПП'!H886</f>
        <v>210.3</v>
      </c>
      <c r="E264" s="204">
        <f>210309/1000</f>
        <v>210.309</v>
      </c>
      <c r="F264" s="204">
        <f>E264</f>
        <v>210.309</v>
      </c>
      <c r="G264" s="207">
        <f t="shared" si="15"/>
        <v>1.0000427960057061</v>
      </c>
      <c r="H264" s="664"/>
      <c r="I264" s="667"/>
      <c r="J264" s="670"/>
      <c r="K264" s="673"/>
      <c r="L264" s="803"/>
      <c r="M264" s="706"/>
    </row>
    <row r="265" spans="1:13" ht="23.25" hidden="1" customHeight="1">
      <c r="A265" s="687"/>
      <c r="B265" s="659"/>
      <c r="C265" s="582" t="s">
        <v>7</v>
      </c>
      <c r="D265" s="203">
        <v>0</v>
      </c>
      <c r="E265" s="204">
        <v>0</v>
      </c>
      <c r="F265" s="204">
        <v>0</v>
      </c>
      <c r="G265" s="207">
        <f t="shared" si="15"/>
        <v>0</v>
      </c>
      <c r="H265" s="665"/>
      <c r="I265" s="668"/>
      <c r="J265" s="671"/>
      <c r="K265" s="674"/>
      <c r="L265" s="813"/>
      <c r="M265" s="707"/>
    </row>
    <row r="266" spans="1:13" s="10" customFormat="1" hidden="1">
      <c r="A266" s="1094" t="s">
        <v>100</v>
      </c>
      <c r="B266" s="1133" t="s">
        <v>55</v>
      </c>
      <c r="C266" s="549" t="s">
        <v>3</v>
      </c>
      <c r="D266" s="550">
        <f>SUM(D267:D270)</f>
        <v>218560.5</v>
      </c>
      <c r="E266" s="550" t="e">
        <f>SUM(E267:E270)</f>
        <v>#REF!</v>
      </c>
      <c r="F266" s="550" t="e">
        <f>SUM(F267:F270)</f>
        <v>#REF!</v>
      </c>
      <c r="G266" s="160">
        <f t="shared" si="15"/>
        <v>0</v>
      </c>
      <c r="H266" s="1096" t="s">
        <v>81</v>
      </c>
      <c r="I266" s="527" t="s">
        <v>45</v>
      </c>
      <c r="J266" s="591">
        <f>SUM(J267:J269)</f>
        <v>2</v>
      </c>
      <c r="K266" s="929" t="s">
        <v>70</v>
      </c>
      <c r="L266" s="929"/>
      <c r="M266" s="1070" t="s">
        <v>35</v>
      </c>
    </row>
    <row r="267" spans="1:13" s="10" customFormat="1" hidden="1">
      <c r="A267" s="729"/>
      <c r="B267" s="878"/>
      <c r="C267" s="549" t="s">
        <v>4</v>
      </c>
      <c r="D267" s="592">
        <f t="shared" ref="D267:F268" si="17">SUM(D272,D277)</f>
        <v>207848.1</v>
      </c>
      <c r="E267" s="592" t="e">
        <f t="shared" si="17"/>
        <v>#REF!</v>
      </c>
      <c r="F267" s="592" t="e">
        <f t="shared" si="17"/>
        <v>#REF!</v>
      </c>
      <c r="G267" s="160">
        <f t="shared" si="15"/>
        <v>0</v>
      </c>
      <c r="H267" s="735"/>
      <c r="I267" s="527" t="s">
        <v>46</v>
      </c>
      <c r="J267" s="593">
        <f>COUNTIF($J$271:$J$280,"Да")</f>
        <v>1</v>
      </c>
      <c r="K267" s="762"/>
      <c r="L267" s="762"/>
      <c r="M267" s="764"/>
    </row>
    <row r="268" spans="1:13" s="10" customFormat="1" hidden="1">
      <c r="A268" s="729"/>
      <c r="B268" s="878"/>
      <c r="C268" s="549" t="s">
        <v>5</v>
      </c>
      <c r="D268" s="592">
        <f t="shared" si="17"/>
        <v>0</v>
      </c>
      <c r="E268" s="57">
        <f t="shared" si="17"/>
        <v>0</v>
      </c>
      <c r="F268" s="57">
        <f t="shared" si="17"/>
        <v>0</v>
      </c>
      <c r="G268" s="160">
        <f t="shared" si="15"/>
        <v>0</v>
      </c>
      <c r="H268" s="735"/>
      <c r="I268" s="527" t="s">
        <v>47</v>
      </c>
      <c r="J268" s="593">
        <f>COUNTIF($J$271:$J$280,"Частично")</f>
        <v>1</v>
      </c>
      <c r="K268" s="762"/>
      <c r="L268" s="762"/>
      <c r="M268" s="764"/>
    </row>
    <row r="269" spans="1:13" s="10" customFormat="1" hidden="1">
      <c r="A269" s="729"/>
      <c r="B269" s="878"/>
      <c r="C269" s="549" t="s">
        <v>6</v>
      </c>
      <c r="D269" s="592">
        <f>SUM(D279,D274)</f>
        <v>10712.4</v>
      </c>
      <c r="E269" s="592">
        <f>SUM(E274,E279)</f>
        <v>10712.5</v>
      </c>
      <c r="F269" s="592">
        <f>SUM(F279,F274)</f>
        <v>23094.359789999999</v>
      </c>
      <c r="G269" s="160">
        <f t="shared" si="15"/>
        <v>2.155853010529853</v>
      </c>
      <c r="H269" s="735"/>
      <c r="I269" s="527" t="s">
        <v>48</v>
      </c>
      <c r="J269" s="593">
        <f>COUNTIF($J$271:$J$280,"Нет")</f>
        <v>0</v>
      </c>
      <c r="K269" s="762"/>
      <c r="L269" s="762"/>
      <c r="M269" s="764"/>
    </row>
    <row r="270" spans="1:13" s="10" customFormat="1" hidden="1">
      <c r="A270" s="730"/>
      <c r="B270" s="879"/>
      <c r="C270" s="590" t="s">
        <v>7</v>
      </c>
      <c r="D270" s="592">
        <v>0</v>
      </c>
      <c r="E270" s="592">
        <f>SUM(E275,E280)</f>
        <v>0</v>
      </c>
      <c r="F270" s="592">
        <f>SUM(F275,F280)</f>
        <v>0</v>
      </c>
      <c r="G270" s="160">
        <f t="shared" si="15"/>
        <v>0</v>
      </c>
      <c r="H270" s="736"/>
      <c r="I270" s="527" t="s">
        <v>49</v>
      </c>
      <c r="J270" s="565">
        <f>(J267+0.5*J268)/J266</f>
        <v>0.75</v>
      </c>
      <c r="K270" s="762"/>
      <c r="L270" s="771"/>
      <c r="M270" s="834"/>
    </row>
    <row r="271" spans="1:13" ht="15" hidden="1" customHeight="1">
      <c r="A271" s="1044" t="s">
        <v>101</v>
      </c>
      <c r="B271" s="1105" t="s">
        <v>44</v>
      </c>
      <c r="C271" s="535" t="s">
        <v>3</v>
      </c>
      <c r="D271" s="594">
        <f>SUM(D272:D275)</f>
        <v>4312.5</v>
      </c>
      <c r="E271" s="540" t="e">
        <f>SUM(E272:E275)</f>
        <v>#REF!</v>
      </c>
      <c r="F271" s="540" t="e">
        <f>SUM(F272:F275)</f>
        <v>#REF!</v>
      </c>
      <c r="G271" s="207">
        <f t="shared" si="15"/>
        <v>0</v>
      </c>
      <c r="H271" s="1045" t="s">
        <v>615</v>
      </c>
      <c r="I271" s="672" t="s">
        <v>679</v>
      </c>
      <c r="J271" s="669" t="s">
        <v>177</v>
      </c>
      <c r="K271" s="672" t="s">
        <v>65</v>
      </c>
      <c r="L271" s="1076"/>
      <c r="M271" s="1043">
        <v>823</v>
      </c>
    </row>
    <row r="272" spans="1:13" ht="15" hidden="1" customHeight="1">
      <c r="A272" s="711"/>
      <c r="B272" s="741"/>
      <c r="C272" s="535" t="s">
        <v>4</v>
      </c>
      <c r="D272" s="556">
        <f>'[2]334-ПП'!F900</f>
        <v>4312.5</v>
      </c>
      <c r="E272" s="543" t="e">
        <f>#REF!</f>
        <v>#REF!</v>
      </c>
      <c r="F272" s="543" t="e">
        <f>E272</f>
        <v>#REF!</v>
      </c>
      <c r="G272" s="207">
        <f t="shared" si="15"/>
        <v>0</v>
      </c>
      <c r="H272" s="817"/>
      <c r="I272" s="673"/>
      <c r="J272" s="670"/>
      <c r="K272" s="673"/>
      <c r="L272" s="1077"/>
      <c r="M272" s="706"/>
    </row>
    <row r="273" spans="1:13" ht="15" hidden="1" customHeight="1">
      <c r="A273" s="711"/>
      <c r="B273" s="741"/>
      <c r="C273" s="535" t="s">
        <v>5</v>
      </c>
      <c r="D273" s="595">
        <v>0</v>
      </c>
      <c r="E273" s="543">
        <v>0</v>
      </c>
      <c r="F273" s="543">
        <v>0</v>
      </c>
      <c r="G273" s="207">
        <f t="shared" si="15"/>
        <v>0</v>
      </c>
      <c r="H273" s="817"/>
      <c r="I273" s="673"/>
      <c r="J273" s="670"/>
      <c r="K273" s="673"/>
      <c r="L273" s="1077"/>
      <c r="M273" s="706"/>
    </row>
    <row r="274" spans="1:13" ht="15" hidden="1" customHeight="1">
      <c r="A274" s="711"/>
      <c r="B274" s="741"/>
      <c r="C274" s="535" t="s">
        <v>6</v>
      </c>
      <c r="D274" s="556">
        <v>0</v>
      </c>
      <c r="E274" s="542">
        <v>0</v>
      </c>
      <c r="F274" s="542">
        <v>0</v>
      </c>
      <c r="G274" s="207">
        <f t="shared" si="15"/>
        <v>0</v>
      </c>
      <c r="H274" s="817"/>
      <c r="I274" s="673"/>
      <c r="J274" s="670"/>
      <c r="K274" s="673"/>
      <c r="L274" s="1077"/>
      <c r="M274" s="706"/>
    </row>
    <row r="275" spans="1:13" ht="15" hidden="1" customHeight="1">
      <c r="A275" s="712"/>
      <c r="B275" s="742"/>
      <c r="C275" s="596" t="s">
        <v>7</v>
      </c>
      <c r="D275" s="211">
        <v>0</v>
      </c>
      <c r="E275" s="542">
        <v>0</v>
      </c>
      <c r="F275" s="542">
        <v>0</v>
      </c>
      <c r="G275" s="207">
        <f t="shared" si="15"/>
        <v>0</v>
      </c>
      <c r="H275" s="876"/>
      <c r="I275" s="674"/>
      <c r="J275" s="671"/>
      <c r="K275" s="673"/>
      <c r="L275" s="1078"/>
      <c r="M275" s="707"/>
    </row>
    <row r="276" spans="1:13" ht="15.75" customHeight="1">
      <c r="A276" s="1170" t="s">
        <v>102</v>
      </c>
      <c r="B276" s="1170" t="s">
        <v>131</v>
      </c>
      <c r="C276" s="236" t="s">
        <v>3</v>
      </c>
      <c r="D276" s="597">
        <f>SUM(D277:D280)</f>
        <v>214248</v>
      </c>
      <c r="E276" s="597">
        <f>SUM(E277:E280)</f>
        <v>214248.1</v>
      </c>
      <c r="F276" s="597">
        <f>SUM(F277:F280)</f>
        <v>140096.95397</v>
      </c>
      <c r="G276" s="588">
        <f t="shared" si="15"/>
        <v>0.65390087174676081</v>
      </c>
      <c r="H276" s="1186" t="s">
        <v>680</v>
      </c>
      <c r="I276" s="1143" t="s">
        <v>1053</v>
      </c>
      <c r="J276" s="1146" t="s">
        <v>178</v>
      </c>
      <c r="K276" s="1063" t="s">
        <v>93</v>
      </c>
      <c r="L276" s="1191" t="s">
        <v>1054</v>
      </c>
      <c r="M276" s="1064">
        <v>807</v>
      </c>
    </row>
    <row r="277" spans="1:13" ht="15.75" customHeight="1">
      <c r="A277" s="1171"/>
      <c r="B277" s="1171"/>
      <c r="C277" s="236" t="s">
        <v>4</v>
      </c>
      <c r="D277" s="598">
        <f>'[2]334-ПП'!F921</f>
        <v>203535.6</v>
      </c>
      <c r="E277" s="599">
        <v>203535.6</v>
      </c>
      <c r="F277" s="599">
        <v>117002.59418</v>
      </c>
      <c r="G277" s="588">
        <f t="shared" si="15"/>
        <v>0.57485075917922956</v>
      </c>
      <c r="H277" s="1187"/>
      <c r="I277" s="1189"/>
      <c r="J277" s="1144"/>
      <c r="K277" s="1063"/>
      <c r="L277" s="1192"/>
      <c r="M277" s="1065"/>
    </row>
    <row r="278" spans="1:13" ht="15.75" customHeight="1">
      <c r="A278" s="1171"/>
      <c r="B278" s="1171"/>
      <c r="C278" s="236" t="s">
        <v>5</v>
      </c>
      <c r="D278" s="598">
        <v>0</v>
      </c>
      <c r="E278" s="599">
        <v>0</v>
      </c>
      <c r="F278" s="599">
        <v>0</v>
      </c>
      <c r="G278" s="588">
        <f t="shared" si="15"/>
        <v>0</v>
      </c>
      <c r="H278" s="1187"/>
      <c r="I278" s="1189"/>
      <c r="J278" s="1144"/>
      <c r="K278" s="1063"/>
      <c r="L278" s="1192"/>
      <c r="M278" s="1065"/>
    </row>
    <row r="279" spans="1:13" ht="15.75" customHeight="1">
      <c r="A279" s="1171"/>
      <c r="B279" s="1171"/>
      <c r="C279" s="236" t="s">
        <v>6</v>
      </c>
      <c r="D279" s="598">
        <f>'[2]334-ПП'!H921</f>
        <v>10712.4</v>
      </c>
      <c r="E279" s="599">
        <v>10712.5</v>
      </c>
      <c r="F279" s="599">
        <v>23094.359789999999</v>
      </c>
      <c r="G279" s="588">
        <f t="shared" si="15"/>
        <v>2.155853010529853</v>
      </c>
      <c r="H279" s="1187"/>
      <c r="I279" s="1189"/>
      <c r="J279" s="1144"/>
      <c r="K279" s="1063"/>
      <c r="L279" s="1192"/>
      <c r="M279" s="1065"/>
    </row>
    <row r="280" spans="1:13" ht="15.75" customHeight="1">
      <c r="A280" s="1172"/>
      <c r="B280" s="1172"/>
      <c r="C280" s="600" t="s">
        <v>7</v>
      </c>
      <c r="D280" s="599">
        <v>0</v>
      </c>
      <c r="E280" s="599">
        <v>0</v>
      </c>
      <c r="F280" s="599">
        <v>0</v>
      </c>
      <c r="G280" s="588">
        <f t="shared" si="15"/>
        <v>0</v>
      </c>
      <c r="H280" s="1188"/>
      <c r="I280" s="1190"/>
      <c r="J280" s="1145"/>
      <c r="K280" s="1063"/>
      <c r="L280" s="1193"/>
      <c r="M280" s="1066"/>
    </row>
    <row r="281" spans="1:13" s="10" customFormat="1" hidden="1">
      <c r="A281" s="1183" t="s">
        <v>20</v>
      </c>
      <c r="B281" s="1128" t="s">
        <v>21</v>
      </c>
      <c r="C281" s="553" t="s">
        <v>3</v>
      </c>
      <c r="D281" s="601">
        <f>SUM(D282:D285)</f>
        <v>56948.595869999997</v>
      </c>
      <c r="E281" s="518" t="e">
        <f>SUM(E282:E285)</f>
        <v>#REF!</v>
      </c>
      <c r="F281" s="518" t="e">
        <f>SUM(F282:F285)</f>
        <v>#REF!</v>
      </c>
      <c r="G281" s="569">
        <f t="shared" si="15"/>
        <v>0</v>
      </c>
      <c r="H281" s="1184"/>
      <c r="I281" s="602" t="s">
        <v>45</v>
      </c>
      <c r="J281" s="603">
        <f>J286</f>
        <v>1</v>
      </c>
      <c r="K281" s="1185" t="s">
        <v>65</v>
      </c>
      <c r="L281" s="1104"/>
      <c r="M281" s="1075">
        <v>823</v>
      </c>
    </row>
    <row r="282" spans="1:13" s="10" customFormat="1" hidden="1">
      <c r="A282" s="890"/>
      <c r="B282" s="900"/>
      <c r="C282" s="553" t="s">
        <v>4</v>
      </c>
      <c r="D282" s="604">
        <f>D287</f>
        <v>56948.595869999997</v>
      </c>
      <c r="E282" s="605" t="e">
        <f>E287</f>
        <v>#REF!</v>
      </c>
      <c r="F282" s="605" t="e">
        <f>F287</f>
        <v>#REF!</v>
      </c>
      <c r="G282" s="569">
        <f t="shared" si="15"/>
        <v>0</v>
      </c>
      <c r="H282" s="894"/>
      <c r="I282" s="602" t="s">
        <v>46</v>
      </c>
      <c r="J282" s="606">
        <f>J287</f>
        <v>0</v>
      </c>
      <c r="K282" s="903"/>
      <c r="L282" s="752"/>
      <c r="M282" s="823"/>
    </row>
    <row r="283" spans="1:13" s="10" customFormat="1" hidden="1">
      <c r="A283" s="890"/>
      <c r="B283" s="900"/>
      <c r="C283" s="553" t="s">
        <v>5</v>
      </c>
      <c r="D283" s="604">
        <v>0</v>
      </c>
      <c r="E283" s="604">
        <v>0</v>
      </c>
      <c r="F283" s="604">
        <v>0</v>
      </c>
      <c r="G283" s="569">
        <f t="shared" si="15"/>
        <v>0</v>
      </c>
      <c r="H283" s="894"/>
      <c r="I283" s="602" t="s">
        <v>47</v>
      </c>
      <c r="J283" s="606">
        <f t="shared" ref="J283:J284" si="18">J288</f>
        <v>1</v>
      </c>
      <c r="K283" s="903"/>
      <c r="L283" s="752"/>
      <c r="M283" s="823"/>
    </row>
    <row r="284" spans="1:13" s="10" customFormat="1" hidden="1">
      <c r="A284" s="890"/>
      <c r="B284" s="900"/>
      <c r="C284" s="553" t="s">
        <v>6</v>
      </c>
      <c r="D284" s="604">
        <v>0</v>
      </c>
      <c r="E284" s="604">
        <v>0</v>
      </c>
      <c r="F284" s="604">
        <v>0</v>
      </c>
      <c r="G284" s="569">
        <f t="shared" si="15"/>
        <v>0</v>
      </c>
      <c r="H284" s="894"/>
      <c r="I284" s="602" t="s">
        <v>48</v>
      </c>
      <c r="J284" s="606">
        <f t="shared" si="18"/>
        <v>0</v>
      </c>
      <c r="K284" s="903"/>
      <c r="L284" s="752"/>
      <c r="M284" s="823"/>
    </row>
    <row r="285" spans="1:13" s="10" customFormat="1" hidden="1">
      <c r="A285" s="891"/>
      <c r="B285" s="901"/>
      <c r="C285" s="553" t="s">
        <v>7</v>
      </c>
      <c r="D285" s="604">
        <v>0</v>
      </c>
      <c r="E285" s="604">
        <v>0</v>
      </c>
      <c r="F285" s="604">
        <v>0</v>
      </c>
      <c r="G285" s="569">
        <f t="shared" si="15"/>
        <v>0</v>
      </c>
      <c r="H285" s="895"/>
      <c r="I285" s="602" t="s">
        <v>49</v>
      </c>
      <c r="J285" s="607">
        <f>(J282+0.5*J283)/J281</f>
        <v>0.5</v>
      </c>
      <c r="K285" s="904"/>
      <c r="L285" s="905"/>
      <c r="M285" s="892"/>
    </row>
    <row r="286" spans="1:13" s="10" customFormat="1" ht="21" hidden="1" customHeight="1">
      <c r="A286" s="1133" t="s">
        <v>22</v>
      </c>
      <c r="B286" s="1095" t="s">
        <v>59</v>
      </c>
      <c r="C286" s="608" t="s">
        <v>3</v>
      </c>
      <c r="D286" s="550">
        <f>SUM(D287:D290)</f>
        <v>56948.595869999997</v>
      </c>
      <c r="E286" s="609" t="e">
        <f>SUM(E287:E290)</f>
        <v>#REF!</v>
      </c>
      <c r="F286" s="609" t="e">
        <f>SUM(F287:F290)</f>
        <v>#REF!</v>
      </c>
      <c r="G286" s="165">
        <f t="shared" si="15"/>
        <v>0</v>
      </c>
      <c r="H286" s="1194"/>
      <c r="I286" s="527" t="s">
        <v>45</v>
      </c>
      <c r="J286" s="564">
        <f>SUM(J287:J289)</f>
        <v>1</v>
      </c>
      <c r="K286" s="929" t="s">
        <v>65</v>
      </c>
      <c r="L286" s="929"/>
      <c r="M286" s="1070">
        <v>823</v>
      </c>
    </row>
    <row r="287" spans="1:13" s="10" customFormat="1" hidden="1">
      <c r="A287" s="878"/>
      <c r="B287" s="732"/>
      <c r="C287" s="549" t="s">
        <v>4</v>
      </c>
      <c r="D287" s="562">
        <f>D292</f>
        <v>56948.595869999997</v>
      </c>
      <c r="E287" s="609" t="e">
        <f>E292</f>
        <v>#REF!</v>
      </c>
      <c r="F287" s="609" t="e">
        <f>F292</f>
        <v>#REF!</v>
      </c>
      <c r="G287" s="165">
        <f t="shared" si="15"/>
        <v>0</v>
      </c>
      <c r="H287" s="887"/>
      <c r="I287" s="527" t="s">
        <v>46</v>
      </c>
      <c r="J287" s="593">
        <f>COUNTIF($J$291,"Да")</f>
        <v>0</v>
      </c>
      <c r="K287" s="762"/>
      <c r="L287" s="762"/>
      <c r="M287" s="764"/>
    </row>
    <row r="288" spans="1:13" s="10" customFormat="1" hidden="1">
      <c r="A288" s="878"/>
      <c r="B288" s="732"/>
      <c r="C288" s="549" t="s">
        <v>5</v>
      </c>
      <c r="D288" s="562">
        <v>0</v>
      </c>
      <c r="E288" s="562">
        <v>0</v>
      </c>
      <c r="F288" s="562">
        <v>0</v>
      </c>
      <c r="G288" s="165">
        <f t="shared" si="15"/>
        <v>0</v>
      </c>
      <c r="H288" s="887"/>
      <c r="I288" s="527" t="s">
        <v>47</v>
      </c>
      <c r="J288" s="593">
        <f>COUNTIF($J$291,"Частично")</f>
        <v>1</v>
      </c>
      <c r="K288" s="762"/>
      <c r="L288" s="762"/>
      <c r="M288" s="764"/>
    </row>
    <row r="289" spans="1:13" s="10" customFormat="1" hidden="1">
      <c r="A289" s="878"/>
      <c r="B289" s="732"/>
      <c r="C289" s="549" t="s">
        <v>6</v>
      </c>
      <c r="D289" s="562">
        <v>0</v>
      </c>
      <c r="E289" s="562">
        <v>0</v>
      </c>
      <c r="F289" s="562">
        <v>0</v>
      </c>
      <c r="G289" s="165">
        <f t="shared" si="15"/>
        <v>0</v>
      </c>
      <c r="H289" s="887"/>
      <c r="I289" s="527" t="s">
        <v>48</v>
      </c>
      <c r="J289" s="593">
        <f>COUNTIF($J$291,"Нет")</f>
        <v>0</v>
      </c>
      <c r="K289" s="762"/>
      <c r="L289" s="762"/>
      <c r="M289" s="764"/>
    </row>
    <row r="290" spans="1:13" s="10" customFormat="1" hidden="1">
      <c r="A290" s="879"/>
      <c r="B290" s="733"/>
      <c r="C290" s="549" t="s">
        <v>7</v>
      </c>
      <c r="D290" s="562">
        <v>0</v>
      </c>
      <c r="E290" s="562">
        <v>0</v>
      </c>
      <c r="F290" s="562">
        <v>0</v>
      </c>
      <c r="G290" s="165">
        <f t="shared" si="15"/>
        <v>0</v>
      </c>
      <c r="H290" s="888"/>
      <c r="I290" s="527" t="s">
        <v>49</v>
      </c>
      <c r="J290" s="565">
        <f>(J287+0.5*J288)/J286</f>
        <v>0.5</v>
      </c>
      <c r="K290" s="771"/>
      <c r="L290" s="771"/>
      <c r="M290" s="834"/>
    </row>
    <row r="291" spans="1:13" ht="15" hidden="1" customHeight="1">
      <c r="A291" s="1105" t="s">
        <v>23</v>
      </c>
      <c r="B291" s="1079" t="s">
        <v>86</v>
      </c>
      <c r="C291" s="535" t="s">
        <v>3</v>
      </c>
      <c r="D291" s="540">
        <f>SUM(D292:D295)</f>
        <v>56948.595869999997</v>
      </c>
      <c r="E291" s="559" t="e">
        <f>SUM(E292:E295)</f>
        <v>#REF!</v>
      </c>
      <c r="F291" s="559" t="e">
        <f>SUM(F292:F295)</f>
        <v>#REF!</v>
      </c>
      <c r="G291" s="205">
        <f t="shared" si="15"/>
        <v>0</v>
      </c>
      <c r="H291" s="1083" t="s">
        <v>85</v>
      </c>
      <c r="I291" s="1087" t="s">
        <v>224</v>
      </c>
      <c r="J291" s="1082" t="s">
        <v>178</v>
      </c>
      <c r="K291" s="672" t="s">
        <v>69</v>
      </c>
      <c r="L291" s="1122" t="s">
        <v>225</v>
      </c>
      <c r="M291" s="1043">
        <v>823</v>
      </c>
    </row>
    <row r="292" spans="1:13" ht="15" hidden="1" customHeight="1">
      <c r="A292" s="741"/>
      <c r="B292" s="866"/>
      <c r="C292" s="535" t="s">
        <v>4</v>
      </c>
      <c r="D292" s="543">
        <f>'[2]334-ПП'!F942</f>
        <v>56948.595869999997</v>
      </c>
      <c r="E292" s="559" t="e">
        <f>#REF!</f>
        <v>#REF!</v>
      </c>
      <c r="F292" s="559" t="e">
        <f>E292</f>
        <v>#REF!</v>
      </c>
      <c r="G292" s="205">
        <f t="shared" si="15"/>
        <v>0</v>
      </c>
      <c r="H292" s="773"/>
      <c r="I292" s="702"/>
      <c r="J292" s="667"/>
      <c r="K292" s="673"/>
      <c r="L292" s="1123"/>
      <c r="M292" s="706"/>
    </row>
    <row r="293" spans="1:13" ht="15" hidden="1" customHeight="1">
      <c r="A293" s="741"/>
      <c r="B293" s="866"/>
      <c r="C293" s="535" t="s">
        <v>5</v>
      </c>
      <c r="D293" s="543">
        <v>0</v>
      </c>
      <c r="E293" s="542">
        <v>0</v>
      </c>
      <c r="F293" s="542">
        <v>0</v>
      </c>
      <c r="G293" s="205">
        <f t="shared" si="15"/>
        <v>0</v>
      </c>
      <c r="H293" s="773"/>
      <c r="I293" s="702"/>
      <c r="J293" s="667"/>
      <c r="K293" s="673"/>
      <c r="L293" s="1123"/>
      <c r="M293" s="706"/>
    </row>
    <row r="294" spans="1:13" ht="15" hidden="1" customHeight="1">
      <c r="A294" s="741"/>
      <c r="B294" s="866"/>
      <c r="C294" s="535" t="s">
        <v>6</v>
      </c>
      <c r="D294" s="543">
        <v>0</v>
      </c>
      <c r="E294" s="542">
        <v>0</v>
      </c>
      <c r="F294" s="542">
        <v>0</v>
      </c>
      <c r="G294" s="205">
        <f t="shared" si="15"/>
        <v>0</v>
      </c>
      <c r="H294" s="773"/>
      <c r="I294" s="702"/>
      <c r="J294" s="667"/>
      <c r="K294" s="673"/>
      <c r="L294" s="1123"/>
      <c r="M294" s="706"/>
    </row>
    <row r="295" spans="1:13" ht="15" hidden="1" customHeight="1">
      <c r="A295" s="742"/>
      <c r="B295" s="867"/>
      <c r="C295" s="535" t="s">
        <v>7</v>
      </c>
      <c r="D295" s="543">
        <v>0</v>
      </c>
      <c r="E295" s="542">
        <v>0</v>
      </c>
      <c r="F295" s="542">
        <v>0</v>
      </c>
      <c r="G295" s="205">
        <f t="shared" si="15"/>
        <v>0</v>
      </c>
      <c r="H295" s="774"/>
      <c r="I295" s="703"/>
      <c r="J295" s="668"/>
      <c r="K295" s="674"/>
      <c r="L295" s="1124"/>
      <c r="M295" s="707"/>
    </row>
    <row r="296" spans="1:13" s="3" customFormat="1">
      <c r="A296" s="1"/>
      <c r="B296" s="8"/>
      <c r="C296" s="5"/>
      <c r="D296" s="29"/>
      <c r="E296" s="9"/>
      <c r="F296" s="30"/>
      <c r="G296" s="31"/>
      <c r="H296" s="16"/>
      <c r="I296" s="69"/>
      <c r="J296" s="70"/>
      <c r="K296" s="71"/>
      <c r="L296" s="71"/>
      <c r="M296" s="5"/>
    </row>
    <row r="297" spans="1:13" s="3" customFormat="1">
      <c r="A297" s="1"/>
      <c r="B297" s="8"/>
      <c r="C297" s="5"/>
      <c r="D297" s="29"/>
      <c r="E297" s="9"/>
      <c r="F297" s="30"/>
      <c r="G297" s="31"/>
      <c r="H297" s="16"/>
      <c r="I297" s="69"/>
      <c r="J297" s="70"/>
      <c r="K297" s="71"/>
      <c r="L297" s="71"/>
      <c r="M297" s="5"/>
    </row>
    <row r="298" spans="1:13" s="3" customFormat="1">
      <c r="A298" s="1"/>
      <c r="B298" s="8"/>
      <c r="C298" s="5"/>
      <c r="D298" s="29"/>
      <c r="E298" s="9"/>
      <c r="F298" s="30"/>
      <c r="G298" s="31"/>
      <c r="H298" s="16"/>
      <c r="I298" s="69"/>
      <c r="J298" s="70"/>
      <c r="K298" s="71"/>
      <c r="L298" s="71"/>
      <c r="M298" s="5"/>
    </row>
    <row r="299" spans="1:13" s="3" customFormat="1">
      <c r="A299" s="1"/>
      <c r="B299" s="8"/>
      <c r="C299" s="5"/>
      <c r="D299" s="29"/>
      <c r="E299" s="9"/>
      <c r="F299" s="30"/>
      <c r="G299" s="31"/>
      <c r="H299" s="16"/>
      <c r="I299" s="69"/>
      <c r="J299" s="70"/>
      <c r="K299" s="71"/>
      <c r="L299" s="71"/>
      <c r="M299" s="5"/>
    </row>
    <row r="300" spans="1:13" s="3" customFormat="1">
      <c r="A300" s="1"/>
      <c r="B300" s="8"/>
      <c r="C300" s="5"/>
      <c r="D300" s="29"/>
      <c r="E300" s="9"/>
      <c r="F300" s="30"/>
      <c r="G300" s="31"/>
      <c r="H300" s="16"/>
      <c r="I300" s="69"/>
      <c r="J300" s="70"/>
      <c r="K300" s="71"/>
      <c r="L300" s="71"/>
      <c r="M300" s="5"/>
    </row>
    <row r="301" spans="1:13" s="3" customFormat="1">
      <c r="A301" s="1"/>
      <c r="B301" s="8"/>
      <c r="C301" s="5"/>
      <c r="D301" s="29"/>
      <c r="E301" s="9"/>
      <c r="F301" s="30"/>
      <c r="G301" s="31"/>
      <c r="H301" s="16"/>
      <c r="I301" s="69"/>
      <c r="J301" s="70"/>
      <c r="K301" s="71"/>
      <c r="L301" s="71"/>
      <c r="M301" s="5"/>
    </row>
    <row r="302" spans="1:13" s="3" customFormat="1">
      <c r="A302" s="1"/>
      <c r="B302" s="8"/>
      <c r="C302" s="5"/>
      <c r="D302" s="29"/>
      <c r="E302" s="9"/>
      <c r="F302" s="30"/>
      <c r="G302" s="31"/>
      <c r="H302" s="16"/>
      <c r="I302" s="69"/>
      <c r="J302" s="70"/>
      <c r="K302" s="71"/>
      <c r="L302" s="71"/>
      <c r="M302" s="5"/>
    </row>
    <row r="303" spans="1:13" s="3" customFormat="1">
      <c r="A303" s="1"/>
      <c r="B303" s="8"/>
      <c r="C303" s="5"/>
      <c r="D303" s="29"/>
      <c r="E303" s="9"/>
      <c r="F303" s="30"/>
      <c r="G303" s="31"/>
      <c r="H303" s="16"/>
      <c r="I303" s="69"/>
      <c r="J303" s="70"/>
      <c r="K303" s="71"/>
      <c r="L303" s="71"/>
      <c r="M303" s="5"/>
    </row>
    <row r="304" spans="1:13" s="3" customFormat="1">
      <c r="A304" s="1"/>
      <c r="B304" s="8"/>
      <c r="C304" s="5"/>
      <c r="D304" s="29"/>
      <c r="E304" s="9"/>
      <c r="F304" s="30"/>
      <c r="G304" s="31"/>
      <c r="H304" s="16"/>
      <c r="I304" s="69"/>
      <c r="J304" s="70"/>
      <c r="K304" s="71"/>
      <c r="L304" s="71"/>
      <c r="M304" s="5"/>
    </row>
    <row r="305" spans="1:13" s="3" customFormat="1">
      <c r="A305" s="1"/>
      <c r="B305" s="8"/>
      <c r="C305" s="5"/>
      <c r="D305" s="29"/>
      <c r="E305" s="9"/>
      <c r="F305" s="30"/>
      <c r="G305" s="31"/>
      <c r="H305" s="16"/>
      <c r="I305" s="69"/>
      <c r="J305" s="70"/>
      <c r="K305" s="71"/>
      <c r="L305" s="71"/>
      <c r="M305" s="5"/>
    </row>
    <row r="306" spans="1:13" s="3" customFormat="1">
      <c r="A306" s="1"/>
      <c r="B306" s="8"/>
      <c r="C306" s="5"/>
      <c r="D306" s="29"/>
      <c r="E306" s="9"/>
      <c r="F306" s="30"/>
      <c r="G306" s="31"/>
      <c r="H306" s="16"/>
      <c r="I306" s="69"/>
      <c r="J306" s="70"/>
      <c r="K306" s="71"/>
      <c r="L306" s="71"/>
      <c r="M306" s="5"/>
    </row>
    <row r="307" spans="1:13" s="3" customFormat="1">
      <c r="A307" s="1"/>
      <c r="B307" s="8"/>
      <c r="C307" s="5"/>
      <c r="D307" s="29"/>
      <c r="E307" s="9"/>
      <c r="F307" s="30"/>
      <c r="G307" s="31"/>
      <c r="H307" s="16"/>
      <c r="I307" s="69"/>
      <c r="J307" s="70"/>
      <c r="K307" s="71"/>
      <c r="L307" s="71"/>
      <c r="M307" s="5"/>
    </row>
    <row r="308" spans="1:13" s="3" customFormat="1">
      <c r="A308" s="1"/>
      <c r="B308" s="8"/>
      <c r="C308" s="5"/>
      <c r="D308" s="29"/>
      <c r="E308" s="9"/>
      <c r="F308" s="30"/>
      <c r="G308" s="31"/>
      <c r="H308" s="16"/>
      <c r="I308" s="69"/>
      <c r="J308" s="70"/>
      <c r="K308" s="71"/>
      <c r="L308" s="71"/>
      <c r="M308" s="5"/>
    </row>
    <row r="309" spans="1:13" s="3" customFormat="1">
      <c r="A309" s="1"/>
      <c r="B309" s="8"/>
      <c r="C309" s="5"/>
      <c r="D309" s="29"/>
      <c r="E309" s="9"/>
      <c r="F309" s="30"/>
      <c r="G309" s="31"/>
      <c r="H309" s="16"/>
      <c r="I309" s="69"/>
      <c r="J309" s="70"/>
      <c r="K309" s="71"/>
      <c r="L309" s="71"/>
      <c r="M309" s="5"/>
    </row>
    <row r="310" spans="1:13" s="3" customFormat="1">
      <c r="A310" s="1"/>
      <c r="B310" s="8"/>
      <c r="C310" s="5"/>
      <c r="D310" s="29"/>
      <c r="E310" s="9"/>
      <c r="F310" s="30"/>
      <c r="G310" s="31"/>
      <c r="H310" s="16"/>
      <c r="I310" s="69"/>
      <c r="J310" s="70"/>
      <c r="K310" s="71"/>
      <c r="L310" s="71"/>
      <c r="M310" s="5"/>
    </row>
    <row r="311" spans="1:13" s="3" customFormat="1">
      <c r="A311" s="1"/>
      <c r="B311" s="8"/>
      <c r="C311" s="5"/>
      <c r="D311" s="29"/>
      <c r="E311" s="9"/>
      <c r="F311" s="30"/>
      <c r="G311" s="31"/>
      <c r="H311" s="16"/>
      <c r="I311" s="69"/>
      <c r="J311" s="70"/>
      <c r="K311" s="71"/>
      <c r="L311" s="71"/>
      <c r="M311" s="5"/>
    </row>
    <row r="312" spans="1:13" s="3" customFormat="1">
      <c r="A312" s="1"/>
      <c r="B312" s="8"/>
      <c r="C312" s="5"/>
      <c r="D312" s="29"/>
      <c r="E312" s="9"/>
      <c r="F312" s="30"/>
      <c r="G312" s="31"/>
      <c r="H312" s="16"/>
      <c r="I312" s="69"/>
      <c r="J312" s="70"/>
      <c r="K312" s="71"/>
      <c r="L312" s="71"/>
      <c r="M312" s="5"/>
    </row>
    <row r="313" spans="1:13" s="3" customFormat="1">
      <c r="A313" s="1"/>
      <c r="B313" s="8"/>
      <c r="C313" s="5"/>
      <c r="D313" s="29"/>
      <c r="E313" s="9"/>
      <c r="F313" s="30"/>
      <c r="G313" s="31"/>
      <c r="H313" s="16"/>
      <c r="I313" s="69"/>
      <c r="J313" s="70"/>
      <c r="K313" s="71"/>
      <c r="L313" s="71"/>
      <c r="M313" s="5"/>
    </row>
    <row r="314" spans="1:13" s="3" customFormat="1">
      <c r="A314" s="1"/>
      <c r="B314" s="8"/>
      <c r="C314" s="5"/>
      <c r="D314" s="29"/>
      <c r="E314" s="9"/>
      <c r="F314" s="30"/>
      <c r="G314" s="31"/>
      <c r="H314" s="16"/>
      <c r="I314" s="69"/>
      <c r="J314" s="70"/>
      <c r="K314" s="71"/>
      <c r="L314" s="71"/>
      <c r="M314" s="5"/>
    </row>
    <row r="315" spans="1:13" s="3" customFormat="1">
      <c r="A315" s="1"/>
      <c r="B315" s="8"/>
      <c r="C315" s="5"/>
      <c r="D315" s="29"/>
      <c r="E315" s="9"/>
      <c r="F315" s="30"/>
      <c r="G315" s="31"/>
      <c r="H315" s="16"/>
      <c r="I315" s="69"/>
      <c r="J315" s="70"/>
      <c r="K315" s="71"/>
      <c r="L315" s="71"/>
      <c r="M315" s="5"/>
    </row>
    <row r="316" spans="1:13" s="3" customFormat="1">
      <c r="A316" s="1"/>
      <c r="B316" s="8"/>
      <c r="C316" s="5"/>
      <c r="D316" s="29"/>
      <c r="E316" s="9"/>
      <c r="F316" s="30"/>
      <c r="G316" s="31"/>
      <c r="H316" s="16"/>
      <c r="I316" s="69"/>
      <c r="J316" s="70"/>
      <c r="K316" s="71"/>
      <c r="L316" s="71"/>
      <c r="M316" s="5"/>
    </row>
    <row r="317" spans="1:13" s="3" customFormat="1">
      <c r="A317" s="1"/>
      <c r="B317" s="8"/>
      <c r="C317" s="5"/>
      <c r="D317" s="29"/>
      <c r="E317" s="9"/>
      <c r="F317" s="30"/>
      <c r="G317" s="31"/>
      <c r="H317" s="16"/>
      <c r="I317" s="69"/>
      <c r="J317" s="70"/>
      <c r="K317" s="71"/>
      <c r="L317" s="71"/>
      <c r="M317" s="5"/>
    </row>
    <row r="318" spans="1:13" s="3" customFormat="1">
      <c r="A318" s="1"/>
      <c r="B318" s="8"/>
      <c r="C318" s="5"/>
      <c r="D318" s="29"/>
      <c r="E318" s="9"/>
      <c r="F318" s="30"/>
      <c r="G318" s="31"/>
      <c r="H318" s="16"/>
      <c r="I318" s="69"/>
      <c r="J318" s="70"/>
      <c r="K318" s="71"/>
      <c r="L318" s="71"/>
      <c r="M318" s="5"/>
    </row>
    <row r="319" spans="1:13" s="3" customFormat="1">
      <c r="A319" s="1"/>
      <c r="B319" s="8"/>
      <c r="C319" s="5"/>
      <c r="D319" s="29"/>
      <c r="E319" s="9"/>
      <c r="F319" s="30"/>
      <c r="G319" s="31"/>
      <c r="H319" s="16"/>
      <c r="I319" s="69"/>
      <c r="J319" s="70"/>
      <c r="K319" s="71"/>
      <c r="L319" s="71"/>
      <c r="M319" s="5"/>
    </row>
    <row r="320" spans="1:13" s="3" customFormat="1">
      <c r="A320" s="1"/>
      <c r="B320" s="8"/>
      <c r="C320" s="5"/>
      <c r="D320" s="29"/>
      <c r="E320" s="9"/>
      <c r="F320" s="30"/>
      <c r="G320" s="31"/>
      <c r="H320" s="16"/>
      <c r="I320" s="69"/>
      <c r="J320" s="70"/>
      <c r="K320" s="71"/>
      <c r="L320" s="71"/>
      <c r="M320" s="5"/>
    </row>
    <row r="321" spans="1:13" s="3" customFormat="1">
      <c r="A321" s="1"/>
      <c r="B321" s="8"/>
      <c r="C321" s="5"/>
      <c r="D321" s="29"/>
      <c r="E321" s="9"/>
      <c r="F321" s="30"/>
      <c r="G321" s="31"/>
      <c r="H321" s="16"/>
      <c r="I321" s="69"/>
      <c r="J321" s="70"/>
      <c r="K321" s="71"/>
      <c r="L321" s="71"/>
      <c r="M321" s="5"/>
    </row>
    <row r="322" spans="1:13" s="3" customFormat="1">
      <c r="A322" s="1"/>
      <c r="B322" s="8"/>
      <c r="C322" s="5"/>
      <c r="D322" s="29"/>
      <c r="E322" s="9"/>
      <c r="F322" s="30"/>
      <c r="G322" s="31"/>
      <c r="H322" s="16"/>
      <c r="I322" s="69"/>
      <c r="J322" s="70"/>
      <c r="K322" s="71"/>
      <c r="L322" s="71"/>
      <c r="M322" s="5"/>
    </row>
    <row r="323" spans="1:13" s="3" customFormat="1">
      <c r="A323" s="1"/>
      <c r="B323" s="8"/>
      <c r="C323" s="5"/>
      <c r="D323" s="29"/>
      <c r="E323" s="9"/>
      <c r="F323" s="30"/>
      <c r="G323" s="31"/>
      <c r="H323" s="16"/>
      <c r="I323" s="69"/>
      <c r="J323" s="70"/>
      <c r="K323" s="71"/>
      <c r="L323" s="71"/>
      <c r="M323" s="5"/>
    </row>
    <row r="324" spans="1:13" s="3" customFormat="1">
      <c r="A324" s="1"/>
      <c r="B324" s="8"/>
      <c r="C324" s="5"/>
      <c r="D324" s="29"/>
      <c r="E324" s="9"/>
      <c r="F324" s="30"/>
      <c r="G324" s="31"/>
      <c r="H324" s="16"/>
      <c r="I324" s="69"/>
      <c r="J324" s="70"/>
      <c r="K324" s="71"/>
      <c r="L324" s="71"/>
      <c r="M324" s="5"/>
    </row>
    <row r="325" spans="1:13" s="3" customFormat="1">
      <c r="A325" s="1"/>
      <c r="B325" s="8"/>
      <c r="C325" s="5"/>
      <c r="D325" s="29"/>
      <c r="E325" s="9"/>
      <c r="F325" s="30"/>
      <c r="G325" s="31"/>
      <c r="H325" s="16"/>
      <c r="I325" s="69"/>
      <c r="J325" s="70"/>
      <c r="K325" s="71"/>
      <c r="L325" s="71"/>
      <c r="M325" s="5"/>
    </row>
    <row r="326" spans="1:13" s="3" customFormat="1">
      <c r="A326" s="1"/>
      <c r="B326" s="8"/>
      <c r="C326" s="5"/>
      <c r="D326" s="29"/>
      <c r="E326" s="9"/>
      <c r="F326" s="30"/>
      <c r="G326" s="31"/>
      <c r="H326" s="16"/>
      <c r="I326" s="69"/>
      <c r="J326" s="70"/>
      <c r="K326" s="71"/>
      <c r="L326" s="71"/>
      <c r="M326" s="5"/>
    </row>
    <row r="327" spans="1:13" s="3" customFormat="1">
      <c r="A327" s="1"/>
      <c r="B327" s="8"/>
      <c r="C327" s="5"/>
      <c r="D327" s="29"/>
      <c r="E327" s="9"/>
      <c r="F327" s="30"/>
      <c r="G327" s="31"/>
      <c r="H327" s="16"/>
      <c r="I327" s="69"/>
      <c r="J327" s="70"/>
      <c r="K327" s="71"/>
      <c r="L327" s="71"/>
      <c r="M327" s="5"/>
    </row>
    <row r="328" spans="1:13" s="3" customFormat="1">
      <c r="A328" s="1"/>
      <c r="B328" s="8"/>
      <c r="C328" s="5"/>
      <c r="D328" s="29"/>
      <c r="E328" s="9"/>
      <c r="F328" s="30"/>
      <c r="G328" s="31"/>
      <c r="H328" s="16"/>
      <c r="I328" s="69"/>
      <c r="J328" s="70"/>
      <c r="K328" s="71"/>
      <c r="L328" s="71"/>
      <c r="M328" s="5"/>
    </row>
    <row r="329" spans="1:13" s="3" customFormat="1">
      <c r="A329" s="1"/>
      <c r="B329" s="8"/>
      <c r="C329" s="5"/>
      <c r="D329" s="29"/>
      <c r="E329" s="9"/>
      <c r="F329" s="30"/>
      <c r="G329" s="31"/>
      <c r="H329" s="16"/>
      <c r="I329" s="69"/>
      <c r="J329" s="70"/>
      <c r="K329" s="71"/>
      <c r="L329" s="71"/>
      <c r="M329" s="5"/>
    </row>
    <row r="330" spans="1:13" s="3" customFormat="1">
      <c r="A330" s="1"/>
      <c r="B330" s="8"/>
      <c r="C330" s="5"/>
      <c r="D330" s="29"/>
      <c r="E330" s="9"/>
      <c r="F330" s="30"/>
      <c r="G330" s="31"/>
      <c r="H330" s="16"/>
      <c r="I330" s="69"/>
      <c r="J330" s="70"/>
      <c r="K330" s="71"/>
      <c r="L330" s="71"/>
      <c r="M330" s="5"/>
    </row>
    <row r="331" spans="1:13" s="3" customFormat="1">
      <c r="A331" s="1"/>
      <c r="B331" s="8"/>
      <c r="C331" s="5"/>
      <c r="D331" s="29"/>
      <c r="E331" s="9"/>
      <c r="F331" s="30"/>
      <c r="G331" s="31"/>
      <c r="H331" s="16"/>
      <c r="I331" s="69"/>
      <c r="J331" s="70"/>
      <c r="K331" s="71"/>
      <c r="L331" s="71"/>
      <c r="M331" s="5"/>
    </row>
    <row r="332" spans="1:13" s="3" customFormat="1">
      <c r="A332" s="1"/>
      <c r="B332" s="8"/>
      <c r="C332" s="5"/>
      <c r="D332" s="29"/>
      <c r="E332" s="9"/>
      <c r="F332" s="30"/>
      <c r="G332" s="31"/>
      <c r="H332" s="16"/>
      <c r="I332" s="69"/>
      <c r="J332" s="70"/>
      <c r="K332" s="71"/>
      <c r="L332" s="71"/>
      <c r="M332" s="5"/>
    </row>
    <row r="333" spans="1:13" s="3" customFormat="1">
      <c r="A333" s="1"/>
      <c r="B333" s="8"/>
      <c r="C333" s="5"/>
      <c r="D333" s="12"/>
      <c r="E333" s="9"/>
      <c r="F333" s="9"/>
      <c r="G333" s="5"/>
      <c r="H333" s="16"/>
      <c r="I333" s="69"/>
      <c r="J333" s="70"/>
      <c r="K333" s="71"/>
      <c r="L333" s="71"/>
      <c r="M333" s="5"/>
    </row>
    <row r="334" spans="1:13" s="3" customFormat="1">
      <c r="A334" s="1"/>
      <c r="B334" s="8"/>
      <c r="C334" s="5"/>
      <c r="D334" s="12"/>
      <c r="E334" s="9"/>
      <c r="F334" s="9"/>
      <c r="G334" s="5"/>
      <c r="H334" s="16"/>
      <c r="I334" s="69"/>
      <c r="J334" s="70"/>
      <c r="K334" s="71"/>
      <c r="L334" s="71"/>
      <c r="M334" s="5"/>
    </row>
    <row r="335" spans="1:13" s="3" customFormat="1">
      <c r="A335" s="1"/>
      <c r="B335" s="8"/>
      <c r="C335" s="5"/>
      <c r="D335" s="12"/>
      <c r="E335" s="9"/>
      <c r="F335" s="9"/>
      <c r="G335" s="5"/>
      <c r="H335" s="16"/>
      <c r="I335" s="69"/>
      <c r="J335" s="70"/>
      <c r="K335" s="71"/>
      <c r="L335" s="71"/>
      <c r="M335" s="5"/>
    </row>
    <row r="336" spans="1:13" s="3" customFormat="1">
      <c r="A336" s="1"/>
      <c r="B336" s="8"/>
      <c r="C336" s="5"/>
      <c r="D336" s="12"/>
      <c r="E336" s="9"/>
      <c r="F336" s="9"/>
      <c r="G336" s="5"/>
      <c r="H336" s="16"/>
      <c r="I336" s="69"/>
      <c r="J336" s="70"/>
      <c r="K336" s="71"/>
      <c r="L336" s="71"/>
      <c r="M336" s="5"/>
    </row>
    <row r="337" spans="1:13" s="3" customFormat="1">
      <c r="A337" s="1"/>
      <c r="B337" s="8"/>
      <c r="C337" s="5"/>
      <c r="D337" s="12"/>
      <c r="E337" s="9"/>
      <c r="F337" s="9"/>
      <c r="G337" s="5"/>
      <c r="H337" s="16"/>
      <c r="I337" s="69"/>
      <c r="J337" s="70"/>
      <c r="K337" s="71"/>
      <c r="L337" s="71"/>
      <c r="M337" s="5"/>
    </row>
    <row r="338" spans="1:13" s="3" customFormat="1">
      <c r="A338" s="1"/>
      <c r="B338" s="8"/>
      <c r="C338" s="5"/>
      <c r="D338" s="12"/>
      <c r="E338" s="9"/>
      <c r="F338" s="9"/>
      <c r="G338" s="5"/>
      <c r="H338" s="16"/>
      <c r="I338" s="69"/>
      <c r="J338" s="70"/>
      <c r="K338" s="71"/>
      <c r="L338" s="71"/>
      <c r="M338" s="5"/>
    </row>
    <row r="339" spans="1:13" s="3" customFormat="1">
      <c r="A339" s="1"/>
      <c r="B339" s="8"/>
      <c r="C339" s="5"/>
      <c r="D339" s="12"/>
      <c r="E339" s="9"/>
      <c r="F339" s="9"/>
      <c r="G339" s="5"/>
      <c r="H339" s="16"/>
      <c r="I339" s="69"/>
      <c r="J339" s="70"/>
      <c r="K339" s="71"/>
      <c r="L339" s="71"/>
      <c r="M339" s="5"/>
    </row>
    <row r="340" spans="1:13" s="3" customFormat="1">
      <c r="A340" s="1"/>
      <c r="B340" s="8"/>
      <c r="C340" s="5"/>
      <c r="D340" s="12"/>
      <c r="E340" s="9"/>
      <c r="F340" s="9"/>
      <c r="G340" s="5"/>
      <c r="H340" s="16"/>
      <c r="I340" s="69"/>
      <c r="J340" s="70"/>
      <c r="K340" s="71"/>
      <c r="L340" s="71"/>
      <c r="M340" s="5"/>
    </row>
    <row r="341" spans="1:13" s="3" customFormat="1">
      <c r="A341" s="1"/>
      <c r="B341" s="8"/>
      <c r="C341" s="5"/>
      <c r="D341" s="12"/>
      <c r="E341" s="9"/>
      <c r="F341" s="9"/>
      <c r="G341" s="5"/>
      <c r="H341" s="16"/>
      <c r="I341" s="69"/>
      <c r="J341" s="70"/>
      <c r="K341" s="71"/>
      <c r="L341" s="71"/>
      <c r="M341" s="5"/>
    </row>
    <row r="342" spans="1:13" s="3" customFormat="1">
      <c r="A342" s="1"/>
      <c r="B342" s="8"/>
      <c r="C342" s="5"/>
      <c r="D342" s="12"/>
      <c r="E342" s="9"/>
      <c r="F342" s="9"/>
      <c r="G342" s="5"/>
      <c r="H342" s="16"/>
      <c r="I342" s="69"/>
      <c r="J342" s="70"/>
      <c r="K342" s="71"/>
      <c r="L342" s="71"/>
      <c r="M342" s="5"/>
    </row>
    <row r="343" spans="1:13" s="3" customFormat="1">
      <c r="A343" s="1"/>
      <c r="B343" s="8"/>
      <c r="C343" s="5"/>
      <c r="D343" s="12"/>
      <c r="E343" s="9"/>
      <c r="F343" s="9"/>
      <c r="G343" s="5"/>
      <c r="H343" s="16"/>
      <c r="I343" s="69"/>
      <c r="J343" s="70"/>
      <c r="K343" s="71"/>
      <c r="L343" s="71"/>
      <c r="M343" s="5"/>
    </row>
    <row r="344" spans="1:13" s="3" customFormat="1">
      <c r="A344" s="1"/>
      <c r="B344" s="8"/>
      <c r="C344" s="5"/>
      <c r="D344" s="12"/>
      <c r="E344" s="9"/>
      <c r="F344" s="9"/>
      <c r="G344" s="5"/>
      <c r="H344" s="16"/>
      <c r="I344" s="69"/>
      <c r="J344" s="70"/>
      <c r="K344" s="71"/>
      <c r="L344" s="71"/>
      <c r="M344" s="5"/>
    </row>
    <row r="345" spans="1:13" s="3" customFormat="1">
      <c r="A345" s="1"/>
      <c r="B345" s="8"/>
      <c r="C345" s="5"/>
      <c r="D345" s="12"/>
      <c r="E345" s="9"/>
      <c r="F345" s="9"/>
      <c r="G345" s="5"/>
      <c r="H345" s="16"/>
      <c r="I345" s="69"/>
      <c r="J345" s="70"/>
      <c r="K345" s="71"/>
      <c r="L345" s="71"/>
      <c r="M345" s="5"/>
    </row>
    <row r="346" spans="1:13" s="3" customFormat="1">
      <c r="A346" s="1"/>
      <c r="B346" s="8"/>
      <c r="C346" s="5"/>
      <c r="D346" s="12"/>
      <c r="E346" s="9"/>
      <c r="F346" s="9"/>
      <c r="G346" s="5"/>
      <c r="H346" s="16"/>
      <c r="I346" s="69"/>
      <c r="J346" s="70"/>
      <c r="K346" s="71"/>
      <c r="L346" s="71"/>
      <c r="M346" s="5"/>
    </row>
    <row r="347" spans="1:13" s="3" customFormat="1">
      <c r="A347" s="1"/>
      <c r="B347" s="8"/>
      <c r="C347" s="5"/>
      <c r="D347" s="12"/>
      <c r="E347" s="9"/>
      <c r="F347" s="9"/>
      <c r="G347" s="5"/>
      <c r="H347" s="16"/>
      <c r="I347" s="69"/>
      <c r="J347" s="70"/>
      <c r="K347" s="71"/>
      <c r="L347" s="71"/>
      <c r="M347" s="5"/>
    </row>
    <row r="348" spans="1:13" s="3" customFormat="1">
      <c r="A348" s="1"/>
      <c r="B348" s="8"/>
      <c r="C348" s="5"/>
      <c r="D348" s="12"/>
      <c r="E348" s="9"/>
      <c r="F348" s="9"/>
      <c r="G348" s="5"/>
      <c r="H348" s="16"/>
      <c r="I348" s="69"/>
      <c r="J348" s="70"/>
      <c r="K348" s="71"/>
      <c r="L348" s="71"/>
      <c r="M348" s="5"/>
    </row>
    <row r="349" spans="1:13" s="3" customFormat="1">
      <c r="A349" s="1"/>
      <c r="B349" s="8"/>
      <c r="C349" s="5"/>
      <c r="D349" s="12"/>
      <c r="E349" s="9"/>
      <c r="F349" s="9"/>
      <c r="G349" s="5"/>
      <c r="H349" s="16"/>
      <c r="I349" s="69"/>
      <c r="J349" s="70"/>
      <c r="K349" s="71"/>
      <c r="L349" s="71"/>
      <c r="M349" s="5"/>
    </row>
    <row r="350" spans="1:13" s="3" customFormat="1">
      <c r="A350" s="1"/>
      <c r="B350" s="8"/>
      <c r="C350" s="5"/>
      <c r="D350" s="12"/>
      <c r="E350" s="9"/>
      <c r="F350" s="9"/>
      <c r="G350" s="5"/>
      <c r="H350" s="16"/>
      <c r="I350" s="69"/>
      <c r="J350" s="70"/>
      <c r="K350" s="71"/>
      <c r="L350" s="71"/>
      <c r="M350" s="5"/>
    </row>
    <row r="351" spans="1:13" s="3" customFormat="1">
      <c r="A351" s="1"/>
      <c r="B351" s="8"/>
      <c r="C351" s="5"/>
      <c r="D351" s="12"/>
      <c r="E351" s="9"/>
      <c r="F351" s="9"/>
      <c r="G351" s="5"/>
      <c r="H351" s="16"/>
      <c r="I351" s="69"/>
      <c r="J351" s="70"/>
      <c r="K351" s="71"/>
      <c r="L351" s="71"/>
      <c r="M351" s="5"/>
    </row>
    <row r="352" spans="1:13" s="3" customFormat="1">
      <c r="A352" s="1"/>
      <c r="B352" s="8"/>
      <c r="C352" s="5"/>
      <c r="D352" s="12"/>
      <c r="E352" s="9"/>
      <c r="F352" s="9"/>
      <c r="G352" s="5"/>
      <c r="H352" s="16"/>
      <c r="I352" s="69"/>
      <c r="J352" s="70"/>
      <c r="K352" s="71"/>
      <c r="L352" s="71"/>
      <c r="M352" s="5"/>
    </row>
    <row r="353" spans="1:13" s="3" customFormat="1">
      <c r="A353" s="1"/>
      <c r="B353" s="8"/>
      <c r="C353" s="5"/>
      <c r="D353" s="12"/>
      <c r="E353" s="9"/>
      <c r="F353" s="9"/>
      <c r="G353" s="5"/>
      <c r="H353" s="16"/>
      <c r="I353" s="69"/>
      <c r="J353" s="70"/>
      <c r="K353" s="71"/>
      <c r="L353" s="71"/>
      <c r="M353" s="5"/>
    </row>
    <row r="354" spans="1:13" s="3" customFormat="1">
      <c r="A354" s="1"/>
      <c r="B354" s="8"/>
      <c r="C354" s="5"/>
      <c r="D354" s="12"/>
      <c r="E354" s="9"/>
      <c r="F354" s="9"/>
      <c r="G354" s="5"/>
      <c r="H354" s="16"/>
      <c r="I354" s="69"/>
      <c r="J354" s="70"/>
      <c r="K354" s="71"/>
      <c r="L354" s="71"/>
      <c r="M354" s="5"/>
    </row>
    <row r="355" spans="1:13" s="3" customFormat="1">
      <c r="A355" s="1"/>
      <c r="B355" s="8"/>
      <c r="C355" s="5"/>
      <c r="D355" s="12"/>
      <c r="E355" s="9"/>
      <c r="F355" s="9"/>
      <c r="G355" s="5"/>
      <c r="H355" s="16"/>
      <c r="I355" s="69"/>
      <c r="J355" s="70"/>
      <c r="K355" s="71"/>
      <c r="L355" s="71"/>
      <c r="M355" s="5"/>
    </row>
    <row r="356" spans="1:13" s="3" customFormat="1">
      <c r="A356" s="1"/>
      <c r="B356" s="8"/>
      <c r="C356" s="5"/>
      <c r="D356" s="12"/>
      <c r="E356" s="9"/>
      <c r="F356" s="9"/>
      <c r="G356" s="5"/>
      <c r="H356" s="16"/>
      <c r="I356" s="69"/>
      <c r="J356" s="70"/>
      <c r="K356" s="71"/>
      <c r="L356" s="71"/>
      <c r="M356" s="5"/>
    </row>
    <row r="357" spans="1:13" s="3" customFormat="1">
      <c r="A357" s="1"/>
      <c r="B357" s="8"/>
      <c r="C357" s="5"/>
      <c r="D357" s="12"/>
      <c r="E357" s="9"/>
      <c r="F357" s="9"/>
      <c r="G357" s="5"/>
      <c r="H357" s="16"/>
      <c r="I357" s="69"/>
      <c r="J357" s="70"/>
      <c r="K357" s="71"/>
      <c r="L357" s="71"/>
      <c r="M357" s="5"/>
    </row>
    <row r="358" spans="1:13" s="3" customFormat="1">
      <c r="A358" s="1"/>
      <c r="B358" s="8"/>
      <c r="C358" s="5"/>
      <c r="D358" s="12"/>
      <c r="E358" s="9"/>
      <c r="F358" s="9"/>
      <c r="G358" s="5"/>
      <c r="H358" s="16"/>
      <c r="I358" s="69"/>
      <c r="J358" s="70"/>
      <c r="K358" s="71"/>
      <c r="L358" s="71"/>
      <c r="M358" s="5"/>
    </row>
    <row r="359" spans="1:13" s="3" customFormat="1">
      <c r="A359" s="1"/>
      <c r="B359" s="8"/>
      <c r="C359" s="5"/>
      <c r="D359" s="12"/>
      <c r="E359" s="9"/>
      <c r="F359" s="9"/>
      <c r="G359" s="5"/>
      <c r="H359" s="16"/>
      <c r="I359" s="69"/>
      <c r="J359" s="70"/>
      <c r="K359" s="71"/>
      <c r="L359" s="71"/>
      <c r="M359" s="5"/>
    </row>
    <row r="360" spans="1:13" s="3" customFormat="1">
      <c r="A360" s="1"/>
      <c r="B360" s="8"/>
      <c r="C360" s="5"/>
      <c r="D360" s="12"/>
      <c r="E360" s="9"/>
      <c r="F360" s="9"/>
      <c r="G360" s="5"/>
      <c r="H360" s="16"/>
      <c r="I360" s="69"/>
      <c r="J360" s="70"/>
      <c r="K360" s="71"/>
      <c r="L360" s="71"/>
      <c r="M360" s="5"/>
    </row>
    <row r="361" spans="1:13" s="3" customFormat="1">
      <c r="A361" s="1"/>
      <c r="B361" s="8"/>
      <c r="C361" s="5"/>
      <c r="D361" s="12"/>
      <c r="E361" s="9"/>
      <c r="F361" s="9"/>
      <c r="G361" s="5"/>
      <c r="H361" s="16"/>
      <c r="I361" s="69"/>
      <c r="J361" s="70"/>
      <c r="K361" s="71"/>
      <c r="L361" s="71"/>
      <c r="M361" s="5"/>
    </row>
    <row r="362" spans="1:13" s="3" customFormat="1">
      <c r="A362" s="1"/>
      <c r="B362" s="8"/>
      <c r="C362" s="5"/>
      <c r="D362" s="12"/>
      <c r="E362" s="9"/>
      <c r="F362" s="9"/>
      <c r="G362" s="5"/>
      <c r="H362" s="16"/>
      <c r="I362" s="69"/>
      <c r="J362" s="70"/>
      <c r="K362" s="71"/>
      <c r="L362" s="71"/>
      <c r="M362" s="5"/>
    </row>
    <row r="363" spans="1:13" s="3" customFormat="1">
      <c r="A363" s="1"/>
      <c r="B363" s="8"/>
      <c r="C363" s="5"/>
      <c r="D363" s="12"/>
      <c r="E363" s="9"/>
      <c r="F363" s="9"/>
      <c r="G363" s="5"/>
      <c r="H363" s="16"/>
      <c r="I363" s="69"/>
      <c r="J363" s="70"/>
      <c r="K363" s="71"/>
      <c r="L363" s="71"/>
      <c r="M363" s="5"/>
    </row>
    <row r="364" spans="1:13" s="3" customFormat="1">
      <c r="A364" s="1"/>
      <c r="B364" s="8"/>
      <c r="C364" s="5"/>
      <c r="D364" s="12"/>
      <c r="E364" s="9"/>
      <c r="F364" s="9"/>
      <c r="G364" s="5"/>
      <c r="H364" s="16"/>
      <c r="I364" s="69"/>
      <c r="J364" s="70"/>
      <c r="K364" s="71"/>
      <c r="L364" s="71"/>
      <c r="M364" s="5"/>
    </row>
    <row r="365" spans="1:13" s="3" customFormat="1">
      <c r="A365" s="1"/>
      <c r="B365" s="8"/>
      <c r="C365" s="5"/>
      <c r="D365" s="12"/>
      <c r="E365" s="9"/>
      <c r="F365" s="9"/>
      <c r="G365" s="5"/>
      <c r="H365" s="16"/>
      <c r="I365" s="69"/>
      <c r="J365" s="70"/>
      <c r="K365" s="71"/>
      <c r="L365" s="71"/>
      <c r="M365" s="5"/>
    </row>
    <row r="366" spans="1:13" s="3" customFormat="1">
      <c r="A366" s="1"/>
      <c r="B366" s="8"/>
      <c r="C366" s="5"/>
      <c r="D366" s="12"/>
      <c r="E366" s="9"/>
      <c r="F366" s="9"/>
      <c r="G366" s="5"/>
      <c r="H366" s="16"/>
      <c r="I366" s="69"/>
      <c r="J366" s="70"/>
      <c r="K366" s="71"/>
      <c r="L366" s="71"/>
      <c r="M366" s="5"/>
    </row>
    <row r="367" spans="1:13" s="3" customFormat="1">
      <c r="A367" s="1"/>
      <c r="B367" s="8"/>
      <c r="C367" s="5"/>
      <c r="D367" s="12"/>
      <c r="E367" s="9"/>
      <c r="F367" s="9"/>
      <c r="G367" s="5"/>
      <c r="H367" s="16"/>
      <c r="I367" s="69"/>
      <c r="J367" s="70"/>
      <c r="K367" s="71"/>
      <c r="L367" s="71"/>
      <c r="M367" s="5"/>
    </row>
    <row r="368" spans="1:13" s="3" customFormat="1">
      <c r="A368" s="1"/>
      <c r="B368" s="8"/>
      <c r="C368" s="5"/>
      <c r="D368" s="12"/>
      <c r="E368" s="9"/>
      <c r="F368" s="9"/>
      <c r="G368" s="5"/>
      <c r="H368" s="16"/>
      <c r="I368" s="69"/>
      <c r="J368" s="70"/>
      <c r="K368" s="71"/>
      <c r="L368" s="71"/>
      <c r="M368" s="5"/>
    </row>
    <row r="369" spans="1:13" s="3" customFormat="1">
      <c r="A369" s="1"/>
      <c r="B369" s="8"/>
      <c r="C369" s="5"/>
      <c r="D369" s="12"/>
      <c r="E369" s="9"/>
      <c r="F369" s="9"/>
      <c r="G369" s="5"/>
      <c r="H369" s="16"/>
      <c r="I369" s="69"/>
      <c r="J369" s="70"/>
      <c r="K369" s="71"/>
      <c r="L369" s="71"/>
      <c r="M369" s="5"/>
    </row>
    <row r="370" spans="1:13" s="3" customFormat="1">
      <c r="A370" s="1"/>
      <c r="B370" s="8"/>
      <c r="C370" s="5"/>
      <c r="D370" s="12"/>
      <c r="E370" s="9"/>
      <c r="F370" s="9"/>
      <c r="G370" s="5"/>
      <c r="H370" s="16"/>
      <c r="I370" s="69"/>
      <c r="J370" s="70"/>
      <c r="K370" s="71"/>
      <c r="L370" s="71"/>
      <c r="M370" s="5"/>
    </row>
    <row r="371" spans="1:13" s="3" customFormat="1">
      <c r="A371" s="1"/>
      <c r="B371" s="8"/>
      <c r="C371" s="5"/>
      <c r="D371" s="12"/>
      <c r="E371" s="9"/>
      <c r="F371" s="9"/>
      <c r="G371" s="5"/>
      <c r="H371" s="16"/>
      <c r="I371" s="69"/>
      <c r="J371" s="70"/>
      <c r="K371" s="71"/>
      <c r="L371" s="71"/>
      <c r="M371" s="5"/>
    </row>
    <row r="372" spans="1:13" s="3" customFormat="1">
      <c r="A372" s="1"/>
      <c r="B372" s="8"/>
      <c r="C372" s="5"/>
      <c r="D372" s="12"/>
      <c r="E372" s="9"/>
      <c r="F372" s="9"/>
      <c r="G372" s="5"/>
      <c r="H372" s="16"/>
      <c r="I372" s="69"/>
      <c r="J372" s="70"/>
      <c r="K372" s="71"/>
      <c r="L372" s="71"/>
      <c r="M372" s="5"/>
    </row>
    <row r="373" spans="1:13" s="3" customFormat="1">
      <c r="A373" s="1"/>
      <c r="B373" s="8"/>
      <c r="C373" s="5"/>
      <c r="D373" s="12"/>
      <c r="E373" s="9"/>
      <c r="F373" s="9"/>
      <c r="G373" s="5"/>
      <c r="H373" s="16"/>
      <c r="I373" s="69"/>
      <c r="J373" s="70"/>
      <c r="K373" s="71"/>
      <c r="L373" s="71"/>
      <c r="M373" s="5"/>
    </row>
    <row r="374" spans="1:13" s="3" customFormat="1">
      <c r="A374" s="1"/>
      <c r="B374" s="8"/>
      <c r="C374" s="5"/>
      <c r="D374" s="12"/>
      <c r="E374" s="9"/>
      <c r="F374" s="9"/>
      <c r="G374" s="5"/>
      <c r="H374" s="16"/>
      <c r="I374" s="69"/>
      <c r="J374" s="70"/>
      <c r="K374" s="71"/>
      <c r="L374" s="71"/>
      <c r="M374" s="5"/>
    </row>
    <row r="375" spans="1:13" s="3" customFormat="1">
      <c r="A375" s="1"/>
      <c r="B375" s="8"/>
      <c r="C375" s="5"/>
      <c r="D375" s="12"/>
      <c r="E375" s="9"/>
      <c r="F375" s="9"/>
      <c r="G375" s="5"/>
      <c r="H375" s="16"/>
      <c r="I375" s="69"/>
      <c r="J375" s="70"/>
      <c r="K375" s="71"/>
      <c r="L375" s="71"/>
      <c r="M375" s="5"/>
    </row>
    <row r="376" spans="1:13" s="3" customFormat="1">
      <c r="A376" s="1"/>
      <c r="B376" s="8"/>
      <c r="C376" s="5"/>
      <c r="D376" s="12"/>
      <c r="E376" s="9"/>
      <c r="F376" s="9"/>
      <c r="G376" s="5"/>
      <c r="H376" s="16"/>
      <c r="I376" s="69"/>
      <c r="J376" s="70"/>
      <c r="K376" s="71"/>
      <c r="L376" s="71"/>
      <c r="M376" s="5"/>
    </row>
    <row r="377" spans="1:13" s="3" customFormat="1">
      <c r="A377" s="1"/>
      <c r="B377" s="8"/>
      <c r="C377" s="5"/>
      <c r="D377" s="12"/>
      <c r="E377" s="9"/>
      <c r="F377" s="9"/>
      <c r="G377" s="5"/>
      <c r="H377" s="16"/>
      <c r="I377" s="69"/>
      <c r="J377" s="70"/>
      <c r="K377" s="71"/>
      <c r="L377" s="71"/>
      <c r="M377" s="5"/>
    </row>
    <row r="378" spans="1:13" s="3" customFormat="1">
      <c r="A378" s="1"/>
      <c r="B378" s="8"/>
      <c r="C378" s="5"/>
      <c r="D378" s="12"/>
      <c r="E378" s="9"/>
      <c r="F378" s="9"/>
      <c r="G378" s="5"/>
      <c r="H378" s="16"/>
      <c r="I378" s="69"/>
      <c r="J378" s="70"/>
      <c r="K378" s="71"/>
      <c r="L378" s="71"/>
      <c r="M378" s="5"/>
    </row>
    <row r="379" spans="1:13" s="3" customFormat="1">
      <c r="A379" s="1"/>
      <c r="B379" s="8"/>
      <c r="C379" s="5"/>
      <c r="D379" s="12"/>
      <c r="E379" s="9"/>
      <c r="F379" s="9"/>
      <c r="G379" s="5"/>
      <c r="H379" s="16"/>
      <c r="I379" s="69"/>
      <c r="J379" s="70"/>
      <c r="K379" s="71"/>
      <c r="L379" s="71"/>
      <c r="M379" s="5"/>
    </row>
    <row r="380" spans="1:13" s="3" customFormat="1">
      <c r="A380" s="1"/>
      <c r="B380" s="8"/>
      <c r="C380" s="5"/>
      <c r="D380" s="12"/>
      <c r="E380" s="9"/>
      <c r="F380" s="9"/>
      <c r="G380" s="5"/>
      <c r="H380" s="16"/>
      <c r="I380" s="69"/>
      <c r="J380" s="70"/>
      <c r="K380" s="71"/>
      <c r="L380" s="71"/>
      <c r="M380" s="5"/>
    </row>
    <row r="381" spans="1:13" s="3" customFormat="1">
      <c r="A381" s="1"/>
      <c r="B381" s="8"/>
      <c r="C381" s="5"/>
      <c r="D381" s="12"/>
      <c r="E381" s="9"/>
      <c r="F381" s="9"/>
      <c r="G381" s="5"/>
      <c r="H381" s="16"/>
      <c r="I381" s="69"/>
      <c r="J381" s="70"/>
      <c r="K381" s="71"/>
      <c r="L381" s="71"/>
      <c r="M381" s="5"/>
    </row>
    <row r="382" spans="1:13" s="3" customFormat="1">
      <c r="A382" s="1"/>
      <c r="B382" s="8"/>
      <c r="C382" s="5"/>
      <c r="D382" s="12"/>
      <c r="E382" s="9"/>
      <c r="F382" s="9"/>
      <c r="G382" s="5"/>
      <c r="H382" s="16"/>
      <c r="I382" s="69"/>
      <c r="J382" s="70"/>
      <c r="K382" s="71"/>
      <c r="L382" s="71"/>
      <c r="M382" s="5"/>
    </row>
    <row r="383" spans="1:13" s="3" customFormat="1">
      <c r="A383" s="1"/>
      <c r="B383" s="8"/>
      <c r="C383" s="5"/>
      <c r="D383" s="12"/>
      <c r="E383" s="9"/>
      <c r="F383" s="9"/>
      <c r="G383" s="5"/>
      <c r="H383" s="16"/>
      <c r="I383" s="69"/>
      <c r="J383" s="70"/>
      <c r="K383" s="71"/>
      <c r="L383" s="71"/>
      <c r="M383" s="5"/>
    </row>
    <row r="384" spans="1:13" s="3" customFormat="1">
      <c r="A384" s="1"/>
      <c r="B384" s="8"/>
      <c r="C384" s="5"/>
      <c r="D384" s="12"/>
      <c r="E384" s="9"/>
      <c r="F384" s="9"/>
      <c r="G384" s="5"/>
      <c r="H384" s="16"/>
      <c r="I384" s="69"/>
      <c r="J384" s="70"/>
      <c r="K384" s="71"/>
      <c r="L384" s="71"/>
      <c r="M384" s="5"/>
    </row>
    <row r="385" spans="1:13" s="3" customFormat="1">
      <c r="A385" s="1"/>
      <c r="B385" s="8"/>
      <c r="C385" s="5"/>
      <c r="D385" s="12"/>
      <c r="E385" s="9"/>
      <c r="F385" s="9"/>
      <c r="G385" s="5"/>
      <c r="H385" s="16"/>
      <c r="I385" s="69"/>
      <c r="J385" s="70"/>
      <c r="K385" s="71"/>
      <c r="L385" s="71"/>
      <c r="M385" s="5"/>
    </row>
    <row r="386" spans="1:13" s="3" customFormat="1">
      <c r="A386" s="1"/>
      <c r="B386" s="8"/>
      <c r="C386" s="5"/>
      <c r="D386" s="12"/>
      <c r="E386" s="9"/>
      <c r="F386" s="9"/>
      <c r="G386" s="5"/>
      <c r="H386" s="16"/>
      <c r="I386" s="69"/>
      <c r="J386" s="70"/>
      <c r="K386" s="71"/>
      <c r="L386" s="71"/>
      <c r="M386" s="5"/>
    </row>
    <row r="387" spans="1:13" s="3" customFormat="1">
      <c r="A387" s="1"/>
      <c r="B387" s="8"/>
      <c r="C387" s="5"/>
      <c r="D387" s="12"/>
      <c r="E387" s="9"/>
      <c r="F387" s="9"/>
      <c r="G387" s="5"/>
      <c r="H387" s="16"/>
      <c r="I387" s="69"/>
      <c r="J387" s="70"/>
      <c r="K387" s="71"/>
      <c r="L387" s="71"/>
      <c r="M387" s="5"/>
    </row>
    <row r="388" spans="1:13" s="3" customFormat="1">
      <c r="A388" s="1"/>
      <c r="B388" s="8"/>
      <c r="C388" s="5"/>
      <c r="D388" s="12"/>
      <c r="E388" s="9"/>
      <c r="F388" s="9"/>
      <c r="G388" s="5"/>
      <c r="H388" s="16"/>
      <c r="I388" s="69"/>
      <c r="J388" s="70"/>
      <c r="K388" s="71"/>
      <c r="L388" s="71"/>
      <c r="M388" s="5"/>
    </row>
    <row r="389" spans="1:13" s="3" customFormat="1">
      <c r="A389" s="1"/>
      <c r="B389" s="8"/>
      <c r="C389" s="5"/>
      <c r="D389" s="12"/>
      <c r="E389" s="9"/>
      <c r="F389" s="9"/>
      <c r="G389" s="5"/>
      <c r="H389" s="16"/>
      <c r="I389" s="69"/>
      <c r="J389" s="70"/>
      <c r="K389" s="71"/>
      <c r="L389" s="71"/>
      <c r="M389" s="5"/>
    </row>
    <row r="390" spans="1:13" s="3" customFormat="1">
      <c r="A390" s="1"/>
      <c r="B390" s="8"/>
      <c r="C390" s="5"/>
      <c r="D390" s="12"/>
      <c r="E390" s="9"/>
      <c r="F390" s="9"/>
      <c r="G390" s="5"/>
      <c r="H390" s="16"/>
      <c r="I390" s="69"/>
      <c r="J390" s="70"/>
      <c r="K390" s="71"/>
      <c r="L390" s="71"/>
      <c r="M390" s="5"/>
    </row>
    <row r="391" spans="1:13" s="3" customFormat="1">
      <c r="A391" s="1"/>
      <c r="B391" s="8"/>
      <c r="C391" s="5"/>
      <c r="D391" s="12"/>
      <c r="E391" s="9"/>
      <c r="F391" s="9"/>
      <c r="G391" s="5"/>
      <c r="H391" s="16"/>
      <c r="I391" s="69"/>
      <c r="J391" s="70"/>
      <c r="K391" s="71"/>
      <c r="L391" s="71"/>
      <c r="M391" s="5"/>
    </row>
    <row r="392" spans="1:13" s="3" customFormat="1">
      <c r="A392" s="1"/>
      <c r="B392" s="8"/>
      <c r="C392" s="5"/>
      <c r="D392" s="12"/>
      <c r="E392" s="9"/>
      <c r="F392" s="9"/>
      <c r="G392" s="5"/>
      <c r="H392" s="16"/>
      <c r="I392" s="69"/>
      <c r="J392" s="70"/>
      <c r="K392" s="71"/>
      <c r="L392" s="71"/>
      <c r="M392" s="5"/>
    </row>
    <row r="393" spans="1:13" s="3" customFormat="1">
      <c r="A393" s="1"/>
      <c r="B393" s="8"/>
      <c r="C393" s="5"/>
      <c r="D393" s="12"/>
      <c r="E393" s="9"/>
      <c r="F393" s="9"/>
      <c r="G393" s="5"/>
      <c r="H393" s="16"/>
      <c r="I393" s="69"/>
      <c r="J393" s="70"/>
      <c r="K393" s="71"/>
      <c r="L393" s="71"/>
      <c r="M393" s="5"/>
    </row>
    <row r="394" spans="1:13" s="3" customFormat="1">
      <c r="A394" s="1"/>
      <c r="B394" s="8"/>
      <c r="C394" s="5"/>
      <c r="D394" s="12"/>
      <c r="E394" s="9"/>
      <c r="F394" s="9"/>
      <c r="G394" s="5"/>
      <c r="H394" s="16"/>
      <c r="I394" s="69"/>
      <c r="J394" s="70"/>
      <c r="K394" s="71"/>
      <c r="L394" s="71"/>
      <c r="M394" s="5"/>
    </row>
    <row r="395" spans="1:13" s="3" customFormat="1">
      <c r="A395" s="1"/>
      <c r="B395" s="8"/>
      <c r="C395" s="5"/>
      <c r="D395" s="12"/>
      <c r="E395" s="9"/>
      <c r="F395" s="9"/>
      <c r="G395" s="5"/>
      <c r="H395" s="16"/>
      <c r="I395" s="69"/>
      <c r="J395" s="70"/>
      <c r="K395" s="71"/>
      <c r="L395" s="71"/>
      <c r="M395" s="5"/>
    </row>
    <row r="396" spans="1:13" s="3" customFormat="1">
      <c r="A396" s="1"/>
      <c r="B396" s="8"/>
      <c r="C396" s="5"/>
      <c r="D396" s="12"/>
      <c r="E396" s="9"/>
      <c r="F396" s="9"/>
      <c r="G396" s="5"/>
      <c r="H396" s="16"/>
      <c r="I396" s="69"/>
      <c r="J396" s="70"/>
      <c r="K396" s="71"/>
      <c r="L396" s="71"/>
      <c r="M396" s="5"/>
    </row>
    <row r="397" spans="1:13" s="3" customFormat="1">
      <c r="A397" s="1"/>
      <c r="B397" s="8"/>
      <c r="C397" s="5"/>
      <c r="D397" s="12"/>
      <c r="E397" s="9"/>
      <c r="F397" s="9"/>
      <c r="G397" s="5"/>
      <c r="H397" s="16"/>
      <c r="I397" s="69"/>
      <c r="J397" s="70"/>
      <c r="K397" s="71"/>
      <c r="L397" s="71"/>
      <c r="M397" s="5"/>
    </row>
    <row r="398" spans="1:13" s="3" customFormat="1">
      <c r="A398" s="1"/>
      <c r="B398" s="8"/>
      <c r="C398" s="5"/>
      <c r="D398" s="12"/>
      <c r="E398" s="9"/>
      <c r="F398" s="9"/>
      <c r="G398" s="5"/>
      <c r="H398" s="16"/>
      <c r="I398" s="69"/>
      <c r="J398" s="70"/>
      <c r="K398" s="71"/>
      <c r="L398" s="71"/>
      <c r="M398" s="5"/>
    </row>
    <row r="399" spans="1:13" s="3" customFormat="1">
      <c r="A399" s="1"/>
      <c r="B399" s="8"/>
      <c r="C399" s="5"/>
      <c r="D399" s="12"/>
      <c r="E399" s="9"/>
      <c r="F399" s="9"/>
      <c r="G399" s="5"/>
      <c r="H399" s="16"/>
      <c r="I399" s="69"/>
      <c r="J399" s="70"/>
      <c r="K399" s="71"/>
      <c r="L399" s="71"/>
      <c r="M399" s="5"/>
    </row>
    <row r="400" spans="1:13" s="3" customFormat="1">
      <c r="A400" s="1"/>
      <c r="B400" s="8"/>
      <c r="C400" s="5"/>
      <c r="D400" s="12"/>
      <c r="E400" s="9"/>
      <c r="F400" s="9"/>
      <c r="G400" s="5"/>
      <c r="H400" s="16"/>
      <c r="I400" s="69"/>
      <c r="J400" s="70"/>
      <c r="K400" s="71"/>
      <c r="L400" s="71"/>
      <c r="M400" s="5"/>
    </row>
    <row r="401" spans="1:13" s="3" customFormat="1">
      <c r="A401" s="1"/>
      <c r="B401" s="8"/>
      <c r="C401" s="5"/>
      <c r="D401" s="12"/>
      <c r="E401" s="9"/>
      <c r="F401" s="9"/>
      <c r="G401" s="5"/>
      <c r="H401" s="16"/>
      <c r="I401" s="69"/>
      <c r="J401" s="70"/>
      <c r="K401" s="71"/>
      <c r="L401" s="71"/>
      <c r="M401" s="5"/>
    </row>
    <row r="402" spans="1:13" s="3" customFormat="1">
      <c r="A402" s="1"/>
      <c r="B402" s="8"/>
      <c r="C402" s="5"/>
      <c r="D402" s="12"/>
      <c r="E402" s="9"/>
      <c r="F402" s="9"/>
      <c r="G402" s="5"/>
      <c r="H402" s="16"/>
      <c r="I402" s="69"/>
      <c r="J402" s="70"/>
      <c r="K402" s="71"/>
      <c r="L402" s="71"/>
      <c r="M402" s="5"/>
    </row>
    <row r="403" spans="1:13" s="3" customFormat="1">
      <c r="A403" s="1"/>
      <c r="B403" s="8"/>
      <c r="C403" s="5"/>
      <c r="D403" s="12"/>
      <c r="E403" s="9"/>
      <c r="F403" s="9"/>
      <c r="G403" s="5"/>
      <c r="H403" s="16"/>
      <c r="I403" s="69"/>
      <c r="J403" s="70"/>
      <c r="K403" s="71"/>
      <c r="L403" s="71"/>
      <c r="M403" s="5"/>
    </row>
    <row r="404" spans="1:13" s="3" customFormat="1">
      <c r="A404" s="1"/>
      <c r="B404" s="8"/>
      <c r="C404" s="5"/>
      <c r="D404" s="12"/>
      <c r="E404" s="9"/>
      <c r="F404" s="9"/>
      <c r="G404" s="5"/>
      <c r="H404" s="16"/>
      <c r="I404" s="69"/>
      <c r="J404" s="70"/>
      <c r="K404" s="71"/>
      <c r="L404" s="71"/>
      <c r="M404" s="5"/>
    </row>
    <row r="405" spans="1:13" s="3" customFormat="1">
      <c r="A405" s="1"/>
      <c r="B405" s="8"/>
      <c r="C405" s="5"/>
      <c r="D405" s="12"/>
      <c r="E405" s="9"/>
      <c r="F405" s="9"/>
      <c r="G405" s="5"/>
      <c r="H405" s="16"/>
      <c r="I405" s="69"/>
      <c r="J405" s="70"/>
      <c r="K405" s="71"/>
      <c r="L405" s="71"/>
      <c r="M405" s="5"/>
    </row>
    <row r="406" spans="1:13" s="3" customFormat="1">
      <c r="A406" s="1"/>
      <c r="B406" s="8"/>
      <c r="C406" s="5"/>
      <c r="D406" s="12"/>
      <c r="E406" s="9"/>
      <c r="F406" s="9"/>
      <c r="G406" s="5"/>
      <c r="H406" s="16"/>
      <c r="I406" s="69"/>
      <c r="J406" s="70"/>
      <c r="K406" s="71"/>
      <c r="L406" s="71"/>
      <c r="M406" s="5"/>
    </row>
    <row r="407" spans="1:13" s="3" customFormat="1">
      <c r="A407" s="1"/>
      <c r="B407" s="8"/>
      <c r="C407" s="5"/>
      <c r="D407" s="12"/>
      <c r="E407" s="9"/>
      <c r="F407" s="9"/>
      <c r="G407" s="5"/>
      <c r="H407" s="16"/>
      <c r="I407" s="69"/>
      <c r="J407" s="70"/>
      <c r="K407" s="71"/>
      <c r="L407" s="71"/>
      <c r="M407" s="5"/>
    </row>
    <row r="408" spans="1:13" s="3" customFormat="1">
      <c r="A408" s="1"/>
      <c r="B408" s="8"/>
      <c r="C408" s="5"/>
      <c r="D408" s="12"/>
      <c r="E408" s="9"/>
      <c r="F408" s="9"/>
      <c r="G408" s="5"/>
      <c r="H408" s="16"/>
      <c r="I408" s="69"/>
      <c r="J408" s="70"/>
      <c r="K408" s="71"/>
      <c r="L408" s="71"/>
      <c r="M408" s="5"/>
    </row>
    <row r="409" spans="1:13" s="3" customFormat="1">
      <c r="A409" s="1"/>
      <c r="B409" s="8"/>
      <c r="C409" s="5"/>
      <c r="D409" s="12"/>
      <c r="E409" s="9"/>
      <c r="F409" s="9"/>
      <c r="G409" s="5"/>
      <c r="H409" s="16"/>
      <c r="I409" s="69"/>
      <c r="J409" s="70"/>
      <c r="K409" s="71"/>
      <c r="L409" s="71"/>
      <c r="M409" s="5"/>
    </row>
    <row r="410" spans="1:13" s="3" customFormat="1">
      <c r="A410" s="1"/>
      <c r="B410" s="8"/>
      <c r="C410" s="5"/>
      <c r="D410" s="12"/>
      <c r="E410" s="9"/>
      <c r="F410" s="9"/>
      <c r="G410" s="5"/>
      <c r="H410" s="16"/>
      <c r="I410" s="69"/>
      <c r="J410" s="70"/>
      <c r="K410" s="71"/>
      <c r="L410" s="71"/>
      <c r="M410" s="5"/>
    </row>
    <row r="411" spans="1:13" s="3" customFormat="1">
      <c r="A411" s="1"/>
      <c r="B411" s="8"/>
      <c r="C411" s="5"/>
      <c r="D411" s="12"/>
      <c r="E411" s="9"/>
      <c r="F411" s="9"/>
      <c r="G411" s="5"/>
      <c r="H411" s="16"/>
      <c r="I411" s="69"/>
      <c r="J411" s="70"/>
      <c r="K411" s="71"/>
      <c r="L411" s="71"/>
      <c r="M411" s="5"/>
    </row>
    <row r="412" spans="1:13" s="3" customFormat="1">
      <c r="A412" s="1"/>
      <c r="B412" s="8"/>
      <c r="C412" s="5"/>
      <c r="D412" s="12"/>
      <c r="E412" s="9"/>
      <c r="F412" s="9"/>
      <c r="G412" s="5"/>
      <c r="H412" s="16"/>
      <c r="I412" s="69"/>
      <c r="J412" s="70"/>
      <c r="K412" s="71"/>
      <c r="L412" s="71"/>
      <c r="M412" s="5"/>
    </row>
    <row r="413" spans="1:13" s="3" customFormat="1">
      <c r="A413" s="1"/>
      <c r="B413" s="8"/>
      <c r="C413" s="5"/>
      <c r="D413" s="12"/>
      <c r="E413" s="9"/>
      <c r="F413" s="9"/>
      <c r="G413" s="5"/>
      <c r="H413" s="16"/>
      <c r="I413" s="69"/>
      <c r="J413" s="70"/>
      <c r="K413" s="71"/>
      <c r="L413" s="71"/>
      <c r="M413" s="5"/>
    </row>
    <row r="414" spans="1:13" s="3" customFormat="1">
      <c r="A414" s="1"/>
      <c r="B414" s="8"/>
      <c r="C414" s="5"/>
      <c r="D414" s="12"/>
      <c r="E414" s="9"/>
      <c r="F414" s="9"/>
      <c r="G414" s="5"/>
      <c r="H414" s="16"/>
      <c r="I414" s="69"/>
      <c r="J414" s="70"/>
      <c r="K414" s="71"/>
      <c r="L414" s="71"/>
      <c r="M414" s="5"/>
    </row>
    <row r="415" spans="1:13" s="3" customFormat="1">
      <c r="A415" s="1"/>
      <c r="B415" s="8"/>
      <c r="C415" s="5"/>
      <c r="D415" s="12"/>
      <c r="E415" s="9"/>
      <c r="F415" s="9"/>
      <c r="G415" s="5"/>
      <c r="H415" s="16"/>
      <c r="I415" s="69"/>
      <c r="J415" s="70"/>
      <c r="K415" s="71"/>
      <c r="L415" s="71"/>
      <c r="M415" s="5"/>
    </row>
    <row r="416" spans="1:13" s="3" customFormat="1">
      <c r="A416" s="1"/>
      <c r="B416" s="8"/>
      <c r="C416" s="5"/>
      <c r="D416" s="12"/>
      <c r="E416" s="9"/>
      <c r="F416" s="9"/>
      <c r="G416" s="5"/>
      <c r="H416" s="16"/>
      <c r="I416" s="69"/>
      <c r="J416" s="70"/>
      <c r="K416" s="71"/>
      <c r="L416" s="71"/>
      <c r="M416" s="5"/>
    </row>
    <row r="417" spans="1:13" s="3" customFormat="1">
      <c r="A417" s="1"/>
      <c r="B417" s="8"/>
      <c r="C417" s="5"/>
      <c r="D417" s="12"/>
      <c r="E417" s="9"/>
      <c r="F417" s="9"/>
      <c r="G417" s="5"/>
      <c r="H417" s="16"/>
      <c r="I417" s="69"/>
      <c r="J417" s="70"/>
      <c r="K417" s="71"/>
      <c r="L417" s="71"/>
      <c r="M417" s="5"/>
    </row>
    <row r="418" spans="1:13" s="3" customFormat="1">
      <c r="A418" s="1"/>
      <c r="B418" s="8"/>
      <c r="C418" s="5"/>
      <c r="D418" s="12"/>
      <c r="E418" s="9"/>
      <c r="F418" s="9"/>
      <c r="G418" s="5"/>
      <c r="H418" s="16"/>
      <c r="I418" s="69"/>
      <c r="J418" s="70"/>
      <c r="K418" s="71"/>
      <c r="L418" s="71"/>
      <c r="M418" s="5"/>
    </row>
    <row r="419" spans="1:13" s="3" customFormat="1">
      <c r="A419" s="1"/>
      <c r="B419" s="8"/>
      <c r="C419" s="5"/>
      <c r="D419" s="12"/>
      <c r="E419" s="9"/>
      <c r="F419" s="9"/>
      <c r="G419" s="5"/>
      <c r="H419" s="16"/>
      <c r="I419" s="69"/>
      <c r="J419" s="70"/>
      <c r="K419" s="71"/>
      <c r="L419" s="71"/>
      <c r="M419" s="5"/>
    </row>
    <row r="420" spans="1:13" s="3" customFormat="1">
      <c r="A420" s="1"/>
      <c r="B420" s="8"/>
      <c r="C420" s="5"/>
      <c r="D420" s="12"/>
      <c r="E420" s="9"/>
      <c r="F420" s="9"/>
      <c r="G420" s="5"/>
      <c r="H420" s="16"/>
      <c r="I420" s="69"/>
      <c r="J420" s="70"/>
      <c r="K420" s="71"/>
      <c r="L420" s="71"/>
      <c r="M420" s="5"/>
    </row>
    <row r="421" spans="1:13" s="3" customFormat="1">
      <c r="A421" s="1"/>
      <c r="B421" s="8"/>
      <c r="C421" s="5"/>
      <c r="D421" s="12"/>
      <c r="E421" s="9"/>
      <c r="F421" s="9"/>
      <c r="G421" s="5"/>
      <c r="H421" s="16"/>
      <c r="I421" s="69"/>
      <c r="J421" s="70"/>
      <c r="K421" s="71"/>
      <c r="L421" s="71"/>
      <c r="M421" s="5"/>
    </row>
    <row r="422" spans="1:13" s="3" customFormat="1">
      <c r="A422" s="1"/>
      <c r="B422" s="8"/>
      <c r="C422" s="5"/>
      <c r="D422" s="12"/>
      <c r="E422" s="9"/>
      <c r="F422" s="9"/>
      <c r="G422" s="5"/>
      <c r="H422" s="16"/>
      <c r="I422" s="69"/>
      <c r="J422" s="70"/>
      <c r="K422" s="71"/>
      <c r="L422" s="71"/>
      <c r="M422" s="5"/>
    </row>
    <row r="423" spans="1:13" s="3" customFormat="1">
      <c r="A423" s="1"/>
      <c r="B423" s="8"/>
      <c r="C423" s="5"/>
      <c r="D423" s="12"/>
      <c r="E423" s="9"/>
      <c r="F423" s="9"/>
      <c r="G423" s="5"/>
      <c r="H423" s="16"/>
      <c r="I423" s="69"/>
      <c r="J423" s="70"/>
      <c r="K423" s="71"/>
      <c r="L423" s="71"/>
      <c r="M423" s="5"/>
    </row>
    <row r="424" spans="1:13" s="3" customFormat="1">
      <c r="A424" s="1"/>
      <c r="B424" s="8"/>
      <c r="C424" s="5"/>
      <c r="D424" s="12"/>
      <c r="E424" s="9"/>
      <c r="F424" s="9"/>
      <c r="G424" s="5"/>
      <c r="H424" s="16"/>
      <c r="I424" s="69"/>
      <c r="J424" s="70"/>
      <c r="K424" s="71"/>
      <c r="L424" s="71"/>
      <c r="M424" s="5"/>
    </row>
    <row r="425" spans="1:13" s="3" customFormat="1">
      <c r="A425" s="1"/>
      <c r="B425" s="8"/>
      <c r="C425" s="5"/>
      <c r="D425" s="12"/>
      <c r="E425" s="9"/>
      <c r="F425" s="9"/>
      <c r="G425" s="5"/>
      <c r="H425" s="16"/>
      <c r="I425" s="69"/>
      <c r="J425" s="70"/>
      <c r="K425" s="71"/>
      <c r="L425" s="71"/>
      <c r="M425" s="5"/>
    </row>
    <row r="426" spans="1:13" s="3" customFormat="1">
      <c r="A426" s="1"/>
      <c r="B426" s="8"/>
      <c r="C426" s="5"/>
      <c r="D426" s="12"/>
      <c r="E426" s="9"/>
      <c r="F426" s="9"/>
      <c r="G426" s="5"/>
      <c r="H426" s="16"/>
      <c r="I426" s="69"/>
      <c r="J426" s="70"/>
      <c r="K426" s="71"/>
      <c r="L426" s="71"/>
      <c r="M426" s="5"/>
    </row>
    <row r="427" spans="1:13" s="3" customFormat="1">
      <c r="A427" s="1"/>
      <c r="B427" s="8"/>
      <c r="C427" s="5"/>
      <c r="D427" s="12"/>
      <c r="E427" s="9"/>
      <c r="F427" s="9"/>
      <c r="G427" s="5"/>
      <c r="H427" s="16"/>
      <c r="I427" s="69"/>
      <c r="J427" s="70"/>
      <c r="K427" s="71"/>
      <c r="L427" s="71"/>
      <c r="M427" s="5"/>
    </row>
    <row r="428" spans="1:13" s="3" customFormat="1">
      <c r="A428" s="1"/>
      <c r="B428" s="8"/>
      <c r="C428" s="5"/>
      <c r="D428" s="12"/>
      <c r="E428" s="9"/>
      <c r="F428" s="9"/>
      <c r="G428" s="5"/>
      <c r="H428" s="16"/>
      <c r="I428" s="69"/>
      <c r="J428" s="70"/>
      <c r="K428" s="71"/>
      <c r="L428" s="71"/>
      <c r="M428" s="5"/>
    </row>
    <row r="429" spans="1:13" s="3" customFormat="1">
      <c r="A429" s="1"/>
      <c r="B429" s="8"/>
      <c r="C429" s="5"/>
      <c r="D429" s="12"/>
      <c r="E429" s="9"/>
      <c r="F429" s="9"/>
      <c r="G429" s="5"/>
      <c r="H429" s="16"/>
      <c r="I429" s="69"/>
      <c r="J429" s="70"/>
      <c r="K429" s="71"/>
      <c r="L429" s="71"/>
      <c r="M429" s="5"/>
    </row>
    <row r="430" spans="1:13" s="3" customFormat="1">
      <c r="A430" s="1"/>
      <c r="B430" s="8"/>
      <c r="C430" s="5"/>
      <c r="D430" s="12"/>
      <c r="E430" s="9"/>
      <c r="F430" s="9"/>
      <c r="G430" s="5"/>
      <c r="H430" s="16"/>
      <c r="I430" s="69"/>
      <c r="J430" s="70"/>
      <c r="K430" s="71"/>
      <c r="L430" s="71"/>
      <c r="M430" s="5"/>
    </row>
    <row r="431" spans="1:13" s="3" customFormat="1">
      <c r="A431" s="1"/>
      <c r="B431" s="8"/>
      <c r="C431" s="5"/>
      <c r="D431" s="12"/>
      <c r="E431" s="9"/>
      <c r="F431" s="9"/>
      <c r="G431" s="5"/>
      <c r="H431" s="16"/>
      <c r="I431" s="69"/>
      <c r="J431" s="70"/>
      <c r="K431" s="71"/>
      <c r="L431" s="71"/>
      <c r="M431" s="5"/>
    </row>
    <row r="432" spans="1:13" s="3" customFormat="1">
      <c r="A432" s="1"/>
      <c r="B432" s="8"/>
      <c r="C432" s="5"/>
      <c r="D432" s="12"/>
      <c r="E432" s="9"/>
      <c r="F432" s="9"/>
      <c r="G432" s="5"/>
      <c r="H432" s="16"/>
      <c r="I432" s="69"/>
      <c r="J432" s="70"/>
      <c r="K432" s="71"/>
      <c r="L432" s="71"/>
      <c r="M432" s="5"/>
    </row>
    <row r="433" spans="1:13" s="3" customFormat="1">
      <c r="A433" s="1"/>
      <c r="B433" s="8"/>
      <c r="C433" s="5"/>
      <c r="D433" s="12"/>
      <c r="E433" s="9"/>
      <c r="F433" s="9"/>
      <c r="G433" s="5"/>
      <c r="H433" s="16"/>
      <c r="I433" s="69"/>
      <c r="J433" s="70"/>
      <c r="K433" s="71"/>
      <c r="L433" s="71"/>
      <c r="M433" s="5"/>
    </row>
    <row r="434" spans="1:13" s="3" customFormat="1">
      <c r="A434" s="1"/>
      <c r="B434" s="8"/>
      <c r="C434" s="5"/>
      <c r="D434" s="12"/>
      <c r="E434" s="9"/>
      <c r="F434" s="9"/>
      <c r="G434" s="5"/>
      <c r="H434" s="16"/>
      <c r="I434" s="69"/>
      <c r="J434" s="70"/>
      <c r="K434" s="71"/>
      <c r="L434" s="71"/>
      <c r="M434" s="5"/>
    </row>
    <row r="435" spans="1:13" s="3" customFormat="1">
      <c r="A435" s="1"/>
      <c r="B435" s="8"/>
      <c r="C435" s="5"/>
      <c r="D435" s="12"/>
      <c r="E435" s="9"/>
      <c r="F435" s="9"/>
      <c r="G435" s="5"/>
      <c r="H435" s="16"/>
      <c r="I435" s="69"/>
      <c r="J435" s="70"/>
      <c r="K435" s="71"/>
      <c r="L435" s="71"/>
      <c r="M435" s="5"/>
    </row>
    <row r="436" spans="1:13" s="3" customFormat="1">
      <c r="A436" s="1"/>
      <c r="B436" s="8"/>
      <c r="C436" s="5"/>
      <c r="D436" s="12"/>
      <c r="E436" s="9"/>
      <c r="F436" s="9"/>
      <c r="G436" s="5"/>
      <c r="H436" s="16"/>
      <c r="I436" s="69"/>
      <c r="J436" s="70"/>
      <c r="K436" s="71"/>
      <c r="L436" s="71"/>
      <c r="M436" s="5"/>
    </row>
    <row r="437" spans="1:13" s="3" customFormat="1">
      <c r="A437" s="1"/>
      <c r="B437" s="8"/>
      <c r="C437" s="5"/>
      <c r="D437" s="12"/>
      <c r="E437" s="9"/>
      <c r="F437" s="9"/>
      <c r="G437" s="5"/>
      <c r="H437" s="16"/>
      <c r="I437" s="69"/>
      <c r="J437" s="70"/>
      <c r="K437" s="71"/>
      <c r="L437" s="71"/>
      <c r="M437" s="5"/>
    </row>
    <row r="438" spans="1:13" s="3" customFormat="1">
      <c r="A438" s="1"/>
      <c r="B438" s="8"/>
      <c r="C438" s="5"/>
      <c r="D438" s="12"/>
      <c r="E438" s="9"/>
      <c r="F438" s="9"/>
      <c r="G438" s="5"/>
      <c r="H438" s="16"/>
      <c r="I438" s="69"/>
      <c r="J438" s="70"/>
      <c r="K438" s="71"/>
      <c r="L438" s="71"/>
      <c r="M438" s="5"/>
    </row>
    <row r="439" spans="1:13" s="3" customFormat="1">
      <c r="A439" s="1"/>
      <c r="B439" s="8"/>
      <c r="C439" s="5"/>
      <c r="D439" s="12"/>
      <c r="E439" s="9"/>
      <c r="F439" s="9"/>
      <c r="G439" s="5"/>
      <c r="H439" s="16"/>
      <c r="I439" s="69"/>
      <c r="J439" s="70"/>
      <c r="K439" s="71"/>
      <c r="L439" s="71"/>
      <c r="M439" s="5"/>
    </row>
    <row r="440" spans="1:13" s="3" customFormat="1">
      <c r="A440" s="1"/>
      <c r="B440" s="8"/>
      <c r="C440" s="5"/>
      <c r="D440" s="12"/>
      <c r="E440" s="9"/>
      <c r="F440" s="9"/>
      <c r="G440" s="5"/>
      <c r="H440" s="16"/>
      <c r="I440" s="69"/>
      <c r="J440" s="70"/>
      <c r="K440" s="71"/>
      <c r="L440" s="71"/>
      <c r="M440" s="5"/>
    </row>
    <row r="441" spans="1:13" s="3" customFormat="1">
      <c r="A441" s="1"/>
      <c r="B441" s="8"/>
      <c r="C441" s="5"/>
      <c r="D441" s="12"/>
      <c r="E441" s="9"/>
      <c r="F441" s="9"/>
      <c r="G441" s="5"/>
      <c r="H441" s="16"/>
      <c r="I441" s="69"/>
      <c r="J441" s="70"/>
      <c r="K441" s="71"/>
      <c r="L441" s="71"/>
      <c r="M441" s="5"/>
    </row>
    <row r="442" spans="1:13" s="3" customFormat="1">
      <c r="A442" s="1"/>
      <c r="B442" s="8"/>
      <c r="C442" s="5"/>
      <c r="D442" s="12"/>
      <c r="E442" s="9"/>
      <c r="F442" s="9"/>
      <c r="G442" s="5"/>
      <c r="H442" s="16"/>
      <c r="I442" s="69"/>
      <c r="J442" s="70"/>
      <c r="K442" s="71"/>
      <c r="L442" s="71"/>
      <c r="M442" s="5"/>
    </row>
    <row r="443" spans="1:13" s="3" customFormat="1">
      <c r="A443" s="1"/>
      <c r="B443" s="8"/>
      <c r="C443" s="5"/>
      <c r="D443" s="12"/>
      <c r="E443" s="9"/>
      <c r="F443" s="9"/>
      <c r="G443" s="5"/>
      <c r="H443" s="16"/>
      <c r="I443" s="69"/>
      <c r="J443" s="70"/>
      <c r="K443" s="71"/>
      <c r="L443" s="71"/>
      <c r="M443" s="5"/>
    </row>
    <row r="444" spans="1:13" s="3" customFormat="1">
      <c r="A444" s="1"/>
      <c r="B444" s="8"/>
      <c r="C444" s="5"/>
      <c r="D444" s="12"/>
      <c r="E444" s="9"/>
      <c r="F444" s="9"/>
      <c r="G444" s="5"/>
      <c r="H444" s="16"/>
      <c r="I444" s="69"/>
      <c r="J444" s="70"/>
      <c r="K444" s="71"/>
      <c r="L444" s="71"/>
      <c r="M444" s="5"/>
    </row>
    <row r="445" spans="1:13" s="3" customFormat="1">
      <c r="A445" s="1"/>
      <c r="B445" s="8"/>
      <c r="C445" s="5"/>
      <c r="D445" s="12"/>
      <c r="E445" s="9"/>
      <c r="F445" s="9"/>
      <c r="G445" s="5"/>
      <c r="H445" s="16"/>
      <c r="I445" s="69"/>
      <c r="J445" s="70"/>
      <c r="K445" s="71"/>
      <c r="L445" s="71"/>
      <c r="M445" s="5"/>
    </row>
    <row r="446" spans="1:13" s="3" customFormat="1">
      <c r="A446" s="1"/>
      <c r="B446" s="8"/>
      <c r="C446" s="5"/>
      <c r="D446" s="12"/>
      <c r="E446" s="9"/>
      <c r="F446" s="9"/>
      <c r="G446" s="5"/>
      <c r="H446" s="16"/>
      <c r="I446" s="69"/>
      <c r="J446" s="70"/>
      <c r="K446" s="71"/>
      <c r="L446" s="71"/>
      <c r="M446" s="5"/>
    </row>
    <row r="447" spans="1:13" s="3" customFormat="1">
      <c r="A447" s="1"/>
      <c r="B447" s="8"/>
      <c r="C447" s="5"/>
      <c r="D447" s="12"/>
      <c r="E447" s="9"/>
      <c r="F447" s="9"/>
      <c r="G447" s="5"/>
      <c r="H447" s="16"/>
      <c r="I447" s="69"/>
      <c r="J447" s="70"/>
      <c r="K447" s="71"/>
      <c r="L447" s="71"/>
      <c r="M447" s="5"/>
    </row>
    <row r="448" spans="1:13" s="3" customFormat="1">
      <c r="A448" s="1"/>
      <c r="B448" s="8"/>
      <c r="C448" s="5"/>
      <c r="D448" s="12"/>
      <c r="E448" s="9"/>
      <c r="F448" s="9"/>
      <c r="G448" s="5"/>
      <c r="H448" s="16"/>
      <c r="I448" s="69"/>
      <c r="J448" s="70"/>
      <c r="K448" s="71"/>
      <c r="L448" s="71"/>
      <c r="M448" s="5"/>
    </row>
    <row r="449" spans="1:13" s="3" customFormat="1">
      <c r="A449" s="1"/>
      <c r="B449" s="8"/>
      <c r="C449" s="5"/>
      <c r="D449" s="12"/>
      <c r="E449" s="9"/>
      <c r="F449" s="9"/>
      <c r="G449" s="5"/>
      <c r="H449" s="16"/>
      <c r="I449" s="69"/>
      <c r="J449" s="70"/>
      <c r="K449" s="71"/>
      <c r="L449" s="71"/>
      <c r="M449" s="5"/>
    </row>
    <row r="450" spans="1:13" s="3" customFormat="1">
      <c r="A450" s="1"/>
      <c r="B450" s="8"/>
      <c r="C450" s="5"/>
      <c r="D450" s="12"/>
      <c r="E450" s="9"/>
      <c r="F450" s="9"/>
      <c r="G450" s="5"/>
      <c r="H450" s="16"/>
      <c r="I450" s="69"/>
      <c r="J450" s="70"/>
      <c r="K450" s="71"/>
      <c r="L450" s="71"/>
      <c r="M450" s="5"/>
    </row>
    <row r="451" spans="1:13" s="3" customFormat="1">
      <c r="A451" s="1"/>
      <c r="B451" s="8"/>
      <c r="C451" s="5"/>
      <c r="D451" s="12"/>
      <c r="E451" s="9"/>
      <c r="F451" s="9"/>
      <c r="G451" s="5"/>
      <c r="H451" s="16"/>
      <c r="I451" s="69"/>
      <c r="J451" s="70"/>
      <c r="K451" s="71"/>
      <c r="L451" s="71"/>
      <c r="M451" s="5"/>
    </row>
    <row r="452" spans="1:13" s="3" customFormat="1">
      <c r="A452" s="1"/>
      <c r="B452" s="8"/>
      <c r="C452" s="5"/>
      <c r="D452" s="12"/>
      <c r="E452" s="9"/>
      <c r="F452" s="9"/>
      <c r="G452" s="5"/>
      <c r="H452" s="16"/>
      <c r="I452" s="69"/>
      <c r="J452" s="70"/>
      <c r="K452" s="71"/>
      <c r="L452" s="71"/>
      <c r="M452" s="5"/>
    </row>
    <row r="453" spans="1:13" s="3" customFormat="1">
      <c r="A453" s="1"/>
      <c r="B453" s="8"/>
      <c r="C453" s="5"/>
      <c r="D453" s="12"/>
      <c r="E453" s="9"/>
      <c r="F453" s="9"/>
      <c r="G453" s="5"/>
      <c r="H453" s="16"/>
      <c r="I453" s="69"/>
      <c r="J453" s="70"/>
      <c r="K453" s="71"/>
      <c r="L453" s="71"/>
      <c r="M453" s="5"/>
    </row>
    <row r="454" spans="1:13" s="3" customFormat="1">
      <c r="A454" s="1"/>
      <c r="B454" s="8"/>
      <c r="C454" s="5"/>
      <c r="D454" s="12"/>
      <c r="E454" s="9"/>
      <c r="F454" s="9"/>
      <c r="G454" s="5"/>
      <c r="H454" s="16"/>
      <c r="I454" s="69"/>
      <c r="J454" s="70"/>
      <c r="K454" s="71"/>
      <c r="L454" s="71"/>
      <c r="M454" s="5"/>
    </row>
    <row r="455" spans="1:13" s="3" customFormat="1">
      <c r="A455" s="1"/>
      <c r="B455" s="8"/>
      <c r="C455" s="5"/>
      <c r="D455" s="12"/>
      <c r="E455" s="9"/>
      <c r="F455" s="9"/>
      <c r="G455" s="5"/>
      <c r="H455" s="16"/>
      <c r="I455" s="69"/>
      <c r="J455" s="70"/>
      <c r="K455" s="71"/>
      <c r="L455" s="71"/>
      <c r="M455" s="5"/>
    </row>
    <row r="456" spans="1:13" s="3" customFormat="1">
      <c r="A456" s="1"/>
      <c r="B456" s="8"/>
      <c r="C456" s="5"/>
      <c r="D456" s="12"/>
      <c r="E456" s="9"/>
      <c r="F456" s="9"/>
      <c r="G456" s="5"/>
      <c r="H456" s="16"/>
      <c r="I456" s="69"/>
      <c r="J456" s="70"/>
      <c r="K456" s="71"/>
      <c r="L456" s="71"/>
      <c r="M456" s="5"/>
    </row>
    <row r="457" spans="1:13" s="3" customFormat="1">
      <c r="A457" s="1"/>
      <c r="B457" s="8"/>
      <c r="C457" s="5"/>
      <c r="D457" s="12"/>
      <c r="E457" s="9"/>
      <c r="F457" s="9"/>
      <c r="G457" s="5"/>
      <c r="H457" s="16"/>
      <c r="I457" s="69"/>
      <c r="J457" s="70"/>
      <c r="K457" s="71"/>
      <c r="L457" s="71"/>
      <c r="M457" s="5"/>
    </row>
    <row r="458" spans="1:13" s="3" customFormat="1">
      <c r="A458" s="1"/>
      <c r="B458" s="8"/>
      <c r="C458" s="5"/>
      <c r="D458" s="12"/>
      <c r="E458" s="9"/>
      <c r="F458" s="9"/>
      <c r="G458" s="5"/>
      <c r="H458" s="16"/>
      <c r="I458" s="69"/>
      <c r="J458" s="70"/>
      <c r="K458" s="71"/>
      <c r="L458" s="71"/>
      <c r="M458" s="5"/>
    </row>
    <row r="459" spans="1:13" s="3" customFormat="1">
      <c r="A459" s="1"/>
      <c r="B459" s="8"/>
      <c r="C459" s="5"/>
      <c r="D459" s="12"/>
      <c r="E459" s="9"/>
      <c r="F459" s="9"/>
      <c r="G459" s="5"/>
      <c r="H459" s="16"/>
      <c r="I459" s="69"/>
      <c r="J459" s="70"/>
      <c r="K459" s="71"/>
      <c r="L459" s="71"/>
      <c r="M459" s="5"/>
    </row>
    <row r="460" spans="1:13" s="3" customFormat="1">
      <c r="A460" s="1"/>
      <c r="B460" s="8"/>
      <c r="C460" s="5"/>
      <c r="D460" s="12"/>
      <c r="E460" s="9"/>
      <c r="F460" s="9"/>
      <c r="G460" s="5"/>
      <c r="H460" s="16"/>
      <c r="I460" s="69"/>
      <c r="J460" s="70"/>
      <c r="K460" s="71"/>
      <c r="L460" s="71"/>
      <c r="M460" s="5"/>
    </row>
    <row r="461" spans="1:13" s="3" customFormat="1">
      <c r="A461" s="1"/>
      <c r="B461" s="8"/>
      <c r="C461" s="5"/>
      <c r="D461" s="12"/>
      <c r="E461" s="9"/>
      <c r="F461" s="9"/>
      <c r="G461" s="5"/>
      <c r="H461" s="16"/>
      <c r="I461" s="69"/>
      <c r="J461" s="70"/>
      <c r="K461" s="71"/>
      <c r="L461" s="71"/>
      <c r="M461" s="5"/>
    </row>
    <row r="462" spans="1:13" s="3" customFormat="1">
      <c r="A462" s="1"/>
      <c r="B462" s="8"/>
      <c r="C462" s="5"/>
      <c r="D462" s="12"/>
      <c r="E462" s="9"/>
      <c r="F462" s="9"/>
      <c r="G462" s="5"/>
      <c r="H462" s="16"/>
      <c r="I462" s="69"/>
      <c r="J462" s="70"/>
      <c r="K462" s="71"/>
      <c r="L462" s="71"/>
      <c r="M462" s="5"/>
    </row>
    <row r="463" spans="1:13" s="3" customFormat="1">
      <c r="A463" s="1"/>
      <c r="B463" s="8"/>
      <c r="C463" s="5"/>
      <c r="D463" s="12"/>
      <c r="E463" s="9"/>
      <c r="F463" s="9"/>
      <c r="G463" s="5"/>
      <c r="H463" s="16"/>
      <c r="I463" s="69"/>
      <c r="J463" s="70"/>
      <c r="K463" s="71"/>
      <c r="L463" s="71"/>
      <c r="M463" s="5"/>
    </row>
    <row r="464" spans="1:13" s="3" customFormat="1">
      <c r="A464" s="1"/>
      <c r="B464" s="8"/>
      <c r="C464" s="5"/>
      <c r="D464" s="12"/>
      <c r="E464" s="9"/>
      <c r="F464" s="9"/>
      <c r="G464" s="5"/>
      <c r="H464" s="16"/>
      <c r="I464" s="69"/>
      <c r="J464" s="70"/>
      <c r="K464" s="71"/>
      <c r="L464" s="71"/>
      <c r="M464" s="5"/>
    </row>
    <row r="465" spans="1:13" s="3" customFormat="1">
      <c r="A465" s="1"/>
      <c r="B465" s="8"/>
      <c r="C465" s="5"/>
      <c r="D465" s="12"/>
      <c r="E465" s="9"/>
      <c r="F465" s="9"/>
      <c r="G465" s="5"/>
      <c r="H465" s="16"/>
      <c r="I465" s="69"/>
      <c r="J465" s="70"/>
      <c r="K465" s="71"/>
      <c r="L465" s="71"/>
      <c r="M465" s="5"/>
    </row>
    <row r="466" spans="1:13" s="3" customFormat="1">
      <c r="A466" s="1"/>
      <c r="B466" s="8"/>
      <c r="C466" s="5"/>
      <c r="D466" s="12"/>
      <c r="E466" s="9"/>
      <c r="F466" s="9"/>
      <c r="G466" s="5"/>
      <c r="H466" s="16"/>
      <c r="I466" s="69"/>
      <c r="J466" s="70"/>
      <c r="K466" s="71"/>
      <c r="L466" s="71"/>
      <c r="M466" s="5"/>
    </row>
    <row r="467" spans="1:13" s="3" customFormat="1">
      <c r="A467" s="1"/>
      <c r="B467" s="8"/>
      <c r="C467" s="5"/>
      <c r="D467" s="12"/>
      <c r="E467" s="9"/>
      <c r="F467" s="9"/>
      <c r="G467" s="5"/>
      <c r="H467" s="16"/>
      <c r="I467" s="69"/>
      <c r="J467" s="70"/>
      <c r="K467" s="71"/>
      <c r="L467" s="71"/>
      <c r="M467" s="5"/>
    </row>
    <row r="468" spans="1:13" s="3" customFormat="1">
      <c r="A468" s="1"/>
      <c r="B468" s="8"/>
      <c r="C468" s="5"/>
      <c r="D468" s="12"/>
      <c r="E468" s="9"/>
      <c r="F468" s="9"/>
      <c r="G468" s="5"/>
      <c r="H468" s="16"/>
      <c r="I468" s="69"/>
      <c r="J468" s="70"/>
      <c r="K468" s="71"/>
      <c r="L468" s="71"/>
      <c r="M468" s="5"/>
    </row>
    <row r="469" spans="1:13" s="3" customFormat="1">
      <c r="A469" s="1"/>
      <c r="B469" s="8"/>
      <c r="C469" s="5"/>
      <c r="D469" s="12"/>
      <c r="E469" s="9"/>
      <c r="F469" s="9"/>
      <c r="G469" s="5"/>
      <c r="H469" s="16"/>
      <c r="I469" s="69"/>
      <c r="J469" s="70"/>
      <c r="K469" s="71"/>
      <c r="L469" s="71"/>
      <c r="M469" s="5"/>
    </row>
    <row r="470" spans="1:13" s="3" customFormat="1">
      <c r="A470" s="1"/>
      <c r="B470" s="8"/>
      <c r="C470" s="5"/>
      <c r="D470" s="12"/>
      <c r="E470" s="9"/>
      <c r="F470" s="9"/>
      <c r="G470" s="5"/>
      <c r="H470" s="16"/>
      <c r="I470" s="69"/>
      <c r="J470" s="70"/>
      <c r="K470" s="71"/>
      <c r="L470" s="71"/>
      <c r="M470" s="5"/>
    </row>
    <row r="471" spans="1:13" s="3" customFormat="1">
      <c r="A471" s="1"/>
      <c r="B471" s="8"/>
      <c r="C471" s="5"/>
      <c r="D471" s="12"/>
      <c r="E471" s="9"/>
      <c r="F471" s="9"/>
      <c r="G471" s="5"/>
      <c r="H471" s="16"/>
      <c r="I471" s="69"/>
      <c r="J471" s="70"/>
      <c r="K471" s="71"/>
      <c r="L471" s="71"/>
      <c r="M471" s="5"/>
    </row>
    <row r="472" spans="1:13" s="3" customFormat="1">
      <c r="A472" s="1"/>
      <c r="B472" s="8"/>
      <c r="C472" s="5"/>
      <c r="D472" s="12"/>
      <c r="E472" s="9"/>
      <c r="F472" s="9"/>
      <c r="G472" s="5"/>
      <c r="H472" s="16"/>
      <c r="I472" s="69"/>
      <c r="J472" s="70"/>
      <c r="K472" s="71"/>
      <c r="L472" s="71"/>
      <c r="M472" s="5"/>
    </row>
    <row r="473" spans="1:13" s="3" customFormat="1">
      <c r="A473" s="1"/>
      <c r="B473" s="8"/>
      <c r="C473" s="5"/>
      <c r="D473" s="12"/>
      <c r="E473" s="9"/>
      <c r="F473" s="9"/>
      <c r="G473" s="5"/>
      <c r="H473" s="16"/>
      <c r="I473" s="69"/>
      <c r="J473" s="70"/>
      <c r="K473" s="71"/>
      <c r="L473" s="71"/>
      <c r="M473" s="5"/>
    </row>
    <row r="474" spans="1:13" s="3" customFormat="1">
      <c r="A474" s="1"/>
      <c r="B474" s="8"/>
      <c r="C474" s="5"/>
      <c r="D474" s="12"/>
      <c r="E474" s="9"/>
      <c r="F474" s="9"/>
      <c r="G474" s="5"/>
      <c r="H474" s="16"/>
      <c r="I474" s="69"/>
      <c r="J474" s="70"/>
      <c r="K474" s="71"/>
      <c r="L474" s="71"/>
      <c r="M474" s="5"/>
    </row>
    <row r="475" spans="1:13" s="3" customFormat="1">
      <c r="A475" s="1"/>
      <c r="B475" s="8"/>
      <c r="C475" s="5"/>
      <c r="D475" s="12"/>
      <c r="E475" s="9"/>
      <c r="F475" s="9"/>
      <c r="G475" s="5"/>
      <c r="H475" s="16"/>
      <c r="I475" s="69"/>
      <c r="J475" s="70"/>
      <c r="K475" s="71"/>
      <c r="L475" s="71"/>
      <c r="M475" s="5"/>
    </row>
    <row r="476" spans="1:13" s="3" customFormat="1">
      <c r="A476" s="1"/>
      <c r="B476" s="8"/>
      <c r="C476" s="5"/>
      <c r="D476" s="12"/>
      <c r="E476" s="9"/>
      <c r="F476" s="9"/>
      <c r="G476" s="5"/>
      <c r="H476" s="16"/>
      <c r="I476" s="69"/>
      <c r="J476" s="70"/>
      <c r="K476" s="71"/>
      <c r="L476" s="71"/>
      <c r="M476" s="5"/>
    </row>
    <row r="477" spans="1:13" s="3" customFormat="1">
      <c r="A477" s="1"/>
      <c r="B477" s="8"/>
      <c r="C477" s="5"/>
      <c r="D477" s="12"/>
      <c r="E477" s="9"/>
      <c r="F477" s="9"/>
      <c r="G477" s="5"/>
      <c r="H477" s="16"/>
      <c r="I477" s="69"/>
      <c r="J477" s="70"/>
      <c r="K477" s="71"/>
      <c r="L477" s="71"/>
      <c r="M477" s="5"/>
    </row>
    <row r="478" spans="1:13" s="3" customFormat="1">
      <c r="A478" s="1"/>
      <c r="B478" s="8"/>
      <c r="C478" s="5"/>
      <c r="D478" s="12"/>
      <c r="E478" s="9"/>
      <c r="F478" s="9"/>
      <c r="G478" s="5"/>
      <c r="H478" s="16"/>
      <c r="I478" s="69"/>
      <c r="J478" s="70"/>
      <c r="K478" s="71"/>
      <c r="L478" s="71"/>
      <c r="M478" s="5"/>
    </row>
    <row r="479" spans="1:13" s="3" customFormat="1">
      <c r="A479" s="1"/>
      <c r="B479" s="8"/>
      <c r="C479" s="5"/>
      <c r="D479" s="12"/>
      <c r="E479" s="9"/>
      <c r="F479" s="9"/>
      <c r="G479" s="5"/>
      <c r="H479" s="16"/>
      <c r="I479" s="69"/>
      <c r="J479" s="70"/>
      <c r="K479" s="71"/>
      <c r="L479" s="71"/>
      <c r="M479" s="5"/>
    </row>
    <row r="480" spans="1:13" s="3" customFormat="1">
      <c r="A480" s="1"/>
      <c r="B480" s="8"/>
      <c r="C480" s="5"/>
      <c r="D480" s="12"/>
      <c r="E480" s="9"/>
      <c r="F480" s="9"/>
      <c r="G480" s="5"/>
      <c r="H480" s="16"/>
      <c r="I480" s="69"/>
      <c r="J480" s="70"/>
      <c r="K480" s="71"/>
      <c r="L480" s="71"/>
      <c r="M480" s="5"/>
    </row>
    <row r="481" spans="1:13" s="3" customFormat="1">
      <c r="A481" s="1"/>
      <c r="B481" s="8"/>
      <c r="C481" s="5"/>
      <c r="D481" s="12"/>
      <c r="E481" s="9"/>
      <c r="F481" s="9"/>
      <c r="G481" s="5"/>
      <c r="H481" s="16"/>
      <c r="I481" s="69"/>
      <c r="J481" s="70"/>
      <c r="K481" s="71"/>
      <c r="L481" s="71"/>
      <c r="M481" s="5"/>
    </row>
    <row r="482" spans="1:13" s="3" customFormat="1">
      <c r="A482" s="1"/>
      <c r="B482" s="8"/>
      <c r="C482" s="5"/>
      <c r="D482" s="12"/>
      <c r="E482" s="9"/>
      <c r="F482" s="9"/>
      <c r="G482" s="5"/>
      <c r="H482" s="16"/>
      <c r="I482" s="69"/>
      <c r="J482" s="70"/>
      <c r="K482" s="71"/>
      <c r="L482" s="71"/>
      <c r="M482" s="5"/>
    </row>
    <row r="483" spans="1:13" s="3" customFormat="1">
      <c r="A483" s="1"/>
      <c r="B483" s="8"/>
      <c r="C483" s="5"/>
      <c r="D483" s="12"/>
      <c r="E483" s="9"/>
      <c r="F483" s="9"/>
      <c r="G483" s="5"/>
      <c r="H483" s="16"/>
      <c r="I483" s="69"/>
      <c r="J483" s="70"/>
      <c r="K483" s="71"/>
      <c r="L483" s="71"/>
      <c r="M483" s="5"/>
    </row>
    <row r="484" spans="1:13" s="3" customFormat="1">
      <c r="A484" s="1"/>
      <c r="B484" s="8"/>
      <c r="C484" s="5"/>
      <c r="D484" s="12"/>
      <c r="E484" s="9"/>
      <c r="F484" s="9"/>
      <c r="G484" s="5"/>
      <c r="H484" s="16"/>
      <c r="I484" s="69"/>
      <c r="J484" s="70"/>
      <c r="K484" s="71"/>
      <c r="L484" s="71"/>
      <c r="M484" s="5"/>
    </row>
    <row r="485" spans="1:13" s="3" customFormat="1">
      <c r="A485" s="1"/>
      <c r="B485" s="8"/>
      <c r="C485" s="5"/>
      <c r="D485" s="12"/>
      <c r="E485" s="9"/>
      <c r="F485" s="9"/>
      <c r="G485" s="5"/>
      <c r="H485" s="16"/>
      <c r="I485" s="69"/>
      <c r="J485" s="70"/>
      <c r="K485" s="71"/>
      <c r="L485" s="71"/>
      <c r="M485" s="5"/>
    </row>
    <row r="486" spans="1:13" s="3" customFormat="1">
      <c r="A486" s="1"/>
      <c r="B486" s="8"/>
      <c r="C486" s="5"/>
      <c r="D486" s="12"/>
      <c r="E486" s="9"/>
      <c r="F486" s="9"/>
      <c r="G486" s="5"/>
      <c r="H486" s="16"/>
      <c r="I486" s="69"/>
      <c r="J486" s="70"/>
      <c r="K486" s="71"/>
      <c r="L486" s="71"/>
      <c r="M486" s="5"/>
    </row>
    <row r="487" spans="1:13" s="3" customFormat="1">
      <c r="A487" s="1"/>
      <c r="B487" s="8"/>
      <c r="C487" s="5"/>
      <c r="D487" s="12"/>
      <c r="E487" s="9"/>
      <c r="F487" s="9"/>
      <c r="G487" s="5"/>
      <c r="H487" s="16"/>
      <c r="I487" s="69"/>
      <c r="J487" s="70"/>
      <c r="K487" s="71"/>
      <c r="L487" s="71"/>
      <c r="M487" s="5"/>
    </row>
    <row r="488" spans="1:13" s="3" customFormat="1">
      <c r="A488" s="1"/>
      <c r="B488" s="8"/>
      <c r="C488" s="5"/>
      <c r="D488" s="12"/>
      <c r="E488" s="9"/>
      <c r="F488" s="9"/>
      <c r="G488" s="5"/>
      <c r="H488" s="16"/>
      <c r="I488" s="69"/>
      <c r="J488" s="70"/>
      <c r="K488" s="71"/>
      <c r="L488" s="71"/>
      <c r="M488" s="5"/>
    </row>
    <row r="489" spans="1:13" s="3" customFormat="1">
      <c r="A489" s="1"/>
      <c r="B489" s="8"/>
      <c r="C489" s="5"/>
      <c r="D489" s="12"/>
      <c r="E489" s="9"/>
      <c r="F489" s="9"/>
      <c r="G489" s="5"/>
      <c r="H489" s="16"/>
      <c r="I489" s="69"/>
      <c r="J489" s="70"/>
      <c r="K489" s="71"/>
      <c r="L489" s="71"/>
      <c r="M489" s="5"/>
    </row>
    <row r="490" spans="1:13" s="3" customFormat="1">
      <c r="A490" s="1"/>
      <c r="B490" s="8"/>
      <c r="C490" s="5"/>
      <c r="D490" s="12"/>
      <c r="E490" s="9"/>
      <c r="F490" s="9"/>
      <c r="G490" s="5"/>
      <c r="H490" s="16"/>
      <c r="I490" s="69"/>
      <c r="J490" s="70"/>
      <c r="K490" s="71"/>
      <c r="L490" s="71"/>
      <c r="M490" s="5"/>
    </row>
    <row r="491" spans="1:13" s="3" customFormat="1">
      <c r="A491" s="1"/>
      <c r="B491" s="8"/>
      <c r="C491" s="5"/>
      <c r="D491" s="12"/>
      <c r="E491" s="9"/>
      <c r="F491" s="9"/>
      <c r="G491" s="5"/>
      <c r="H491" s="16"/>
      <c r="I491" s="69"/>
      <c r="J491" s="70"/>
      <c r="K491" s="71"/>
      <c r="L491" s="71"/>
      <c r="M491" s="5"/>
    </row>
    <row r="492" spans="1:13" s="3" customFormat="1">
      <c r="A492" s="1"/>
      <c r="B492" s="8"/>
      <c r="C492" s="5"/>
      <c r="D492" s="12"/>
      <c r="E492" s="9"/>
      <c r="F492" s="9"/>
      <c r="G492" s="5"/>
      <c r="H492" s="16"/>
      <c r="I492" s="69"/>
      <c r="J492" s="70"/>
      <c r="K492" s="71"/>
      <c r="L492" s="71"/>
      <c r="M492" s="5"/>
    </row>
    <row r="493" spans="1:13" s="3" customFormat="1">
      <c r="A493" s="1"/>
      <c r="B493" s="8"/>
      <c r="C493" s="5"/>
      <c r="D493" s="12"/>
      <c r="E493" s="9"/>
      <c r="F493" s="9"/>
      <c r="G493" s="5"/>
      <c r="H493" s="16"/>
      <c r="I493" s="69"/>
      <c r="J493" s="70"/>
      <c r="K493" s="71"/>
      <c r="L493" s="71"/>
      <c r="M493" s="5"/>
    </row>
    <row r="494" spans="1:13" s="3" customFormat="1">
      <c r="A494" s="1"/>
      <c r="B494" s="8"/>
      <c r="C494" s="5"/>
      <c r="D494" s="12"/>
      <c r="E494" s="9"/>
      <c r="F494" s="9"/>
      <c r="G494" s="5"/>
      <c r="H494" s="16"/>
      <c r="I494" s="69"/>
      <c r="J494" s="70"/>
      <c r="K494" s="71"/>
      <c r="L494" s="71"/>
      <c r="M494" s="5"/>
    </row>
    <row r="495" spans="1:13" s="3" customFormat="1">
      <c r="A495" s="1"/>
      <c r="B495" s="8"/>
      <c r="C495" s="5"/>
      <c r="D495" s="12"/>
      <c r="E495" s="9"/>
      <c r="F495" s="9"/>
      <c r="G495" s="5"/>
      <c r="H495" s="16"/>
      <c r="I495" s="69"/>
      <c r="J495" s="70"/>
      <c r="K495" s="71"/>
      <c r="L495" s="71"/>
      <c r="M495" s="5"/>
    </row>
    <row r="496" spans="1:13" s="3" customFormat="1">
      <c r="A496" s="1"/>
      <c r="B496" s="8"/>
      <c r="C496" s="5"/>
      <c r="D496" s="12"/>
      <c r="E496" s="9"/>
      <c r="F496" s="9"/>
      <c r="G496" s="5"/>
      <c r="H496" s="16"/>
      <c r="I496" s="69"/>
      <c r="J496" s="70"/>
      <c r="K496" s="71"/>
      <c r="L496" s="71"/>
      <c r="M496" s="5"/>
    </row>
    <row r="497" spans="1:13" s="3" customFormat="1">
      <c r="A497" s="1"/>
      <c r="B497" s="8"/>
      <c r="C497" s="5"/>
      <c r="D497" s="12"/>
      <c r="E497" s="9"/>
      <c r="F497" s="9"/>
      <c r="G497" s="5"/>
      <c r="H497" s="16"/>
      <c r="I497" s="69"/>
      <c r="J497" s="70"/>
      <c r="K497" s="71"/>
      <c r="L497" s="71"/>
      <c r="M497" s="5"/>
    </row>
    <row r="498" spans="1:13" s="3" customFormat="1">
      <c r="A498" s="1"/>
      <c r="B498" s="8"/>
      <c r="C498" s="5"/>
      <c r="D498" s="12"/>
      <c r="E498" s="9"/>
      <c r="F498" s="9"/>
      <c r="G498" s="5"/>
      <c r="H498" s="16"/>
      <c r="I498" s="69"/>
      <c r="J498" s="70"/>
      <c r="K498" s="71"/>
      <c r="L498" s="71"/>
      <c r="M498" s="5"/>
    </row>
    <row r="499" spans="1:13" s="3" customFormat="1">
      <c r="A499" s="1"/>
      <c r="B499" s="8"/>
      <c r="C499" s="5"/>
      <c r="D499" s="12"/>
      <c r="E499" s="9"/>
      <c r="F499" s="9"/>
      <c r="G499" s="5"/>
      <c r="H499" s="16"/>
      <c r="I499" s="69"/>
      <c r="J499" s="70"/>
      <c r="K499" s="71"/>
      <c r="L499" s="71"/>
      <c r="M499" s="5"/>
    </row>
    <row r="500" spans="1:13" s="3" customFormat="1">
      <c r="A500" s="1"/>
      <c r="B500" s="8"/>
      <c r="C500" s="5"/>
      <c r="D500" s="12"/>
      <c r="E500" s="9"/>
      <c r="F500" s="9"/>
      <c r="G500" s="5"/>
      <c r="H500" s="16"/>
      <c r="I500" s="69"/>
      <c r="J500" s="70"/>
      <c r="K500" s="71"/>
      <c r="L500" s="71"/>
      <c r="M500" s="5"/>
    </row>
    <row r="501" spans="1:13" s="3" customFormat="1">
      <c r="A501" s="1"/>
      <c r="B501" s="8"/>
      <c r="C501" s="5"/>
      <c r="D501" s="12"/>
      <c r="E501" s="9"/>
      <c r="F501" s="9"/>
      <c r="G501" s="5"/>
      <c r="H501" s="16"/>
      <c r="I501" s="69"/>
      <c r="J501" s="70"/>
      <c r="K501" s="71"/>
      <c r="L501" s="71"/>
      <c r="M501" s="5"/>
    </row>
    <row r="502" spans="1:13" s="3" customFormat="1">
      <c r="A502" s="1"/>
      <c r="B502" s="8"/>
      <c r="C502" s="5"/>
      <c r="D502" s="12"/>
      <c r="E502" s="9"/>
      <c r="F502" s="9"/>
      <c r="G502" s="5"/>
      <c r="H502" s="16"/>
      <c r="I502" s="69"/>
      <c r="J502" s="70"/>
      <c r="K502" s="71"/>
      <c r="L502" s="71"/>
      <c r="M502" s="5"/>
    </row>
    <row r="503" spans="1:13" s="3" customFormat="1">
      <c r="A503" s="1"/>
      <c r="B503" s="8"/>
      <c r="C503" s="5"/>
      <c r="D503" s="12"/>
      <c r="E503" s="9"/>
      <c r="F503" s="9"/>
      <c r="G503" s="5"/>
      <c r="H503" s="16"/>
      <c r="I503" s="69"/>
      <c r="J503" s="70"/>
      <c r="K503" s="71"/>
      <c r="L503" s="71"/>
      <c r="M503" s="5"/>
    </row>
    <row r="504" spans="1:13" s="3" customFormat="1">
      <c r="A504" s="1"/>
      <c r="B504" s="8"/>
      <c r="C504" s="5"/>
      <c r="D504" s="12"/>
      <c r="E504" s="9"/>
      <c r="F504" s="9"/>
      <c r="G504" s="5"/>
      <c r="H504" s="16"/>
      <c r="I504" s="69"/>
      <c r="J504" s="70"/>
      <c r="K504" s="71"/>
      <c r="L504" s="71"/>
      <c r="M504" s="5"/>
    </row>
    <row r="505" spans="1:13" s="3" customFormat="1">
      <c r="A505" s="1"/>
      <c r="B505" s="8"/>
      <c r="C505" s="5"/>
      <c r="D505" s="12"/>
      <c r="E505" s="9"/>
      <c r="F505" s="9"/>
      <c r="G505" s="5"/>
      <c r="H505" s="16"/>
      <c r="I505" s="69"/>
      <c r="J505" s="70"/>
      <c r="K505" s="71"/>
      <c r="L505" s="71"/>
      <c r="M505" s="5"/>
    </row>
    <row r="506" spans="1:13" s="3" customFormat="1">
      <c r="A506" s="1"/>
      <c r="B506" s="8"/>
      <c r="C506" s="5"/>
      <c r="D506" s="12"/>
      <c r="E506" s="9"/>
      <c r="F506" s="9"/>
      <c r="G506" s="5"/>
      <c r="H506" s="16"/>
      <c r="I506" s="69"/>
      <c r="J506" s="70"/>
      <c r="K506" s="71"/>
      <c r="L506" s="71"/>
      <c r="M506" s="5"/>
    </row>
    <row r="507" spans="1:13" s="3" customFormat="1">
      <c r="A507" s="1"/>
      <c r="B507" s="8"/>
      <c r="C507" s="5"/>
      <c r="D507" s="12"/>
      <c r="E507" s="9"/>
      <c r="F507" s="9"/>
      <c r="G507" s="5"/>
      <c r="H507" s="16"/>
      <c r="I507" s="69"/>
      <c r="J507" s="70"/>
      <c r="K507" s="71"/>
      <c r="L507" s="71"/>
      <c r="M507" s="5"/>
    </row>
    <row r="508" spans="1:13" s="3" customFormat="1">
      <c r="A508" s="1"/>
      <c r="B508" s="8"/>
      <c r="C508" s="5"/>
      <c r="D508" s="12"/>
      <c r="E508" s="9"/>
      <c r="F508" s="9"/>
      <c r="G508" s="5"/>
      <c r="H508" s="16"/>
      <c r="I508" s="69"/>
      <c r="J508" s="70"/>
      <c r="K508" s="71"/>
      <c r="L508" s="71"/>
      <c r="M508" s="5"/>
    </row>
    <row r="509" spans="1:13" s="3" customFormat="1">
      <c r="A509" s="1"/>
      <c r="B509" s="8"/>
      <c r="C509" s="5"/>
      <c r="D509" s="12"/>
      <c r="E509" s="9"/>
      <c r="F509" s="9"/>
      <c r="G509" s="5"/>
      <c r="H509" s="16"/>
      <c r="I509" s="69"/>
      <c r="J509" s="70"/>
      <c r="K509" s="71"/>
      <c r="L509" s="71"/>
      <c r="M509" s="5"/>
    </row>
    <row r="510" spans="1:13" s="3" customFormat="1">
      <c r="A510" s="1"/>
      <c r="B510" s="8"/>
      <c r="C510" s="5"/>
      <c r="D510" s="12"/>
      <c r="E510" s="9"/>
      <c r="F510" s="9"/>
      <c r="G510" s="5"/>
      <c r="H510" s="16"/>
      <c r="I510" s="69"/>
      <c r="J510" s="70"/>
      <c r="K510" s="71"/>
      <c r="L510" s="71"/>
      <c r="M510" s="5"/>
    </row>
    <row r="511" spans="1:13" s="3" customFormat="1">
      <c r="A511" s="1"/>
      <c r="B511" s="8"/>
      <c r="C511" s="5"/>
      <c r="D511" s="12"/>
      <c r="E511" s="9"/>
      <c r="F511" s="9"/>
      <c r="G511" s="5"/>
      <c r="H511" s="16"/>
      <c r="I511" s="69"/>
      <c r="J511" s="70"/>
      <c r="K511" s="71"/>
      <c r="L511" s="71"/>
      <c r="M511" s="5"/>
    </row>
    <row r="512" spans="1:13" s="3" customFormat="1">
      <c r="A512" s="1"/>
      <c r="B512" s="8"/>
      <c r="C512" s="5"/>
      <c r="D512" s="12"/>
      <c r="E512" s="9"/>
      <c r="F512" s="9"/>
      <c r="G512" s="5"/>
      <c r="H512" s="16"/>
      <c r="I512" s="69"/>
      <c r="J512" s="70"/>
      <c r="K512" s="71"/>
      <c r="L512" s="71"/>
      <c r="M512" s="5"/>
    </row>
    <row r="513" spans="1:13" s="3" customFormat="1">
      <c r="A513" s="1"/>
      <c r="B513" s="8"/>
      <c r="C513" s="5"/>
      <c r="D513" s="12"/>
      <c r="E513" s="9"/>
      <c r="F513" s="9"/>
      <c r="G513" s="5"/>
      <c r="H513" s="16"/>
      <c r="I513" s="69"/>
      <c r="J513" s="70"/>
      <c r="K513" s="71"/>
      <c r="L513" s="71"/>
      <c r="M513" s="5"/>
    </row>
    <row r="514" spans="1:13" s="3" customFormat="1">
      <c r="A514" s="1"/>
      <c r="B514" s="8"/>
      <c r="C514" s="5"/>
      <c r="D514" s="12"/>
      <c r="E514" s="9"/>
      <c r="F514" s="9"/>
      <c r="G514" s="5"/>
      <c r="H514" s="16"/>
      <c r="I514" s="69"/>
      <c r="J514" s="70"/>
      <c r="K514" s="71"/>
      <c r="L514" s="71"/>
      <c r="M514" s="5"/>
    </row>
    <row r="515" spans="1:13" s="3" customFormat="1">
      <c r="A515" s="1"/>
      <c r="B515" s="8"/>
      <c r="C515" s="5"/>
      <c r="D515" s="12"/>
      <c r="E515" s="9"/>
      <c r="F515" s="9"/>
      <c r="G515" s="5"/>
      <c r="H515" s="16"/>
      <c r="I515" s="69"/>
      <c r="J515" s="70"/>
      <c r="K515" s="71"/>
      <c r="L515" s="71"/>
      <c r="M515" s="5"/>
    </row>
    <row r="516" spans="1:13" s="3" customFormat="1">
      <c r="A516" s="1"/>
      <c r="B516" s="8"/>
      <c r="C516" s="5"/>
      <c r="D516" s="12"/>
      <c r="E516" s="9"/>
      <c r="F516" s="9"/>
      <c r="G516" s="5"/>
      <c r="H516" s="16"/>
      <c r="I516" s="69"/>
      <c r="J516" s="70"/>
      <c r="K516" s="71"/>
      <c r="L516" s="71"/>
      <c r="M516" s="5"/>
    </row>
    <row r="517" spans="1:13" s="3" customFormat="1">
      <c r="A517" s="1"/>
      <c r="B517" s="8"/>
      <c r="C517" s="5"/>
      <c r="D517" s="12"/>
      <c r="E517" s="9"/>
      <c r="F517" s="9"/>
      <c r="G517" s="5"/>
      <c r="H517" s="16"/>
      <c r="I517" s="69"/>
      <c r="J517" s="70"/>
      <c r="K517" s="71"/>
      <c r="L517" s="71"/>
      <c r="M517" s="5"/>
    </row>
    <row r="518" spans="1:13" s="3" customFormat="1">
      <c r="A518" s="1"/>
      <c r="B518" s="8"/>
      <c r="C518" s="5"/>
      <c r="D518" s="12"/>
      <c r="E518" s="9"/>
      <c r="F518" s="9"/>
      <c r="G518" s="5"/>
      <c r="H518" s="16"/>
      <c r="I518" s="69"/>
      <c r="J518" s="70"/>
      <c r="K518" s="71"/>
      <c r="L518" s="71"/>
      <c r="M518" s="5"/>
    </row>
    <row r="519" spans="1:13" s="3" customFormat="1">
      <c r="A519" s="1"/>
      <c r="B519" s="8"/>
      <c r="C519" s="5"/>
      <c r="D519" s="12"/>
      <c r="E519" s="9"/>
      <c r="F519" s="9"/>
      <c r="G519" s="5"/>
      <c r="H519" s="16"/>
      <c r="I519" s="69"/>
      <c r="J519" s="70"/>
      <c r="K519" s="71"/>
      <c r="L519" s="71"/>
      <c r="M519" s="5"/>
    </row>
    <row r="520" spans="1:13" s="3" customFormat="1">
      <c r="A520" s="1"/>
      <c r="B520" s="8"/>
      <c r="C520" s="5"/>
      <c r="D520" s="12"/>
      <c r="E520" s="9"/>
      <c r="F520" s="9"/>
      <c r="G520" s="5"/>
      <c r="H520" s="16"/>
      <c r="I520" s="69"/>
      <c r="J520" s="70"/>
      <c r="K520" s="71"/>
      <c r="L520" s="71"/>
      <c r="M520" s="5"/>
    </row>
    <row r="521" spans="1:13" s="3" customFormat="1">
      <c r="A521" s="1"/>
      <c r="B521" s="8"/>
      <c r="C521" s="5"/>
      <c r="D521" s="12"/>
      <c r="E521" s="9"/>
      <c r="F521" s="9"/>
      <c r="G521" s="5"/>
      <c r="H521" s="16"/>
      <c r="I521" s="69"/>
      <c r="J521" s="70"/>
      <c r="K521" s="71"/>
      <c r="L521" s="71"/>
      <c r="M521" s="5"/>
    </row>
    <row r="522" spans="1:13" s="3" customFormat="1">
      <c r="A522" s="1"/>
      <c r="B522" s="8"/>
      <c r="C522" s="5"/>
      <c r="D522" s="12"/>
      <c r="E522" s="9"/>
      <c r="F522" s="9"/>
      <c r="G522" s="5"/>
      <c r="H522" s="16"/>
      <c r="I522" s="69"/>
      <c r="J522" s="70"/>
      <c r="K522" s="71"/>
      <c r="L522" s="71"/>
      <c r="M522" s="5"/>
    </row>
    <row r="523" spans="1:13" s="3" customFormat="1">
      <c r="A523" s="1"/>
      <c r="B523" s="8"/>
      <c r="C523" s="5"/>
      <c r="D523" s="12"/>
      <c r="E523" s="9"/>
      <c r="F523" s="9"/>
      <c r="G523" s="5"/>
      <c r="H523" s="16"/>
      <c r="I523" s="69"/>
      <c r="J523" s="70"/>
      <c r="K523" s="71"/>
      <c r="L523" s="71"/>
      <c r="M523" s="5"/>
    </row>
    <row r="524" spans="1:13" s="3" customFormat="1">
      <c r="A524" s="1"/>
      <c r="B524" s="8"/>
      <c r="C524" s="5"/>
      <c r="D524" s="12"/>
      <c r="E524" s="9"/>
      <c r="F524" s="9"/>
      <c r="G524" s="5"/>
      <c r="H524" s="16"/>
      <c r="I524" s="69"/>
      <c r="J524" s="70"/>
      <c r="K524" s="71"/>
      <c r="L524" s="71"/>
      <c r="M524" s="5"/>
    </row>
    <row r="525" spans="1:13" s="3" customFormat="1">
      <c r="A525" s="1"/>
      <c r="B525" s="8"/>
      <c r="C525" s="5"/>
      <c r="D525" s="12"/>
      <c r="E525" s="9"/>
      <c r="F525" s="9"/>
      <c r="G525" s="5"/>
      <c r="H525" s="16"/>
      <c r="I525" s="69"/>
      <c r="J525" s="70"/>
      <c r="K525" s="71"/>
      <c r="L525" s="71"/>
      <c r="M525" s="5"/>
    </row>
    <row r="526" spans="1:13" s="3" customFormat="1">
      <c r="A526" s="1"/>
      <c r="B526" s="8"/>
      <c r="C526" s="5"/>
      <c r="D526" s="12"/>
      <c r="E526" s="9"/>
      <c r="F526" s="9"/>
      <c r="G526" s="5"/>
      <c r="H526" s="16"/>
      <c r="I526" s="69"/>
      <c r="J526" s="70"/>
      <c r="K526" s="71"/>
      <c r="L526" s="71"/>
      <c r="M526" s="5"/>
    </row>
    <row r="527" spans="1:13" s="3" customFormat="1">
      <c r="A527" s="1"/>
      <c r="B527" s="8"/>
      <c r="C527" s="5"/>
      <c r="D527" s="12"/>
      <c r="E527" s="9"/>
      <c r="F527" s="9"/>
      <c r="G527" s="5"/>
      <c r="H527" s="16"/>
      <c r="I527" s="69"/>
      <c r="J527" s="70"/>
      <c r="K527" s="71"/>
      <c r="L527" s="71"/>
      <c r="M527" s="5"/>
    </row>
    <row r="528" spans="1:13" s="3" customFormat="1">
      <c r="A528" s="1"/>
      <c r="B528" s="8"/>
      <c r="C528" s="5"/>
      <c r="D528" s="12"/>
      <c r="E528" s="9"/>
      <c r="F528" s="9"/>
      <c r="G528" s="5"/>
      <c r="H528" s="16"/>
      <c r="I528" s="69"/>
      <c r="J528" s="70"/>
      <c r="K528" s="71"/>
      <c r="L528" s="71"/>
      <c r="M528" s="5"/>
    </row>
    <row r="529" spans="1:13" s="3" customFormat="1">
      <c r="A529" s="1"/>
      <c r="B529" s="8"/>
      <c r="C529" s="5"/>
      <c r="D529" s="12"/>
      <c r="E529" s="9"/>
      <c r="F529" s="9"/>
      <c r="G529" s="5"/>
      <c r="H529" s="16"/>
      <c r="I529" s="69"/>
      <c r="J529" s="70"/>
      <c r="K529" s="71"/>
      <c r="L529" s="71"/>
      <c r="M529" s="5"/>
    </row>
    <row r="530" spans="1:13" s="3" customFormat="1">
      <c r="A530" s="1"/>
      <c r="B530" s="8"/>
      <c r="C530" s="5"/>
      <c r="D530" s="12"/>
      <c r="E530" s="9"/>
      <c r="F530" s="9"/>
      <c r="G530" s="5"/>
      <c r="H530" s="16"/>
      <c r="I530" s="69"/>
      <c r="J530" s="70"/>
      <c r="K530" s="71"/>
      <c r="L530" s="71"/>
      <c r="M530" s="5"/>
    </row>
    <row r="531" spans="1:13" s="3" customFormat="1">
      <c r="A531" s="1"/>
      <c r="B531" s="8"/>
      <c r="C531" s="5"/>
      <c r="D531" s="12"/>
      <c r="E531" s="9"/>
      <c r="F531" s="9"/>
      <c r="G531" s="5"/>
      <c r="H531" s="16"/>
      <c r="I531" s="69"/>
      <c r="J531" s="70"/>
      <c r="K531" s="71"/>
      <c r="L531" s="71"/>
      <c r="M531" s="5"/>
    </row>
    <row r="532" spans="1:13" s="3" customFormat="1">
      <c r="A532" s="1"/>
      <c r="B532" s="8"/>
      <c r="C532" s="5"/>
      <c r="D532" s="12"/>
      <c r="E532" s="9"/>
      <c r="F532" s="9"/>
      <c r="G532" s="5"/>
      <c r="H532" s="16"/>
      <c r="I532" s="69"/>
      <c r="J532" s="70"/>
      <c r="K532" s="71"/>
      <c r="L532" s="71"/>
      <c r="M532" s="5"/>
    </row>
    <row r="533" spans="1:13" s="3" customFormat="1">
      <c r="A533" s="1"/>
      <c r="B533" s="8"/>
      <c r="C533" s="5"/>
      <c r="D533" s="12"/>
      <c r="E533" s="9"/>
      <c r="F533" s="9"/>
      <c r="G533" s="5"/>
      <c r="H533" s="16"/>
      <c r="I533" s="69"/>
      <c r="J533" s="70"/>
      <c r="K533" s="71"/>
      <c r="L533" s="71"/>
      <c r="M533" s="5"/>
    </row>
    <row r="534" spans="1:13" s="3" customFormat="1">
      <c r="A534" s="1"/>
      <c r="B534" s="8"/>
      <c r="C534" s="5"/>
      <c r="D534" s="12"/>
      <c r="E534" s="9"/>
      <c r="F534" s="9"/>
      <c r="G534" s="5"/>
      <c r="H534" s="16"/>
      <c r="I534" s="69"/>
      <c r="J534" s="70"/>
      <c r="K534" s="71"/>
      <c r="L534" s="71"/>
      <c r="M534" s="5"/>
    </row>
    <row r="535" spans="1:13" s="3" customFormat="1">
      <c r="A535" s="1"/>
      <c r="B535" s="8"/>
      <c r="C535" s="5"/>
      <c r="D535" s="12"/>
      <c r="E535" s="9"/>
      <c r="F535" s="9"/>
      <c r="G535" s="5"/>
      <c r="H535" s="16"/>
      <c r="I535" s="69"/>
      <c r="J535" s="70"/>
      <c r="K535" s="71"/>
      <c r="L535" s="71"/>
      <c r="M535" s="5"/>
    </row>
    <row r="536" spans="1:13" s="3" customFormat="1">
      <c r="A536" s="1"/>
      <c r="B536" s="8"/>
      <c r="C536" s="5"/>
      <c r="D536" s="12"/>
      <c r="E536" s="9"/>
      <c r="F536" s="9"/>
      <c r="G536" s="5"/>
      <c r="H536" s="16"/>
      <c r="I536" s="69"/>
      <c r="J536" s="70"/>
      <c r="K536" s="71"/>
      <c r="L536" s="71"/>
      <c r="M536" s="5"/>
    </row>
    <row r="537" spans="1:13" s="3" customFormat="1">
      <c r="A537" s="1"/>
      <c r="B537" s="8"/>
      <c r="C537" s="5"/>
      <c r="D537" s="12"/>
      <c r="E537" s="9"/>
      <c r="F537" s="9"/>
      <c r="G537" s="5"/>
      <c r="H537" s="16"/>
      <c r="I537" s="69"/>
      <c r="J537" s="70"/>
      <c r="K537" s="71"/>
      <c r="L537" s="71"/>
      <c r="M537" s="5"/>
    </row>
    <row r="538" spans="1:13" s="3" customFormat="1">
      <c r="A538" s="1"/>
      <c r="B538" s="8"/>
      <c r="C538" s="5"/>
      <c r="D538" s="12"/>
      <c r="E538" s="9"/>
      <c r="F538" s="9"/>
      <c r="G538" s="5"/>
      <c r="H538" s="16"/>
      <c r="I538" s="69"/>
      <c r="J538" s="70"/>
      <c r="K538" s="71"/>
      <c r="L538" s="71"/>
      <c r="M538" s="5"/>
    </row>
    <row r="539" spans="1:13" s="3" customFormat="1">
      <c r="A539" s="1"/>
      <c r="B539" s="8"/>
      <c r="C539" s="5"/>
      <c r="D539" s="12"/>
      <c r="E539" s="9"/>
      <c r="F539" s="9"/>
      <c r="G539" s="5"/>
      <c r="H539" s="16"/>
      <c r="I539" s="69"/>
      <c r="J539" s="70"/>
      <c r="K539" s="71"/>
      <c r="L539" s="71"/>
      <c r="M539" s="5"/>
    </row>
    <row r="540" spans="1:13" s="3" customFormat="1">
      <c r="A540" s="1"/>
      <c r="B540" s="8"/>
      <c r="C540" s="5"/>
      <c r="D540" s="12"/>
      <c r="E540" s="9"/>
      <c r="F540" s="9"/>
      <c r="G540" s="5"/>
      <c r="H540" s="16"/>
      <c r="I540" s="69"/>
      <c r="J540" s="70"/>
      <c r="K540" s="71"/>
      <c r="L540" s="71"/>
      <c r="M540" s="5"/>
    </row>
    <row r="541" spans="1:13" s="3" customFormat="1">
      <c r="A541" s="1"/>
      <c r="B541" s="8"/>
      <c r="C541" s="5"/>
      <c r="D541" s="12"/>
      <c r="E541" s="9"/>
      <c r="F541" s="9"/>
      <c r="G541" s="5"/>
      <c r="H541" s="16"/>
      <c r="I541" s="69"/>
      <c r="J541" s="70"/>
      <c r="K541" s="71"/>
      <c r="L541" s="71"/>
      <c r="M541" s="5"/>
    </row>
    <row r="542" spans="1:13" s="3" customFormat="1">
      <c r="A542" s="1"/>
      <c r="B542" s="8"/>
      <c r="C542" s="5"/>
      <c r="D542" s="12"/>
      <c r="E542" s="9"/>
      <c r="F542" s="9"/>
      <c r="G542" s="5"/>
      <c r="H542" s="16"/>
      <c r="I542" s="69"/>
      <c r="J542" s="70"/>
      <c r="K542" s="71"/>
      <c r="L542" s="71"/>
      <c r="M542" s="5"/>
    </row>
    <row r="543" spans="1:13" s="3" customFormat="1">
      <c r="A543" s="1"/>
      <c r="B543" s="8"/>
      <c r="C543" s="5"/>
      <c r="D543" s="12"/>
      <c r="E543" s="9"/>
      <c r="F543" s="9"/>
      <c r="G543" s="5"/>
      <c r="H543" s="16"/>
      <c r="I543" s="69"/>
      <c r="J543" s="70"/>
      <c r="K543" s="71"/>
      <c r="L543" s="71"/>
      <c r="M543" s="5"/>
    </row>
    <row r="544" spans="1:13" s="3" customFormat="1">
      <c r="A544" s="1"/>
      <c r="B544" s="8"/>
      <c r="C544" s="5"/>
      <c r="D544" s="12"/>
      <c r="E544" s="9"/>
      <c r="F544" s="9"/>
      <c r="G544" s="5"/>
      <c r="H544" s="16"/>
      <c r="I544" s="69"/>
      <c r="J544" s="70"/>
      <c r="K544" s="71"/>
      <c r="L544" s="71"/>
      <c r="M544" s="5"/>
    </row>
    <row r="545" spans="1:13" s="3" customFormat="1">
      <c r="A545" s="1"/>
      <c r="B545" s="8"/>
      <c r="C545" s="5"/>
      <c r="D545" s="12"/>
      <c r="E545" s="9"/>
      <c r="F545" s="9"/>
      <c r="G545" s="5"/>
      <c r="H545" s="16"/>
      <c r="I545" s="69"/>
      <c r="J545" s="70"/>
      <c r="K545" s="71"/>
      <c r="L545" s="71"/>
      <c r="M545" s="5"/>
    </row>
    <row r="546" spans="1:13" s="3" customFormat="1">
      <c r="A546" s="1"/>
      <c r="B546" s="8"/>
      <c r="C546" s="5"/>
      <c r="D546" s="12"/>
      <c r="E546" s="9"/>
      <c r="F546" s="9"/>
      <c r="G546" s="5"/>
      <c r="H546" s="16"/>
      <c r="I546" s="69"/>
      <c r="J546" s="70"/>
      <c r="K546" s="71"/>
      <c r="L546" s="71"/>
      <c r="M546" s="5"/>
    </row>
    <row r="547" spans="1:13" s="3" customFormat="1">
      <c r="A547" s="1"/>
      <c r="B547" s="8"/>
      <c r="C547" s="5"/>
      <c r="D547" s="12"/>
      <c r="E547" s="9"/>
      <c r="F547" s="9"/>
      <c r="G547" s="5"/>
      <c r="H547" s="16"/>
      <c r="I547" s="69"/>
      <c r="J547" s="70"/>
      <c r="K547" s="71"/>
      <c r="L547" s="71"/>
      <c r="M547" s="5"/>
    </row>
    <row r="548" spans="1:13" s="3" customFormat="1">
      <c r="A548" s="1"/>
      <c r="B548" s="8"/>
      <c r="C548" s="5"/>
      <c r="D548" s="12"/>
      <c r="E548" s="9"/>
      <c r="F548" s="9"/>
      <c r="G548" s="5"/>
      <c r="H548" s="16"/>
      <c r="I548" s="69"/>
      <c r="J548" s="70"/>
      <c r="K548" s="71"/>
      <c r="L548" s="71"/>
      <c r="M548" s="5"/>
    </row>
    <row r="549" spans="1:13" s="3" customFormat="1">
      <c r="A549" s="1"/>
      <c r="B549" s="8"/>
      <c r="C549" s="5"/>
      <c r="D549" s="12"/>
      <c r="E549" s="9"/>
      <c r="F549" s="9"/>
      <c r="G549" s="5"/>
      <c r="H549" s="16"/>
      <c r="I549" s="69"/>
      <c r="J549" s="70"/>
      <c r="K549" s="71"/>
      <c r="L549" s="71"/>
      <c r="M549" s="5"/>
    </row>
    <row r="550" spans="1:13" s="3" customFormat="1">
      <c r="A550" s="1"/>
      <c r="B550" s="8"/>
      <c r="C550" s="5"/>
      <c r="D550" s="12"/>
      <c r="E550" s="9"/>
      <c r="F550" s="9"/>
      <c r="G550" s="5"/>
      <c r="H550" s="16"/>
      <c r="I550" s="69"/>
      <c r="J550" s="70"/>
      <c r="K550" s="71"/>
      <c r="L550" s="71"/>
      <c r="M550" s="5"/>
    </row>
    <row r="551" spans="1:13" s="3" customFormat="1">
      <c r="A551" s="1"/>
      <c r="B551" s="8"/>
      <c r="C551" s="5"/>
      <c r="D551" s="12"/>
      <c r="E551" s="9"/>
      <c r="F551" s="9"/>
      <c r="G551" s="5"/>
      <c r="H551" s="16"/>
      <c r="I551" s="69"/>
      <c r="J551" s="70"/>
      <c r="K551" s="71"/>
      <c r="L551" s="71"/>
      <c r="M551" s="5"/>
    </row>
    <row r="552" spans="1:13" s="3" customFormat="1">
      <c r="A552" s="1"/>
      <c r="B552" s="8"/>
      <c r="C552" s="5"/>
      <c r="D552" s="12"/>
      <c r="E552" s="9"/>
      <c r="F552" s="9"/>
      <c r="G552" s="5"/>
      <c r="H552" s="16"/>
      <c r="I552" s="69"/>
      <c r="J552" s="70"/>
      <c r="K552" s="71"/>
      <c r="L552" s="71"/>
      <c r="M552" s="5"/>
    </row>
    <row r="553" spans="1:13" s="3" customFormat="1">
      <c r="A553" s="1"/>
      <c r="B553" s="8"/>
      <c r="C553" s="5"/>
      <c r="D553" s="12"/>
      <c r="E553" s="9"/>
      <c r="F553" s="9"/>
      <c r="G553" s="5"/>
      <c r="H553" s="16"/>
      <c r="I553" s="69"/>
      <c r="J553" s="70"/>
      <c r="K553" s="71"/>
      <c r="L553" s="71"/>
      <c r="M553" s="5"/>
    </row>
    <row r="554" spans="1:13" s="3" customFormat="1">
      <c r="A554" s="1"/>
      <c r="B554" s="8"/>
      <c r="C554" s="5"/>
      <c r="D554" s="12"/>
      <c r="E554" s="9"/>
      <c r="F554" s="9"/>
      <c r="G554" s="5"/>
      <c r="H554" s="16"/>
      <c r="I554" s="69"/>
      <c r="J554" s="70"/>
      <c r="K554" s="71"/>
      <c r="L554" s="71"/>
      <c r="M554" s="5"/>
    </row>
    <row r="555" spans="1:13" s="3" customFormat="1">
      <c r="A555" s="1"/>
      <c r="B555" s="8"/>
      <c r="C555" s="5"/>
      <c r="D555" s="12"/>
      <c r="E555" s="9"/>
      <c r="F555" s="9"/>
      <c r="G555" s="5"/>
      <c r="H555" s="16"/>
      <c r="I555" s="69"/>
      <c r="J555" s="70"/>
      <c r="K555" s="71"/>
      <c r="L555" s="71"/>
      <c r="M555" s="5"/>
    </row>
    <row r="556" spans="1:13" s="3" customFormat="1">
      <c r="A556" s="1"/>
      <c r="B556" s="8"/>
      <c r="C556" s="5"/>
      <c r="D556" s="12"/>
      <c r="E556" s="9"/>
      <c r="F556" s="9"/>
      <c r="G556" s="5"/>
      <c r="H556" s="16"/>
      <c r="I556" s="69"/>
      <c r="J556" s="70"/>
      <c r="K556" s="71"/>
      <c r="L556" s="71"/>
      <c r="M556" s="5"/>
    </row>
    <row r="557" spans="1:13" s="3" customFormat="1">
      <c r="A557" s="1"/>
      <c r="B557" s="8"/>
      <c r="C557" s="5"/>
      <c r="D557" s="12"/>
      <c r="E557" s="9"/>
      <c r="F557" s="9"/>
      <c r="G557" s="5"/>
      <c r="H557" s="16"/>
      <c r="I557" s="69"/>
      <c r="J557" s="70"/>
      <c r="K557" s="71"/>
      <c r="L557" s="71"/>
      <c r="M557" s="5"/>
    </row>
    <row r="558" spans="1:13" s="3" customFormat="1">
      <c r="A558" s="1"/>
      <c r="B558" s="8"/>
      <c r="C558" s="5"/>
      <c r="D558" s="12"/>
      <c r="E558" s="9"/>
      <c r="F558" s="9"/>
      <c r="G558" s="5"/>
      <c r="H558" s="16"/>
      <c r="I558" s="69"/>
      <c r="J558" s="70"/>
      <c r="K558" s="71"/>
      <c r="L558" s="71"/>
      <c r="M558" s="5"/>
    </row>
    <row r="559" spans="1:13" s="3" customFormat="1">
      <c r="A559" s="1"/>
      <c r="B559" s="8"/>
      <c r="C559" s="5"/>
      <c r="D559" s="12"/>
      <c r="E559" s="9"/>
      <c r="F559" s="9"/>
      <c r="G559" s="5"/>
      <c r="H559" s="16"/>
      <c r="I559" s="69"/>
      <c r="J559" s="70"/>
      <c r="K559" s="71"/>
      <c r="L559" s="71"/>
      <c r="M559" s="5"/>
    </row>
    <row r="560" spans="1:13" s="3" customFormat="1">
      <c r="A560" s="1"/>
      <c r="B560" s="8"/>
      <c r="C560" s="5"/>
      <c r="D560" s="12"/>
      <c r="E560" s="9"/>
      <c r="F560" s="9"/>
      <c r="G560" s="5"/>
      <c r="H560" s="16"/>
      <c r="I560" s="69"/>
      <c r="J560" s="70"/>
      <c r="K560" s="71"/>
      <c r="L560" s="71"/>
      <c r="M560" s="5"/>
    </row>
    <row r="561" spans="1:13" s="3" customFormat="1">
      <c r="A561" s="1"/>
      <c r="B561" s="8"/>
      <c r="C561" s="5"/>
      <c r="D561" s="12"/>
      <c r="E561" s="9"/>
      <c r="F561" s="9"/>
      <c r="G561" s="5"/>
      <c r="H561" s="16"/>
      <c r="I561" s="69"/>
      <c r="J561" s="70"/>
      <c r="K561" s="71"/>
      <c r="L561" s="71"/>
      <c r="M561" s="5"/>
    </row>
    <row r="562" spans="1:13" s="3" customFormat="1">
      <c r="A562" s="1"/>
      <c r="B562" s="8"/>
      <c r="C562" s="5"/>
      <c r="D562" s="12"/>
      <c r="E562" s="9"/>
      <c r="F562" s="9"/>
      <c r="G562" s="5"/>
      <c r="H562" s="16"/>
      <c r="I562" s="69"/>
      <c r="J562" s="70"/>
      <c r="K562" s="71"/>
      <c r="L562" s="71"/>
      <c r="M562" s="5"/>
    </row>
    <row r="563" spans="1:13" s="3" customFormat="1">
      <c r="A563" s="1"/>
      <c r="B563" s="8"/>
      <c r="C563" s="5"/>
      <c r="D563" s="12"/>
      <c r="E563" s="9"/>
      <c r="F563" s="9"/>
      <c r="G563" s="5"/>
      <c r="H563" s="16"/>
      <c r="I563" s="69"/>
      <c r="J563" s="70"/>
      <c r="K563" s="71"/>
      <c r="L563" s="71"/>
      <c r="M563" s="5"/>
    </row>
    <row r="564" spans="1:13" s="3" customFormat="1">
      <c r="A564" s="1"/>
      <c r="B564" s="8"/>
      <c r="C564" s="5"/>
      <c r="D564" s="12"/>
      <c r="E564" s="9"/>
      <c r="F564" s="9"/>
      <c r="G564" s="5"/>
      <c r="H564" s="16"/>
      <c r="I564" s="69"/>
      <c r="J564" s="70"/>
      <c r="K564" s="71"/>
      <c r="L564" s="71"/>
      <c r="M564" s="5"/>
    </row>
    <row r="565" spans="1:13" s="3" customFormat="1">
      <c r="A565" s="1"/>
      <c r="B565" s="8"/>
      <c r="C565" s="5"/>
      <c r="D565" s="12"/>
      <c r="E565" s="9"/>
      <c r="F565" s="9"/>
      <c r="G565" s="5"/>
      <c r="H565" s="16"/>
      <c r="I565" s="69"/>
      <c r="J565" s="70"/>
      <c r="K565" s="71"/>
      <c r="L565" s="71"/>
      <c r="M565" s="5"/>
    </row>
    <row r="566" spans="1:13" s="3" customFormat="1">
      <c r="A566" s="1"/>
      <c r="B566" s="8"/>
      <c r="C566" s="5"/>
      <c r="D566" s="12"/>
      <c r="E566" s="9"/>
      <c r="F566" s="9"/>
      <c r="G566" s="5"/>
      <c r="H566" s="16"/>
      <c r="I566" s="69"/>
      <c r="J566" s="70"/>
      <c r="K566" s="71"/>
      <c r="L566" s="71"/>
      <c r="M566" s="5"/>
    </row>
    <row r="567" spans="1:13" s="3" customFormat="1">
      <c r="A567" s="1"/>
      <c r="B567" s="8"/>
      <c r="C567" s="5"/>
      <c r="D567" s="12"/>
      <c r="E567" s="9"/>
      <c r="F567" s="9"/>
      <c r="G567" s="5"/>
      <c r="H567" s="16"/>
      <c r="I567" s="69"/>
      <c r="J567" s="70"/>
      <c r="K567" s="71"/>
      <c r="L567" s="71"/>
      <c r="M567" s="5"/>
    </row>
    <row r="568" spans="1:13" s="3" customFormat="1">
      <c r="A568" s="1"/>
      <c r="B568" s="8"/>
      <c r="C568" s="5"/>
      <c r="D568" s="12"/>
      <c r="E568" s="9"/>
      <c r="F568" s="9"/>
      <c r="G568" s="5"/>
      <c r="H568" s="16"/>
      <c r="I568" s="69"/>
      <c r="J568" s="70"/>
      <c r="K568" s="71"/>
      <c r="L568" s="71"/>
      <c r="M568" s="5"/>
    </row>
    <row r="569" spans="1:13" s="3" customFormat="1">
      <c r="A569" s="1"/>
      <c r="B569" s="8"/>
      <c r="C569" s="5"/>
      <c r="D569" s="12"/>
      <c r="E569" s="9"/>
      <c r="F569" s="9"/>
      <c r="G569" s="5"/>
      <c r="H569" s="16"/>
      <c r="I569" s="69"/>
      <c r="J569" s="70"/>
      <c r="K569" s="71"/>
      <c r="L569" s="71"/>
      <c r="M569" s="5"/>
    </row>
    <row r="570" spans="1:13" s="3" customFormat="1">
      <c r="A570" s="1"/>
      <c r="B570" s="8"/>
      <c r="C570" s="5"/>
      <c r="D570" s="12"/>
      <c r="E570" s="9"/>
      <c r="F570" s="9"/>
      <c r="G570" s="5"/>
      <c r="H570" s="16"/>
      <c r="I570" s="69"/>
      <c r="J570" s="70"/>
      <c r="K570" s="71"/>
      <c r="L570" s="71"/>
      <c r="M570" s="5"/>
    </row>
    <row r="571" spans="1:13" s="3" customFormat="1">
      <c r="A571" s="1"/>
      <c r="B571" s="8"/>
      <c r="C571" s="5"/>
      <c r="D571" s="12"/>
      <c r="E571" s="9"/>
      <c r="F571" s="9"/>
      <c r="G571" s="5"/>
      <c r="H571" s="16"/>
      <c r="I571" s="69"/>
      <c r="J571" s="70"/>
      <c r="K571" s="71"/>
      <c r="L571" s="71"/>
      <c r="M571" s="5"/>
    </row>
    <row r="572" spans="1:13" s="3" customFormat="1">
      <c r="A572" s="1"/>
      <c r="B572" s="8"/>
      <c r="C572" s="5"/>
      <c r="D572" s="12"/>
      <c r="E572" s="9"/>
      <c r="F572" s="9"/>
      <c r="G572" s="5"/>
      <c r="H572" s="16"/>
      <c r="I572" s="69"/>
      <c r="J572" s="70"/>
      <c r="K572" s="71"/>
      <c r="L572" s="71"/>
      <c r="M572" s="5"/>
    </row>
    <row r="573" spans="1:13" s="3" customFormat="1">
      <c r="A573" s="1"/>
      <c r="B573" s="8"/>
      <c r="C573" s="5"/>
      <c r="D573" s="12"/>
      <c r="E573" s="9"/>
      <c r="F573" s="9"/>
      <c r="G573" s="5"/>
      <c r="H573" s="16"/>
      <c r="I573" s="69"/>
      <c r="J573" s="70"/>
      <c r="K573" s="71"/>
      <c r="L573" s="71"/>
      <c r="M573" s="5"/>
    </row>
    <row r="574" spans="1:13" s="3" customFormat="1">
      <c r="A574" s="1"/>
      <c r="B574" s="8"/>
      <c r="C574" s="5"/>
      <c r="D574" s="12"/>
      <c r="E574" s="9"/>
      <c r="F574" s="9"/>
      <c r="G574" s="5"/>
      <c r="H574" s="16"/>
      <c r="I574" s="69"/>
      <c r="J574" s="70"/>
      <c r="K574" s="71"/>
      <c r="L574" s="71"/>
      <c r="M574" s="5"/>
    </row>
    <row r="575" spans="1:13" s="3" customFormat="1">
      <c r="A575" s="1"/>
      <c r="B575" s="8"/>
      <c r="C575" s="5"/>
      <c r="D575" s="12"/>
      <c r="E575" s="9"/>
      <c r="F575" s="9"/>
      <c r="G575" s="5"/>
      <c r="H575" s="16"/>
      <c r="I575" s="69"/>
      <c r="J575" s="70"/>
      <c r="K575" s="71"/>
      <c r="L575" s="71"/>
      <c r="M575" s="5"/>
    </row>
    <row r="576" spans="1:13" s="3" customFormat="1">
      <c r="A576" s="1"/>
      <c r="B576" s="8"/>
      <c r="C576" s="5"/>
      <c r="D576" s="12"/>
      <c r="E576" s="9"/>
      <c r="F576" s="9"/>
      <c r="G576" s="5"/>
      <c r="H576" s="16"/>
      <c r="I576" s="69"/>
      <c r="J576" s="70"/>
      <c r="K576" s="71"/>
      <c r="L576" s="71"/>
      <c r="M576" s="5"/>
    </row>
    <row r="577" spans="1:13" s="3" customFormat="1">
      <c r="A577" s="1"/>
      <c r="B577" s="8"/>
      <c r="C577" s="5"/>
      <c r="D577" s="12"/>
      <c r="E577" s="9"/>
      <c r="F577" s="9"/>
      <c r="G577" s="5"/>
      <c r="H577" s="16"/>
      <c r="I577" s="69"/>
      <c r="J577" s="70"/>
      <c r="K577" s="71"/>
      <c r="L577" s="71"/>
      <c r="M577" s="5"/>
    </row>
    <row r="578" spans="1:13" s="3" customFormat="1">
      <c r="A578" s="1"/>
      <c r="B578" s="8"/>
      <c r="C578" s="5"/>
      <c r="D578" s="12"/>
      <c r="E578" s="9"/>
      <c r="F578" s="9"/>
      <c r="G578" s="5"/>
      <c r="H578" s="16"/>
      <c r="I578" s="69"/>
      <c r="J578" s="70"/>
      <c r="K578" s="71"/>
      <c r="L578" s="71"/>
      <c r="M578" s="5"/>
    </row>
    <row r="579" spans="1:13" s="3" customFormat="1">
      <c r="A579" s="1"/>
      <c r="B579" s="8"/>
      <c r="C579" s="5"/>
      <c r="D579" s="12"/>
      <c r="E579" s="9"/>
      <c r="F579" s="9"/>
      <c r="G579" s="5"/>
      <c r="H579" s="16"/>
      <c r="I579" s="69"/>
      <c r="J579" s="70"/>
      <c r="K579" s="71"/>
      <c r="L579" s="71"/>
      <c r="M579" s="5"/>
    </row>
    <row r="580" spans="1:13" s="3" customFormat="1">
      <c r="A580" s="1"/>
      <c r="B580" s="8"/>
      <c r="C580" s="5"/>
      <c r="D580" s="12"/>
      <c r="E580" s="9"/>
      <c r="F580" s="9"/>
      <c r="G580" s="5"/>
      <c r="H580" s="16"/>
      <c r="I580" s="69"/>
      <c r="J580" s="70"/>
      <c r="K580" s="71"/>
      <c r="L580" s="71"/>
      <c r="M580" s="5"/>
    </row>
    <row r="581" spans="1:13" s="3" customFormat="1">
      <c r="A581" s="1"/>
      <c r="B581" s="8"/>
      <c r="C581" s="5"/>
      <c r="D581" s="12"/>
      <c r="E581" s="9"/>
      <c r="F581" s="9"/>
      <c r="G581" s="5"/>
      <c r="H581" s="16"/>
      <c r="I581" s="69"/>
      <c r="J581" s="70"/>
      <c r="K581" s="71"/>
      <c r="L581" s="71"/>
      <c r="M581" s="5"/>
    </row>
    <row r="582" spans="1:13" s="3" customFormat="1">
      <c r="A582" s="1"/>
      <c r="B582" s="8"/>
      <c r="C582" s="5"/>
      <c r="D582" s="12"/>
      <c r="E582" s="9"/>
      <c r="F582" s="9"/>
      <c r="G582" s="5"/>
      <c r="H582" s="16"/>
      <c r="I582" s="69"/>
      <c r="J582" s="70"/>
      <c r="K582" s="71"/>
      <c r="L582" s="71"/>
      <c r="M582" s="5"/>
    </row>
    <row r="583" spans="1:13" s="3" customFormat="1">
      <c r="A583" s="1"/>
      <c r="B583" s="8"/>
      <c r="C583" s="5"/>
      <c r="D583" s="12"/>
      <c r="E583" s="9"/>
      <c r="F583" s="9"/>
      <c r="G583" s="5"/>
      <c r="H583" s="16"/>
      <c r="I583" s="69"/>
      <c r="J583" s="70"/>
      <c r="K583" s="71"/>
      <c r="L583" s="71"/>
      <c r="M583" s="5"/>
    </row>
    <row r="584" spans="1:13" s="3" customFormat="1">
      <c r="A584" s="1"/>
      <c r="B584" s="8"/>
      <c r="C584" s="5"/>
      <c r="D584" s="12"/>
      <c r="E584" s="9"/>
      <c r="F584" s="9"/>
      <c r="G584" s="5"/>
      <c r="H584" s="16"/>
      <c r="I584" s="69"/>
      <c r="J584" s="70"/>
      <c r="K584" s="71"/>
      <c r="L584" s="71"/>
      <c r="M584" s="5"/>
    </row>
    <row r="585" spans="1:13" s="3" customFormat="1">
      <c r="A585" s="1"/>
      <c r="B585" s="8"/>
      <c r="C585" s="5"/>
      <c r="D585" s="12"/>
      <c r="E585" s="9"/>
      <c r="F585" s="9"/>
      <c r="G585" s="5"/>
      <c r="H585" s="16"/>
      <c r="I585" s="69"/>
      <c r="J585" s="70"/>
      <c r="K585" s="71"/>
      <c r="L585" s="71"/>
      <c r="M585" s="5"/>
    </row>
    <row r="586" spans="1:13" s="3" customFormat="1">
      <c r="A586" s="1"/>
      <c r="B586" s="8"/>
      <c r="C586" s="5"/>
      <c r="D586" s="12"/>
      <c r="E586" s="9"/>
      <c r="F586" s="9"/>
      <c r="G586" s="5"/>
      <c r="H586" s="16"/>
      <c r="I586" s="69"/>
      <c r="J586" s="70"/>
      <c r="K586" s="71"/>
      <c r="L586" s="71"/>
      <c r="M586" s="5"/>
    </row>
    <row r="587" spans="1:13" s="3" customFormat="1">
      <c r="A587" s="1"/>
      <c r="B587" s="8"/>
      <c r="C587" s="5"/>
      <c r="D587" s="12"/>
      <c r="E587" s="9"/>
      <c r="F587" s="9"/>
      <c r="G587" s="5"/>
      <c r="H587" s="16"/>
      <c r="I587" s="69"/>
      <c r="J587" s="70"/>
      <c r="K587" s="71"/>
      <c r="L587" s="71"/>
      <c r="M587" s="5"/>
    </row>
    <row r="588" spans="1:13" s="3" customFormat="1">
      <c r="A588" s="1"/>
      <c r="B588" s="8"/>
      <c r="C588" s="5"/>
      <c r="D588" s="12"/>
      <c r="E588" s="9"/>
      <c r="F588" s="9"/>
      <c r="G588" s="5"/>
      <c r="H588" s="16"/>
      <c r="I588" s="69"/>
      <c r="J588" s="70"/>
      <c r="K588" s="71"/>
      <c r="L588" s="71"/>
      <c r="M588" s="5"/>
    </row>
    <row r="589" spans="1:13" s="3" customFormat="1">
      <c r="A589" s="1"/>
      <c r="B589" s="8"/>
      <c r="C589" s="5"/>
      <c r="D589" s="12"/>
      <c r="E589" s="9"/>
      <c r="F589" s="9"/>
      <c r="G589" s="5"/>
      <c r="H589" s="16"/>
      <c r="I589" s="69"/>
      <c r="J589" s="70"/>
      <c r="K589" s="71"/>
      <c r="L589" s="71"/>
      <c r="M589" s="5"/>
    </row>
    <row r="590" spans="1:13" s="3" customFormat="1">
      <c r="A590" s="1"/>
      <c r="B590" s="8"/>
      <c r="C590" s="5"/>
      <c r="D590" s="12"/>
      <c r="E590" s="9"/>
      <c r="F590" s="9"/>
      <c r="G590" s="5"/>
      <c r="H590" s="16"/>
      <c r="I590" s="69"/>
      <c r="J590" s="70"/>
      <c r="K590" s="71"/>
      <c r="L590" s="71"/>
      <c r="M590" s="5"/>
    </row>
    <row r="591" spans="1:13" s="3" customFormat="1">
      <c r="A591" s="1"/>
      <c r="B591" s="8"/>
      <c r="C591" s="5"/>
      <c r="D591" s="12"/>
      <c r="E591" s="9"/>
      <c r="F591" s="9"/>
      <c r="G591" s="5"/>
      <c r="H591" s="16"/>
      <c r="I591" s="69"/>
      <c r="J591" s="70"/>
      <c r="K591" s="71"/>
      <c r="L591" s="71"/>
      <c r="M591" s="5"/>
    </row>
    <row r="592" spans="1:13" s="3" customFormat="1">
      <c r="A592" s="1"/>
      <c r="B592" s="8"/>
      <c r="C592" s="5"/>
      <c r="D592" s="12"/>
      <c r="E592" s="9"/>
      <c r="F592" s="9"/>
      <c r="G592" s="5"/>
      <c r="H592" s="16"/>
      <c r="I592" s="69"/>
      <c r="J592" s="70"/>
      <c r="K592" s="71"/>
      <c r="L592" s="71"/>
      <c r="M592" s="5"/>
    </row>
    <row r="593" spans="1:13" s="3" customFormat="1">
      <c r="A593" s="1"/>
      <c r="B593" s="8"/>
      <c r="C593" s="5"/>
      <c r="D593" s="12"/>
      <c r="E593" s="9"/>
      <c r="F593" s="9"/>
      <c r="G593" s="5"/>
      <c r="H593" s="16"/>
      <c r="I593" s="69"/>
      <c r="J593" s="70"/>
      <c r="K593" s="71"/>
      <c r="L593" s="71"/>
      <c r="M593" s="5"/>
    </row>
    <row r="594" spans="1:13" s="3" customFormat="1">
      <c r="A594" s="1"/>
      <c r="B594" s="8"/>
      <c r="C594" s="5"/>
      <c r="D594" s="12"/>
      <c r="E594" s="9"/>
      <c r="F594" s="9"/>
      <c r="G594" s="5"/>
      <c r="H594" s="16"/>
      <c r="I594" s="69"/>
      <c r="J594" s="70"/>
      <c r="K594" s="71"/>
      <c r="L594" s="71"/>
      <c r="M594" s="5"/>
    </row>
    <row r="595" spans="1:13" s="3" customFormat="1">
      <c r="A595" s="1"/>
      <c r="B595" s="8"/>
      <c r="C595" s="5"/>
      <c r="D595" s="12"/>
      <c r="E595" s="9"/>
      <c r="F595" s="9"/>
      <c r="G595" s="5"/>
      <c r="H595" s="16"/>
      <c r="I595" s="69"/>
      <c r="J595" s="70"/>
      <c r="K595" s="71"/>
      <c r="L595" s="71"/>
      <c r="M595" s="5"/>
    </row>
    <row r="596" spans="1:13" s="3" customFormat="1">
      <c r="A596" s="1"/>
      <c r="B596" s="8"/>
      <c r="C596" s="5"/>
      <c r="D596" s="12"/>
      <c r="E596" s="9"/>
      <c r="F596" s="9"/>
      <c r="G596" s="5"/>
      <c r="H596" s="16"/>
      <c r="I596" s="69"/>
      <c r="J596" s="70"/>
      <c r="K596" s="71"/>
      <c r="L596" s="71"/>
      <c r="M596" s="5"/>
    </row>
    <row r="597" spans="1:13" s="3" customFormat="1">
      <c r="A597" s="1"/>
      <c r="B597" s="8"/>
      <c r="C597" s="5"/>
      <c r="D597" s="12"/>
      <c r="E597" s="9"/>
      <c r="F597" s="9"/>
      <c r="G597" s="5"/>
      <c r="H597" s="16"/>
      <c r="I597" s="69"/>
      <c r="J597" s="70"/>
      <c r="K597" s="71"/>
      <c r="L597" s="71"/>
      <c r="M597" s="5"/>
    </row>
    <row r="598" spans="1:13" s="3" customFormat="1">
      <c r="A598" s="1"/>
      <c r="B598" s="8"/>
      <c r="C598" s="5"/>
      <c r="D598" s="12"/>
      <c r="E598" s="9"/>
      <c r="F598" s="9"/>
      <c r="G598" s="5"/>
      <c r="H598" s="16"/>
      <c r="I598" s="69"/>
      <c r="J598" s="70"/>
      <c r="K598" s="71"/>
      <c r="L598" s="71"/>
      <c r="M598" s="5"/>
    </row>
    <row r="599" spans="1:13" s="3" customFormat="1">
      <c r="A599" s="1"/>
      <c r="B599" s="8"/>
      <c r="C599" s="5"/>
      <c r="D599" s="12"/>
      <c r="E599" s="9"/>
      <c r="F599" s="9"/>
      <c r="G599" s="5"/>
      <c r="H599" s="16"/>
      <c r="I599" s="69"/>
      <c r="J599" s="70"/>
      <c r="K599" s="71"/>
      <c r="L599" s="71"/>
      <c r="M599" s="5"/>
    </row>
    <row r="600" spans="1:13" s="3" customFormat="1">
      <c r="A600" s="1"/>
      <c r="B600" s="8"/>
      <c r="C600" s="5"/>
      <c r="D600" s="12"/>
      <c r="E600" s="9"/>
      <c r="F600" s="9"/>
      <c r="G600" s="5"/>
      <c r="H600" s="16"/>
      <c r="I600" s="69"/>
      <c r="J600" s="70"/>
      <c r="K600" s="71"/>
      <c r="L600" s="71"/>
      <c r="M600" s="5"/>
    </row>
    <row r="601" spans="1:13" s="3" customFormat="1">
      <c r="A601" s="1"/>
      <c r="B601" s="8"/>
      <c r="C601" s="5"/>
      <c r="D601" s="12"/>
      <c r="E601" s="9"/>
      <c r="F601" s="9"/>
      <c r="G601" s="5"/>
      <c r="H601" s="16"/>
      <c r="I601" s="69"/>
      <c r="J601" s="70"/>
      <c r="K601" s="71"/>
      <c r="L601" s="71"/>
      <c r="M601" s="5"/>
    </row>
    <row r="602" spans="1:13" s="3" customFormat="1">
      <c r="A602" s="1"/>
      <c r="B602" s="8"/>
      <c r="C602" s="5"/>
      <c r="D602" s="12"/>
      <c r="E602" s="9"/>
      <c r="F602" s="9"/>
      <c r="G602" s="5"/>
      <c r="H602" s="16"/>
      <c r="I602" s="69"/>
      <c r="J602" s="70"/>
      <c r="K602" s="71"/>
      <c r="L602" s="71"/>
      <c r="M602" s="5"/>
    </row>
    <row r="603" spans="1:13" s="3" customFormat="1">
      <c r="A603" s="1"/>
      <c r="B603" s="8"/>
      <c r="C603" s="5"/>
      <c r="D603" s="12"/>
      <c r="E603" s="9"/>
      <c r="F603" s="9"/>
      <c r="G603" s="5"/>
      <c r="H603" s="16"/>
      <c r="I603" s="69"/>
      <c r="J603" s="70"/>
      <c r="K603" s="71"/>
      <c r="L603" s="71"/>
      <c r="M603" s="5"/>
    </row>
    <row r="604" spans="1:13" s="3" customFormat="1">
      <c r="A604" s="1"/>
      <c r="B604" s="8"/>
      <c r="C604" s="5"/>
      <c r="D604" s="12"/>
      <c r="E604" s="9"/>
      <c r="F604" s="9"/>
      <c r="G604" s="5"/>
      <c r="H604" s="16"/>
      <c r="I604" s="69"/>
      <c r="J604" s="70"/>
      <c r="K604" s="71"/>
      <c r="L604" s="71"/>
      <c r="M604" s="5"/>
    </row>
    <row r="605" spans="1:13" s="3" customFormat="1">
      <c r="A605" s="1"/>
      <c r="B605" s="8"/>
      <c r="C605" s="5"/>
      <c r="D605" s="12"/>
      <c r="E605" s="9"/>
      <c r="F605" s="9"/>
      <c r="G605" s="5"/>
      <c r="H605" s="16"/>
      <c r="I605" s="69"/>
      <c r="J605" s="70"/>
      <c r="K605" s="71"/>
      <c r="L605" s="71"/>
      <c r="M605" s="5"/>
    </row>
    <row r="606" spans="1:13" s="3" customFormat="1">
      <c r="A606" s="1"/>
      <c r="B606" s="8"/>
      <c r="C606" s="5"/>
      <c r="D606" s="12"/>
      <c r="E606" s="9"/>
      <c r="F606" s="9"/>
      <c r="G606" s="5"/>
      <c r="H606" s="16"/>
      <c r="I606" s="69"/>
      <c r="J606" s="70"/>
      <c r="K606" s="71"/>
      <c r="L606" s="71"/>
      <c r="M606" s="5"/>
    </row>
    <row r="607" spans="1:13" s="3" customFormat="1">
      <c r="A607" s="1"/>
      <c r="B607" s="8"/>
      <c r="C607" s="5"/>
      <c r="D607" s="12"/>
      <c r="E607" s="9"/>
      <c r="F607" s="9"/>
      <c r="G607" s="5"/>
      <c r="H607" s="16"/>
      <c r="I607" s="69"/>
      <c r="J607" s="70"/>
      <c r="K607" s="71"/>
      <c r="L607" s="71"/>
      <c r="M607" s="5"/>
    </row>
    <row r="608" spans="1:13" s="3" customFormat="1">
      <c r="A608" s="1"/>
      <c r="B608" s="8"/>
      <c r="C608" s="5"/>
      <c r="D608" s="12"/>
      <c r="E608" s="9"/>
      <c r="F608" s="9"/>
      <c r="G608" s="5"/>
      <c r="H608" s="16"/>
      <c r="I608" s="69"/>
      <c r="J608" s="70"/>
      <c r="K608" s="71"/>
      <c r="L608" s="71"/>
      <c r="M608" s="5"/>
    </row>
    <row r="609" spans="1:13" s="3" customFormat="1">
      <c r="A609" s="1"/>
      <c r="B609" s="8"/>
      <c r="C609" s="5"/>
      <c r="D609" s="12"/>
      <c r="E609" s="9"/>
      <c r="F609" s="9"/>
      <c r="G609" s="5"/>
      <c r="H609" s="16"/>
      <c r="I609" s="69"/>
      <c r="J609" s="70"/>
      <c r="K609" s="71"/>
      <c r="L609" s="71"/>
      <c r="M609" s="5"/>
    </row>
    <row r="610" spans="1:13" s="3" customFormat="1">
      <c r="A610" s="1"/>
      <c r="B610" s="8"/>
      <c r="C610" s="5"/>
      <c r="D610" s="12"/>
      <c r="E610" s="9"/>
      <c r="F610" s="9"/>
      <c r="G610" s="5"/>
      <c r="H610" s="16"/>
      <c r="I610" s="69"/>
      <c r="J610" s="70"/>
      <c r="K610" s="71"/>
      <c r="L610" s="71"/>
      <c r="M610" s="5"/>
    </row>
    <row r="611" spans="1:13" s="3" customFormat="1">
      <c r="A611" s="1"/>
      <c r="B611" s="8"/>
      <c r="C611" s="5"/>
      <c r="D611" s="12"/>
      <c r="E611" s="9"/>
      <c r="F611" s="9"/>
      <c r="G611" s="5"/>
      <c r="H611" s="16"/>
      <c r="I611" s="69"/>
      <c r="J611" s="70"/>
      <c r="K611" s="71"/>
      <c r="L611" s="71"/>
      <c r="M611" s="5"/>
    </row>
    <row r="612" spans="1:13" s="3" customFormat="1">
      <c r="A612" s="1"/>
      <c r="B612" s="8"/>
      <c r="C612" s="5"/>
      <c r="D612" s="12"/>
      <c r="E612" s="9"/>
      <c r="F612" s="9"/>
      <c r="G612" s="5"/>
      <c r="H612" s="16"/>
      <c r="I612" s="69"/>
      <c r="J612" s="70"/>
      <c r="K612" s="71"/>
      <c r="L612" s="71"/>
      <c r="M612" s="5"/>
    </row>
    <row r="613" spans="1:13" s="3" customFormat="1">
      <c r="A613" s="1"/>
      <c r="B613" s="8"/>
      <c r="C613" s="5"/>
      <c r="D613" s="12"/>
      <c r="E613" s="9"/>
      <c r="F613" s="9"/>
      <c r="G613" s="5"/>
      <c r="H613" s="16"/>
      <c r="I613" s="69"/>
      <c r="J613" s="70"/>
      <c r="K613" s="71"/>
      <c r="L613" s="71"/>
      <c r="M613" s="5"/>
    </row>
    <row r="614" spans="1:13" s="3" customFormat="1">
      <c r="A614" s="1"/>
      <c r="B614" s="8"/>
      <c r="C614" s="5"/>
      <c r="D614" s="12"/>
      <c r="E614" s="9"/>
      <c r="F614" s="9"/>
      <c r="G614" s="5"/>
      <c r="H614" s="16"/>
      <c r="I614" s="69"/>
      <c r="J614" s="70"/>
      <c r="K614" s="71"/>
      <c r="L614" s="71"/>
      <c r="M614" s="5"/>
    </row>
    <row r="615" spans="1:13" s="3" customFormat="1">
      <c r="A615" s="1"/>
      <c r="B615" s="8"/>
      <c r="C615" s="5"/>
      <c r="D615" s="12"/>
      <c r="E615" s="9"/>
      <c r="F615" s="9"/>
      <c r="G615" s="5"/>
      <c r="H615" s="16"/>
      <c r="I615" s="69"/>
      <c r="J615" s="70"/>
      <c r="K615" s="71"/>
      <c r="L615" s="71"/>
      <c r="M615" s="5"/>
    </row>
    <row r="616" spans="1:13" s="3" customFormat="1">
      <c r="A616" s="1"/>
      <c r="B616" s="8"/>
      <c r="C616" s="5"/>
      <c r="D616" s="12"/>
      <c r="E616" s="9"/>
      <c r="F616" s="9"/>
      <c r="G616" s="5"/>
      <c r="H616" s="16"/>
      <c r="I616" s="69"/>
      <c r="J616" s="70"/>
      <c r="K616" s="71"/>
      <c r="L616" s="71"/>
      <c r="M616" s="5"/>
    </row>
    <row r="617" spans="1:13" s="3" customFormat="1">
      <c r="A617" s="1"/>
      <c r="B617" s="8"/>
      <c r="C617" s="5"/>
      <c r="D617" s="12"/>
      <c r="E617" s="9"/>
      <c r="F617" s="9"/>
      <c r="G617" s="5"/>
      <c r="H617" s="16"/>
      <c r="I617" s="69"/>
      <c r="J617" s="70"/>
      <c r="K617" s="71"/>
      <c r="L617" s="71"/>
      <c r="M617" s="5"/>
    </row>
    <row r="618" spans="1:13" s="3" customFormat="1">
      <c r="A618" s="1"/>
      <c r="B618" s="8"/>
      <c r="C618" s="5"/>
      <c r="D618" s="12"/>
      <c r="E618" s="9"/>
      <c r="F618" s="9"/>
      <c r="G618" s="5"/>
      <c r="H618" s="16"/>
      <c r="I618" s="69"/>
      <c r="J618" s="70"/>
      <c r="K618" s="71"/>
      <c r="L618" s="71"/>
      <c r="M618" s="5"/>
    </row>
    <row r="619" spans="1:13" s="3" customFormat="1">
      <c r="A619" s="1"/>
      <c r="B619" s="8"/>
      <c r="C619" s="5"/>
      <c r="D619" s="12"/>
      <c r="E619" s="9"/>
      <c r="F619" s="9"/>
      <c r="G619" s="5"/>
      <c r="H619" s="16"/>
      <c r="I619" s="69"/>
      <c r="J619" s="70"/>
      <c r="K619" s="71"/>
      <c r="L619" s="71"/>
      <c r="M619" s="5"/>
    </row>
    <row r="620" spans="1:13" s="3" customFormat="1">
      <c r="A620" s="1"/>
      <c r="B620" s="8"/>
      <c r="C620" s="5"/>
      <c r="D620" s="12"/>
      <c r="E620" s="9"/>
      <c r="F620" s="9"/>
      <c r="G620" s="5"/>
      <c r="H620" s="16"/>
      <c r="I620" s="69"/>
      <c r="J620" s="70"/>
      <c r="K620" s="71"/>
      <c r="L620" s="71"/>
      <c r="M620" s="5"/>
    </row>
    <row r="621" spans="1:13" s="3" customFormat="1">
      <c r="A621" s="1"/>
      <c r="B621" s="8"/>
      <c r="C621" s="5"/>
      <c r="D621" s="12"/>
      <c r="E621" s="9"/>
      <c r="F621" s="9"/>
      <c r="G621" s="5"/>
      <c r="H621" s="16"/>
      <c r="I621" s="69"/>
      <c r="J621" s="70"/>
      <c r="K621" s="71"/>
      <c r="L621" s="71"/>
      <c r="M621" s="5"/>
    </row>
    <row r="622" spans="1:13" s="3" customFormat="1">
      <c r="A622" s="1"/>
      <c r="B622" s="8"/>
      <c r="C622" s="5"/>
      <c r="D622" s="12"/>
      <c r="E622" s="9"/>
      <c r="F622" s="9"/>
      <c r="G622" s="5"/>
      <c r="H622" s="16"/>
      <c r="I622" s="69"/>
      <c r="J622" s="70"/>
      <c r="K622" s="71"/>
      <c r="L622" s="71"/>
      <c r="M622" s="5"/>
    </row>
    <row r="623" spans="1:13" s="3" customFormat="1">
      <c r="A623" s="1"/>
      <c r="B623" s="8"/>
      <c r="C623" s="5"/>
      <c r="D623" s="12"/>
      <c r="E623" s="9"/>
      <c r="F623" s="9"/>
      <c r="G623" s="5"/>
      <c r="H623" s="16"/>
      <c r="I623" s="69"/>
      <c r="J623" s="70"/>
      <c r="K623" s="71"/>
      <c r="L623" s="71"/>
      <c r="M623" s="5"/>
    </row>
    <row r="624" spans="1:13" s="3" customFormat="1">
      <c r="A624" s="1"/>
      <c r="B624" s="8"/>
      <c r="C624" s="5"/>
      <c r="D624" s="12"/>
      <c r="E624" s="9"/>
      <c r="F624" s="9"/>
      <c r="G624" s="5"/>
      <c r="H624" s="16"/>
      <c r="I624" s="69"/>
      <c r="J624" s="70"/>
      <c r="K624" s="71"/>
      <c r="L624" s="71"/>
      <c r="M624" s="5"/>
    </row>
    <row r="625" spans="1:13" s="3" customFormat="1">
      <c r="A625" s="1"/>
      <c r="B625" s="8"/>
      <c r="C625" s="5"/>
      <c r="D625" s="12"/>
      <c r="E625" s="9"/>
      <c r="F625" s="9"/>
      <c r="G625" s="5"/>
      <c r="H625" s="16"/>
      <c r="I625" s="69"/>
      <c r="J625" s="70"/>
      <c r="K625" s="71"/>
      <c r="L625" s="71"/>
      <c r="M625" s="5"/>
    </row>
    <row r="626" spans="1:13" s="3" customFormat="1">
      <c r="A626" s="1"/>
      <c r="B626" s="8"/>
      <c r="C626" s="5"/>
      <c r="D626" s="12"/>
      <c r="E626" s="9"/>
      <c r="F626" s="9"/>
      <c r="G626" s="5"/>
      <c r="H626" s="16"/>
      <c r="I626" s="69"/>
      <c r="J626" s="70"/>
      <c r="K626" s="71"/>
      <c r="L626" s="71"/>
      <c r="M626" s="5"/>
    </row>
    <row r="627" spans="1:13" s="3" customFormat="1">
      <c r="A627" s="1"/>
      <c r="B627" s="8"/>
      <c r="C627" s="5"/>
      <c r="D627" s="12"/>
      <c r="E627" s="9"/>
      <c r="F627" s="9"/>
      <c r="G627" s="5"/>
      <c r="H627" s="16"/>
      <c r="I627" s="69"/>
      <c r="J627" s="70"/>
      <c r="K627" s="71"/>
      <c r="L627" s="71"/>
      <c r="M627" s="5"/>
    </row>
    <row r="628" spans="1:13" s="3" customFormat="1">
      <c r="A628" s="1"/>
      <c r="B628" s="8"/>
      <c r="C628" s="5"/>
      <c r="D628" s="12"/>
      <c r="E628" s="9"/>
      <c r="F628" s="9"/>
      <c r="G628" s="5"/>
      <c r="H628" s="16"/>
      <c r="I628" s="69"/>
      <c r="J628" s="70"/>
      <c r="K628" s="71"/>
      <c r="L628" s="71"/>
      <c r="M628" s="5"/>
    </row>
    <row r="629" spans="1:13" s="3" customFormat="1">
      <c r="A629" s="1"/>
      <c r="B629" s="8"/>
      <c r="C629" s="5"/>
      <c r="D629" s="12"/>
      <c r="E629" s="9"/>
      <c r="F629" s="9"/>
      <c r="G629" s="5"/>
      <c r="H629" s="16"/>
      <c r="I629" s="69"/>
      <c r="J629" s="70"/>
      <c r="K629" s="71"/>
      <c r="L629" s="71"/>
      <c r="M629" s="5"/>
    </row>
    <row r="630" spans="1:13" s="3" customFormat="1">
      <c r="A630" s="1"/>
      <c r="B630" s="8"/>
      <c r="C630" s="5"/>
      <c r="D630" s="12"/>
      <c r="E630" s="9"/>
      <c r="F630" s="9"/>
      <c r="G630" s="5"/>
      <c r="H630" s="16"/>
      <c r="I630" s="69"/>
      <c r="J630" s="70"/>
      <c r="K630" s="71"/>
      <c r="L630" s="71"/>
      <c r="M630" s="5"/>
    </row>
    <row r="631" spans="1:13" s="3" customFormat="1">
      <c r="A631" s="1"/>
      <c r="B631" s="8"/>
      <c r="C631" s="5"/>
      <c r="D631" s="12"/>
      <c r="E631" s="9"/>
      <c r="F631" s="9"/>
      <c r="G631" s="5"/>
      <c r="H631" s="16"/>
      <c r="I631" s="69"/>
      <c r="J631" s="70"/>
      <c r="K631" s="71"/>
      <c r="L631" s="71"/>
      <c r="M631" s="5"/>
    </row>
    <row r="632" spans="1:13" s="3" customFormat="1">
      <c r="A632" s="1"/>
      <c r="B632" s="8"/>
      <c r="C632" s="5"/>
      <c r="D632" s="12"/>
      <c r="E632" s="9"/>
      <c r="F632" s="9"/>
      <c r="G632" s="5"/>
      <c r="H632" s="16"/>
      <c r="I632" s="69"/>
      <c r="J632" s="70"/>
      <c r="K632" s="71"/>
      <c r="L632" s="71"/>
      <c r="M632" s="5"/>
    </row>
    <row r="633" spans="1:13" s="3" customFormat="1">
      <c r="A633" s="1"/>
      <c r="B633" s="8"/>
      <c r="C633" s="5"/>
      <c r="D633" s="12"/>
      <c r="E633" s="9"/>
      <c r="F633" s="9"/>
      <c r="G633" s="5"/>
      <c r="H633" s="16"/>
      <c r="I633" s="69"/>
      <c r="J633" s="70"/>
      <c r="K633" s="71"/>
      <c r="L633" s="71"/>
      <c r="M633" s="5"/>
    </row>
    <row r="634" spans="1:13" s="3" customFormat="1">
      <c r="A634" s="1"/>
      <c r="B634" s="8"/>
      <c r="C634" s="5"/>
      <c r="D634" s="12"/>
      <c r="E634" s="9"/>
      <c r="F634" s="9"/>
      <c r="G634" s="5"/>
      <c r="H634" s="16"/>
      <c r="I634" s="69"/>
      <c r="J634" s="70"/>
      <c r="K634" s="71"/>
      <c r="L634" s="71"/>
      <c r="M634" s="5"/>
    </row>
    <row r="635" spans="1:13" s="3" customFormat="1">
      <c r="A635" s="1"/>
      <c r="B635" s="8"/>
      <c r="C635" s="5"/>
      <c r="D635" s="12"/>
      <c r="E635" s="9"/>
      <c r="F635" s="9"/>
      <c r="G635" s="5"/>
      <c r="H635" s="16"/>
      <c r="I635" s="69"/>
      <c r="J635" s="70"/>
      <c r="K635" s="71"/>
      <c r="L635" s="71"/>
      <c r="M635" s="5"/>
    </row>
    <row r="636" spans="1:13" s="3" customFormat="1">
      <c r="A636" s="1"/>
      <c r="B636" s="8"/>
      <c r="C636" s="5"/>
      <c r="D636" s="12"/>
      <c r="E636" s="9"/>
      <c r="F636" s="9"/>
      <c r="G636" s="5"/>
      <c r="H636" s="16"/>
      <c r="I636" s="69"/>
      <c r="J636" s="70"/>
      <c r="K636" s="71"/>
      <c r="L636" s="71"/>
      <c r="M636" s="5"/>
    </row>
    <row r="637" spans="1:13" s="3" customFormat="1">
      <c r="A637" s="1"/>
      <c r="B637" s="8"/>
      <c r="C637" s="5"/>
      <c r="D637" s="12"/>
      <c r="E637" s="9"/>
      <c r="F637" s="9"/>
      <c r="G637" s="5"/>
      <c r="H637" s="16"/>
      <c r="I637" s="69"/>
      <c r="J637" s="70"/>
      <c r="K637" s="71"/>
      <c r="L637" s="71"/>
      <c r="M637" s="5"/>
    </row>
    <row r="638" spans="1:13" s="3" customFormat="1">
      <c r="A638" s="1"/>
      <c r="B638" s="8"/>
      <c r="C638" s="5"/>
      <c r="D638" s="12"/>
      <c r="E638" s="9"/>
      <c r="F638" s="9"/>
      <c r="G638" s="5"/>
      <c r="H638" s="16"/>
      <c r="I638" s="69"/>
      <c r="J638" s="70"/>
      <c r="K638" s="71"/>
      <c r="L638" s="71"/>
      <c r="M638" s="5"/>
    </row>
    <row r="639" spans="1:13" s="3" customFormat="1">
      <c r="A639" s="1"/>
      <c r="B639" s="8"/>
      <c r="C639" s="5"/>
      <c r="D639" s="12"/>
      <c r="E639" s="9"/>
      <c r="F639" s="9"/>
      <c r="G639" s="5"/>
      <c r="H639" s="16"/>
      <c r="I639" s="69"/>
      <c r="J639" s="70"/>
      <c r="K639" s="71"/>
      <c r="L639" s="71"/>
      <c r="M639" s="5"/>
    </row>
    <row r="640" spans="1:13" s="3" customFormat="1">
      <c r="A640" s="1"/>
      <c r="B640" s="8"/>
      <c r="C640" s="5"/>
      <c r="D640" s="12"/>
      <c r="E640" s="9"/>
      <c r="F640" s="9"/>
      <c r="G640" s="5"/>
      <c r="H640" s="16"/>
      <c r="I640" s="69"/>
      <c r="J640" s="70"/>
      <c r="K640" s="71"/>
      <c r="L640" s="71"/>
      <c r="M640" s="5"/>
    </row>
    <row r="641" spans="1:13" s="3" customFormat="1">
      <c r="A641" s="1"/>
      <c r="B641" s="8"/>
      <c r="C641" s="5"/>
      <c r="D641" s="12"/>
      <c r="E641" s="9"/>
      <c r="F641" s="9"/>
      <c r="G641" s="5"/>
      <c r="H641" s="16"/>
      <c r="I641" s="69"/>
      <c r="J641" s="70"/>
      <c r="K641" s="71"/>
      <c r="L641" s="71"/>
      <c r="M641" s="5"/>
    </row>
    <row r="642" spans="1:13" s="3" customFormat="1">
      <c r="A642" s="1"/>
      <c r="B642" s="8"/>
      <c r="C642" s="5"/>
      <c r="D642" s="12"/>
      <c r="E642" s="9"/>
      <c r="F642" s="9"/>
      <c r="G642" s="5"/>
      <c r="H642" s="16"/>
      <c r="I642" s="69"/>
      <c r="J642" s="70"/>
      <c r="K642" s="71"/>
      <c r="L642" s="71"/>
      <c r="M642" s="5"/>
    </row>
    <row r="643" spans="1:13" s="3" customFormat="1">
      <c r="A643" s="1"/>
      <c r="B643" s="8"/>
      <c r="C643" s="5"/>
      <c r="D643" s="12"/>
      <c r="E643" s="9"/>
      <c r="F643" s="9"/>
      <c r="G643" s="5"/>
      <c r="H643" s="16"/>
      <c r="I643" s="69"/>
      <c r="J643" s="70"/>
      <c r="K643" s="71"/>
      <c r="L643" s="71"/>
      <c r="M643" s="5"/>
    </row>
    <row r="644" spans="1:13" s="3" customFormat="1">
      <c r="A644" s="1"/>
      <c r="B644" s="8"/>
      <c r="C644" s="5"/>
      <c r="D644" s="12"/>
      <c r="E644" s="9"/>
      <c r="F644" s="9"/>
      <c r="G644" s="5"/>
      <c r="H644" s="16"/>
      <c r="I644" s="69"/>
      <c r="J644" s="70"/>
      <c r="K644" s="71"/>
      <c r="L644" s="71"/>
      <c r="M644" s="5"/>
    </row>
    <row r="645" spans="1:13" s="3" customFormat="1">
      <c r="A645" s="1"/>
      <c r="B645" s="8"/>
      <c r="C645" s="5"/>
      <c r="D645" s="12"/>
      <c r="E645" s="9"/>
      <c r="F645" s="9"/>
      <c r="G645" s="5"/>
      <c r="H645" s="16"/>
      <c r="I645" s="69"/>
      <c r="J645" s="70"/>
      <c r="K645" s="71"/>
      <c r="L645" s="71"/>
      <c r="M645" s="5"/>
    </row>
    <row r="646" spans="1:13" s="3" customFormat="1">
      <c r="A646" s="1"/>
      <c r="B646" s="8"/>
      <c r="C646" s="5"/>
      <c r="D646" s="12"/>
      <c r="E646" s="9"/>
      <c r="F646" s="9"/>
      <c r="G646" s="5"/>
      <c r="H646" s="16"/>
      <c r="I646" s="69"/>
      <c r="J646" s="70"/>
      <c r="K646" s="71"/>
      <c r="L646" s="71"/>
      <c r="M646" s="5"/>
    </row>
    <row r="647" spans="1:13" s="3" customFormat="1">
      <c r="A647" s="1"/>
      <c r="B647" s="8"/>
      <c r="C647" s="5"/>
      <c r="D647" s="12"/>
      <c r="E647" s="9"/>
      <c r="F647" s="9"/>
      <c r="G647" s="5"/>
      <c r="H647" s="16"/>
      <c r="I647" s="69"/>
      <c r="J647" s="70"/>
      <c r="K647" s="71"/>
      <c r="L647" s="71"/>
      <c r="M647" s="5"/>
    </row>
    <row r="648" spans="1:13" s="3" customFormat="1">
      <c r="A648" s="1"/>
      <c r="B648" s="8"/>
      <c r="C648" s="5"/>
      <c r="D648" s="12"/>
      <c r="E648" s="9"/>
      <c r="F648" s="9"/>
      <c r="G648" s="5"/>
      <c r="H648" s="16"/>
      <c r="I648" s="69"/>
      <c r="J648" s="70"/>
      <c r="K648" s="71"/>
      <c r="L648" s="71"/>
      <c r="M648" s="5"/>
    </row>
    <row r="649" spans="1:13" s="3" customFormat="1">
      <c r="A649" s="1"/>
      <c r="B649" s="8"/>
      <c r="C649" s="5"/>
      <c r="D649" s="12"/>
      <c r="E649" s="9"/>
      <c r="F649" s="9"/>
      <c r="G649" s="5"/>
      <c r="H649" s="16"/>
      <c r="I649" s="69"/>
      <c r="J649" s="70"/>
      <c r="K649" s="71"/>
      <c r="L649" s="71"/>
      <c r="M649" s="5"/>
    </row>
    <row r="650" spans="1:13" s="3" customFormat="1">
      <c r="A650" s="1"/>
      <c r="B650" s="8"/>
      <c r="C650" s="5"/>
      <c r="D650" s="12"/>
      <c r="E650" s="9"/>
      <c r="F650" s="9"/>
      <c r="G650" s="5"/>
      <c r="H650" s="16"/>
      <c r="I650" s="69"/>
      <c r="J650" s="70"/>
      <c r="K650" s="71"/>
      <c r="L650" s="71"/>
      <c r="M650" s="5"/>
    </row>
    <row r="651" spans="1:13" s="3" customFormat="1">
      <c r="A651" s="1"/>
      <c r="B651" s="8"/>
      <c r="C651" s="5"/>
      <c r="D651" s="12"/>
      <c r="E651" s="9"/>
      <c r="F651" s="9"/>
      <c r="G651" s="5"/>
      <c r="H651" s="16"/>
      <c r="I651" s="69"/>
      <c r="J651" s="70"/>
      <c r="K651" s="71"/>
      <c r="L651" s="71"/>
      <c r="M651" s="5"/>
    </row>
    <row r="652" spans="1:13" s="3" customFormat="1">
      <c r="A652" s="1"/>
      <c r="B652" s="8"/>
      <c r="C652" s="5"/>
      <c r="D652" s="12"/>
      <c r="E652" s="9"/>
      <c r="F652" s="9"/>
      <c r="G652" s="5"/>
      <c r="H652" s="16"/>
      <c r="I652" s="69"/>
      <c r="J652" s="70"/>
      <c r="K652" s="71"/>
      <c r="L652" s="71"/>
      <c r="M652" s="5"/>
    </row>
    <row r="653" spans="1:13" s="3" customFormat="1">
      <c r="A653" s="1"/>
      <c r="B653" s="8"/>
      <c r="C653" s="5"/>
      <c r="D653" s="12"/>
      <c r="E653" s="9"/>
      <c r="F653" s="9"/>
      <c r="G653" s="5"/>
      <c r="H653" s="16"/>
      <c r="I653" s="69"/>
      <c r="J653" s="70"/>
      <c r="K653" s="71"/>
      <c r="L653" s="71"/>
      <c r="M653" s="5"/>
    </row>
    <row r="654" spans="1:13" s="3" customFormat="1">
      <c r="A654" s="1"/>
      <c r="B654" s="8"/>
      <c r="C654" s="5"/>
      <c r="D654" s="12"/>
      <c r="E654" s="9"/>
      <c r="F654" s="9"/>
      <c r="G654" s="5"/>
      <c r="H654" s="16"/>
      <c r="I654" s="69"/>
      <c r="J654" s="70"/>
      <c r="K654" s="71"/>
      <c r="L654" s="71"/>
      <c r="M654" s="5"/>
    </row>
    <row r="655" spans="1:13" s="3" customFormat="1">
      <c r="A655" s="1"/>
      <c r="B655" s="8"/>
      <c r="C655" s="5"/>
      <c r="D655" s="12"/>
      <c r="E655" s="9"/>
      <c r="F655" s="9"/>
      <c r="G655" s="5"/>
      <c r="H655" s="16"/>
      <c r="I655" s="69"/>
      <c r="J655" s="70"/>
      <c r="K655" s="71"/>
      <c r="L655" s="71"/>
      <c r="M655" s="5"/>
    </row>
    <row r="656" spans="1:13" s="3" customFormat="1">
      <c r="A656" s="1"/>
      <c r="B656" s="8"/>
      <c r="C656" s="5"/>
      <c r="D656" s="12"/>
      <c r="E656" s="9"/>
      <c r="F656" s="9"/>
      <c r="G656" s="5"/>
      <c r="H656" s="16"/>
      <c r="I656" s="69"/>
      <c r="J656" s="70"/>
      <c r="K656" s="71"/>
      <c r="L656" s="71"/>
      <c r="M656" s="5"/>
    </row>
    <row r="657" spans="1:13" s="3" customFormat="1">
      <c r="A657" s="1"/>
      <c r="B657" s="8"/>
      <c r="C657" s="5"/>
      <c r="D657" s="12"/>
      <c r="E657" s="9"/>
      <c r="F657" s="9"/>
      <c r="G657" s="5"/>
      <c r="H657" s="16"/>
      <c r="I657" s="69"/>
      <c r="J657" s="70"/>
      <c r="K657" s="71"/>
      <c r="L657" s="71"/>
      <c r="M657" s="5"/>
    </row>
    <row r="658" spans="1:13" s="3" customFormat="1">
      <c r="A658" s="1"/>
      <c r="B658" s="8"/>
      <c r="C658" s="5"/>
      <c r="D658" s="12"/>
      <c r="E658" s="9"/>
      <c r="F658" s="9"/>
      <c r="G658" s="5"/>
      <c r="H658" s="16"/>
      <c r="I658" s="69"/>
      <c r="J658" s="70"/>
      <c r="K658" s="71"/>
      <c r="L658" s="71"/>
      <c r="M658" s="5"/>
    </row>
    <row r="659" spans="1:13" s="3" customFormat="1">
      <c r="A659" s="1"/>
      <c r="B659" s="8"/>
      <c r="C659" s="5"/>
      <c r="D659" s="12"/>
      <c r="E659" s="9"/>
      <c r="F659" s="9"/>
      <c r="G659" s="5"/>
      <c r="H659" s="16"/>
      <c r="I659" s="69"/>
      <c r="J659" s="70"/>
      <c r="K659" s="71"/>
      <c r="L659" s="71"/>
      <c r="M659" s="5"/>
    </row>
    <row r="660" spans="1:13" s="3" customFormat="1">
      <c r="A660" s="1"/>
      <c r="B660" s="8"/>
      <c r="C660" s="5"/>
      <c r="D660" s="12"/>
      <c r="E660" s="9"/>
      <c r="F660" s="9"/>
      <c r="G660" s="5"/>
      <c r="H660" s="16"/>
      <c r="I660" s="69"/>
      <c r="J660" s="70"/>
      <c r="K660" s="71"/>
      <c r="L660" s="71"/>
      <c r="M660" s="5"/>
    </row>
    <row r="661" spans="1:13" s="3" customFormat="1">
      <c r="A661" s="1"/>
      <c r="B661" s="8"/>
      <c r="C661" s="5"/>
      <c r="D661" s="12"/>
      <c r="E661" s="9"/>
      <c r="F661" s="9"/>
      <c r="G661" s="5"/>
      <c r="H661" s="16"/>
      <c r="I661" s="69"/>
      <c r="J661" s="70"/>
      <c r="K661" s="71"/>
      <c r="L661" s="71"/>
      <c r="M661" s="5"/>
    </row>
    <row r="662" spans="1:13" s="3" customFormat="1">
      <c r="A662" s="1"/>
      <c r="B662" s="8"/>
      <c r="C662" s="5"/>
      <c r="D662" s="12"/>
      <c r="E662" s="9"/>
      <c r="F662" s="9"/>
      <c r="G662" s="5"/>
      <c r="H662" s="16"/>
      <c r="I662" s="69"/>
      <c r="J662" s="70"/>
      <c r="K662" s="71"/>
      <c r="L662" s="71"/>
      <c r="M662" s="5"/>
    </row>
    <row r="663" spans="1:13" s="3" customFormat="1">
      <c r="A663" s="1"/>
      <c r="B663" s="8"/>
      <c r="C663" s="5"/>
      <c r="D663" s="12"/>
      <c r="E663" s="9"/>
      <c r="F663" s="9"/>
      <c r="G663" s="5"/>
      <c r="H663" s="16"/>
      <c r="I663" s="69"/>
      <c r="J663" s="70"/>
      <c r="K663" s="71"/>
      <c r="L663" s="71"/>
      <c r="M663" s="5"/>
    </row>
    <row r="664" spans="1:13" s="3" customFormat="1">
      <c r="A664" s="1"/>
      <c r="B664" s="8"/>
      <c r="C664" s="5"/>
      <c r="D664" s="12"/>
      <c r="E664" s="9"/>
      <c r="F664" s="9"/>
      <c r="G664" s="5"/>
      <c r="H664" s="16"/>
      <c r="I664" s="69"/>
      <c r="J664" s="70"/>
      <c r="K664" s="71"/>
      <c r="L664" s="71"/>
      <c r="M664" s="5"/>
    </row>
    <row r="665" spans="1:13" s="3" customFormat="1">
      <c r="A665" s="1"/>
      <c r="B665" s="8"/>
      <c r="C665" s="5"/>
      <c r="D665" s="12"/>
      <c r="E665" s="9"/>
      <c r="F665" s="9"/>
      <c r="G665" s="5"/>
      <c r="H665" s="16"/>
      <c r="I665" s="69"/>
      <c r="J665" s="70"/>
      <c r="K665" s="71"/>
      <c r="L665" s="71"/>
      <c r="M665" s="5"/>
    </row>
    <row r="666" spans="1:13" s="3" customFormat="1">
      <c r="A666" s="1"/>
      <c r="B666" s="8"/>
      <c r="C666" s="5"/>
      <c r="D666" s="12"/>
      <c r="E666" s="9"/>
      <c r="F666" s="9"/>
      <c r="G666" s="5"/>
      <c r="H666" s="16"/>
      <c r="I666" s="69"/>
      <c r="J666" s="70"/>
      <c r="K666" s="71"/>
      <c r="L666" s="71"/>
      <c r="M666" s="5"/>
    </row>
    <row r="667" spans="1:13" s="3" customFormat="1">
      <c r="A667" s="1"/>
      <c r="B667" s="8"/>
      <c r="C667" s="5"/>
      <c r="D667" s="12"/>
      <c r="E667" s="9"/>
      <c r="F667" s="9"/>
      <c r="G667" s="5"/>
      <c r="H667" s="16"/>
      <c r="I667" s="69"/>
      <c r="J667" s="70"/>
      <c r="K667" s="71"/>
      <c r="L667" s="71"/>
      <c r="M667" s="5"/>
    </row>
    <row r="668" spans="1:13" s="3" customFormat="1">
      <c r="A668" s="1"/>
      <c r="B668" s="8"/>
      <c r="C668" s="5"/>
      <c r="D668" s="12"/>
      <c r="E668" s="9"/>
      <c r="F668" s="9"/>
      <c r="G668" s="5"/>
      <c r="H668" s="16"/>
      <c r="I668" s="69"/>
      <c r="J668" s="70"/>
      <c r="K668" s="71"/>
      <c r="L668" s="71"/>
      <c r="M668" s="5"/>
    </row>
    <row r="669" spans="1:13" s="3" customFormat="1">
      <c r="A669" s="1"/>
      <c r="B669" s="8"/>
      <c r="C669" s="5"/>
      <c r="D669" s="12"/>
      <c r="E669" s="9"/>
      <c r="F669" s="9"/>
      <c r="G669" s="5"/>
      <c r="H669" s="16"/>
      <c r="I669" s="69"/>
      <c r="J669" s="70"/>
      <c r="K669" s="71"/>
      <c r="L669" s="71"/>
      <c r="M669" s="5"/>
    </row>
    <row r="670" spans="1:13" s="3" customFormat="1">
      <c r="A670" s="1"/>
      <c r="B670" s="8"/>
      <c r="C670" s="5"/>
      <c r="D670" s="12"/>
      <c r="E670" s="9"/>
      <c r="F670" s="9"/>
      <c r="G670" s="5"/>
      <c r="H670" s="16"/>
      <c r="I670" s="69"/>
      <c r="J670" s="70"/>
      <c r="K670" s="71"/>
      <c r="L670" s="71"/>
      <c r="M670" s="5"/>
    </row>
    <row r="671" spans="1:13" s="3" customFormat="1">
      <c r="A671" s="1"/>
      <c r="B671" s="8"/>
      <c r="C671" s="5"/>
      <c r="D671" s="12"/>
      <c r="E671" s="9"/>
      <c r="F671" s="9"/>
      <c r="G671" s="5"/>
      <c r="H671" s="16"/>
      <c r="I671" s="69"/>
      <c r="J671" s="70"/>
      <c r="K671" s="71"/>
      <c r="L671" s="71"/>
      <c r="M671" s="5"/>
    </row>
    <row r="672" spans="1:13" s="3" customFormat="1">
      <c r="A672" s="1"/>
      <c r="B672" s="8"/>
      <c r="C672" s="5"/>
      <c r="D672" s="12"/>
      <c r="E672" s="9"/>
      <c r="F672" s="9"/>
      <c r="G672" s="5"/>
      <c r="H672" s="16"/>
      <c r="I672" s="69"/>
      <c r="J672" s="70"/>
      <c r="K672" s="71"/>
      <c r="L672" s="71"/>
      <c r="M672" s="5"/>
    </row>
    <row r="673" spans="1:13" s="3" customFormat="1">
      <c r="A673" s="1"/>
      <c r="B673" s="8"/>
      <c r="C673" s="5"/>
      <c r="D673" s="12"/>
      <c r="E673" s="9"/>
      <c r="F673" s="9"/>
      <c r="G673" s="5"/>
      <c r="H673" s="16"/>
      <c r="I673" s="69"/>
      <c r="J673" s="70"/>
      <c r="K673" s="71"/>
      <c r="L673" s="71"/>
      <c r="M673" s="5"/>
    </row>
    <row r="674" spans="1:13" s="3" customFormat="1">
      <c r="A674" s="1"/>
      <c r="B674" s="8"/>
      <c r="C674" s="5"/>
      <c r="D674" s="12"/>
      <c r="E674" s="9"/>
      <c r="F674" s="9"/>
      <c r="G674" s="5"/>
      <c r="H674" s="16"/>
      <c r="I674" s="69"/>
      <c r="J674" s="70"/>
      <c r="K674" s="71"/>
      <c r="L674" s="71"/>
      <c r="M674" s="5"/>
    </row>
    <row r="675" spans="1:13" s="3" customFormat="1">
      <c r="A675" s="1"/>
      <c r="B675" s="8"/>
      <c r="C675" s="5"/>
      <c r="D675" s="12"/>
      <c r="E675" s="9"/>
      <c r="F675" s="9"/>
      <c r="G675" s="5"/>
      <c r="H675" s="16"/>
      <c r="I675" s="69"/>
      <c r="J675" s="70"/>
      <c r="K675" s="71"/>
      <c r="L675" s="71"/>
      <c r="M675" s="5"/>
    </row>
    <row r="676" spans="1:13" s="3" customFormat="1">
      <c r="A676" s="1"/>
      <c r="B676" s="8"/>
      <c r="C676" s="5"/>
      <c r="D676" s="12"/>
      <c r="E676" s="9"/>
      <c r="F676" s="9"/>
      <c r="G676" s="5"/>
      <c r="H676" s="16"/>
      <c r="I676" s="69"/>
      <c r="J676" s="70"/>
      <c r="K676" s="71"/>
      <c r="L676" s="71"/>
      <c r="M676" s="5"/>
    </row>
    <row r="677" spans="1:13" s="3" customFormat="1">
      <c r="A677" s="1"/>
      <c r="B677" s="8"/>
      <c r="C677" s="5"/>
      <c r="D677" s="12"/>
      <c r="E677" s="9"/>
      <c r="F677" s="9"/>
      <c r="G677" s="5"/>
      <c r="H677" s="16"/>
      <c r="I677" s="69"/>
      <c r="J677" s="70"/>
      <c r="K677" s="71"/>
      <c r="L677" s="71"/>
      <c r="M677" s="5"/>
    </row>
    <row r="678" spans="1:13" s="3" customFormat="1">
      <c r="A678" s="1"/>
      <c r="B678" s="8"/>
      <c r="C678" s="5"/>
      <c r="D678" s="12"/>
      <c r="E678" s="9"/>
      <c r="F678" s="9"/>
      <c r="G678" s="5"/>
      <c r="H678" s="16"/>
      <c r="I678" s="69"/>
      <c r="J678" s="70"/>
      <c r="K678" s="71"/>
      <c r="L678" s="71"/>
      <c r="M678" s="5"/>
    </row>
    <row r="679" spans="1:13" s="3" customFormat="1">
      <c r="A679" s="1"/>
      <c r="B679" s="8"/>
      <c r="C679" s="5"/>
      <c r="D679" s="12"/>
      <c r="E679" s="9"/>
      <c r="F679" s="9"/>
      <c r="G679" s="5"/>
      <c r="H679" s="16"/>
      <c r="I679" s="69"/>
      <c r="J679" s="70"/>
      <c r="K679" s="71"/>
      <c r="L679" s="71"/>
      <c r="M679" s="5"/>
    </row>
    <row r="680" spans="1:13" s="3" customFormat="1">
      <c r="A680" s="1"/>
      <c r="B680" s="8"/>
      <c r="C680" s="5"/>
      <c r="D680" s="12"/>
      <c r="E680" s="9"/>
      <c r="F680" s="9"/>
      <c r="G680" s="5"/>
      <c r="H680" s="16"/>
      <c r="I680" s="69"/>
      <c r="J680" s="70"/>
      <c r="K680" s="71"/>
      <c r="L680" s="71"/>
      <c r="M680" s="5"/>
    </row>
    <row r="681" spans="1:13" s="3" customFormat="1">
      <c r="A681" s="1"/>
      <c r="B681" s="8"/>
      <c r="C681" s="5"/>
      <c r="D681" s="12"/>
      <c r="E681" s="9"/>
      <c r="F681" s="9"/>
      <c r="G681" s="5"/>
      <c r="H681" s="16"/>
      <c r="I681" s="69"/>
      <c r="J681" s="70"/>
      <c r="K681" s="71"/>
      <c r="L681" s="71"/>
      <c r="M681" s="5"/>
    </row>
    <row r="682" spans="1:13" s="3" customFormat="1">
      <c r="A682" s="1"/>
      <c r="B682" s="8"/>
      <c r="C682" s="5"/>
      <c r="D682" s="12"/>
      <c r="E682" s="9"/>
      <c r="F682" s="9"/>
      <c r="G682" s="5"/>
      <c r="H682" s="16"/>
      <c r="I682" s="69"/>
      <c r="J682" s="70"/>
      <c r="K682" s="71"/>
      <c r="L682" s="71"/>
      <c r="M682" s="5"/>
    </row>
    <row r="683" spans="1:13" s="3" customFormat="1">
      <c r="A683" s="1"/>
      <c r="B683" s="8"/>
      <c r="C683" s="5"/>
      <c r="D683" s="12"/>
      <c r="E683" s="9"/>
      <c r="F683" s="9"/>
      <c r="G683" s="5"/>
      <c r="H683" s="16"/>
      <c r="I683" s="69"/>
      <c r="J683" s="70"/>
      <c r="K683" s="71"/>
      <c r="L683" s="71"/>
      <c r="M683" s="5"/>
    </row>
    <row r="684" spans="1:13" s="3" customFormat="1">
      <c r="A684" s="1"/>
      <c r="B684" s="8"/>
      <c r="C684" s="5"/>
      <c r="D684" s="12"/>
      <c r="E684" s="9"/>
      <c r="F684" s="9"/>
      <c r="G684" s="5"/>
      <c r="H684" s="16"/>
      <c r="I684" s="69"/>
      <c r="J684" s="70"/>
      <c r="K684" s="71"/>
      <c r="L684" s="71"/>
      <c r="M684" s="5"/>
    </row>
    <row r="685" spans="1:13" s="3" customFormat="1">
      <c r="A685" s="1"/>
      <c r="B685" s="8"/>
      <c r="C685" s="5"/>
      <c r="D685" s="12"/>
      <c r="E685" s="9"/>
      <c r="F685" s="9"/>
      <c r="G685" s="5"/>
      <c r="H685" s="16"/>
      <c r="I685" s="69"/>
      <c r="J685" s="70"/>
      <c r="K685" s="71"/>
      <c r="L685" s="71"/>
      <c r="M685" s="5"/>
    </row>
    <row r="686" spans="1:13" s="3" customFormat="1">
      <c r="A686" s="1"/>
      <c r="B686" s="8"/>
      <c r="C686" s="5"/>
      <c r="D686" s="12"/>
      <c r="E686" s="9"/>
      <c r="F686" s="9"/>
      <c r="G686" s="5"/>
      <c r="H686" s="16"/>
      <c r="I686" s="69"/>
      <c r="J686" s="70"/>
      <c r="K686" s="71"/>
      <c r="L686" s="71"/>
      <c r="M686" s="5"/>
    </row>
    <row r="687" spans="1:13" s="3" customFormat="1">
      <c r="A687" s="1"/>
      <c r="B687" s="8"/>
      <c r="C687" s="5"/>
      <c r="D687" s="12"/>
      <c r="E687" s="9"/>
      <c r="F687" s="9"/>
      <c r="G687" s="5"/>
      <c r="H687" s="16"/>
      <c r="I687" s="69"/>
      <c r="J687" s="70"/>
      <c r="K687" s="71"/>
      <c r="L687" s="71"/>
      <c r="M687" s="5"/>
    </row>
    <row r="688" spans="1:13" s="3" customFormat="1">
      <c r="A688" s="1"/>
      <c r="B688" s="8"/>
      <c r="C688" s="5"/>
      <c r="D688" s="12"/>
      <c r="E688" s="9"/>
      <c r="F688" s="9"/>
      <c r="G688" s="5"/>
      <c r="H688" s="16"/>
      <c r="I688" s="69"/>
      <c r="J688" s="70"/>
      <c r="K688" s="71"/>
      <c r="L688" s="71"/>
      <c r="M688" s="5"/>
    </row>
    <row r="689" spans="1:13" s="3" customFormat="1">
      <c r="A689" s="1"/>
      <c r="B689" s="8"/>
      <c r="C689" s="5"/>
      <c r="D689" s="12"/>
      <c r="E689" s="9"/>
      <c r="F689" s="9"/>
      <c r="G689" s="5"/>
      <c r="H689" s="16"/>
      <c r="I689" s="69"/>
      <c r="J689" s="70"/>
      <c r="K689" s="71"/>
      <c r="L689" s="71"/>
      <c r="M689" s="5"/>
    </row>
    <row r="690" spans="1:13" s="3" customFormat="1">
      <c r="A690" s="1"/>
      <c r="B690" s="8"/>
      <c r="C690" s="5"/>
      <c r="D690" s="12"/>
      <c r="E690" s="9"/>
      <c r="F690" s="9"/>
      <c r="G690" s="5"/>
      <c r="H690" s="16"/>
      <c r="I690" s="69"/>
      <c r="J690" s="70"/>
      <c r="K690" s="71"/>
      <c r="L690" s="71"/>
      <c r="M690" s="5"/>
    </row>
    <row r="691" spans="1:13" s="3" customFormat="1">
      <c r="A691" s="1"/>
      <c r="B691" s="8"/>
      <c r="C691" s="5"/>
      <c r="D691" s="12"/>
      <c r="E691" s="9"/>
      <c r="F691" s="9"/>
      <c r="G691" s="5"/>
      <c r="H691" s="16"/>
      <c r="I691" s="69"/>
      <c r="J691" s="70"/>
      <c r="K691" s="71"/>
      <c r="L691" s="71"/>
      <c r="M691" s="5"/>
    </row>
    <row r="692" spans="1:13" s="3" customFormat="1">
      <c r="A692" s="1"/>
      <c r="B692" s="8"/>
      <c r="C692" s="5"/>
      <c r="D692" s="12"/>
      <c r="E692" s="9"/>
      <c r="F692" s="9"/>
      <c r="G692" s="5"/>
      <c r="H692" s="16"/>
      <c r="I692" s="69"/>
      <c r="J692" s="70"/>
      <c r="K692" s="71"/>
      <c r="L692" s="71"/>
      <c r="M692" s="5"/>
    </row>
    <row r="693" spans="1:13" s="3" customFormat="1">
      <c r="A693" s="1"/>
      <c r="B693" s="8"/>
      <c r="C693" s="5"/>
      <c r="D693" s="12"/>
      <c r="E693" s="9"/>
      <c r="F693" s="9"/>
      <c r="G693" s="5"/>
      <c r="H693" s="16"/>
      <c r="I693" s="69"/>
      <c r="J693" s="70"/>
      <c r="K693" s="71"/>
      <c r="L693" s="71"/>
      <c r="M693" s="5"/>
    </row>
    <row r="694" spans="1:13" s="3" customFormat="1">
      <c r="A694" s="1"/>
      <c r="B694" s="8"/>
      <c r="C694" s="5"/>
      <c r="D694" s="12"/>
      <c r="E694" s="9"/>
      <c r="F694" s="9"/>
      <c r="G694" s="5"/>
      <c r="H694" s="16"/>
      <c r="I694" s="69"/>
      <c r="J694" s="70"/>
      <c r="K694" s="71"/>
      <c r="L694" s="71"/>
      <c r="M694" s="5"/>
    </row>
    <row r="695" spans="1:13" s="3" customFormat="1">
      <c r="A695" s="1"/>
      <c r="B695" s="8"/>
      <c r="C695" s="5"/>
      <c r="D695" s="12"/>
      <c r="E695" s="9"/>
      <c r="F695" s="9"/>
      <c r="G695" s="5"/>
      <c r="H695" s="16"/>
      <c r="I695" s="69"/>
      <c r="J695" s="70"/>
      <c r="K695" s="71"/>
      <c r="L695" s="71"/>
      <c r="M695" s="5"/>
    </row>
    <row r="696" spans="1:13" s="3" customFormat="1">
      <c r="A696" s="1"/>
      <c r="B696" s="8"/>
      <c r="C696" s="5"/>
      <c r="D696" s="12"/>
      <c r="E696" s="9"/>
      <c r="F696" s="9"/>
      <c r="G696" s="5"/>
      <c r="H696" s="16"/>
      <c r="I696" s="69"/>
      <c r="J696" s="70"/>
      <c r="K696" s="71"/>
      <c r="L696" s="71"/>
      <c r="M696" s="5"/>
    </row>
    <row r="697" spans="1:13" s="3" customFormat="1">
      <c r="A697" s="1"/>
      <c r="B697" s="8"/>
      <c r="C697" s="5"/>
      <c r="D697" s="12"/>
      <c r="E697" s="9"/>
      <c r="F697" s="9"/>
      <c r="G697" s="5"/>
      <c r="H697" s="16"/>
      <c r="I697" s="69"/>
      <c r="J697" s="70"/>
      <c r="K697" s="71"/>
      <c r="L697" s="71"/>
      <c r="M697" s="5"/>
    </row>
    <row r="698" spans="1:13" s="3" customFormat="1">
      <c r="A698" s="1"/>
      <c r="B698" s="8"/>
      <c r="C698" s="5"/>
      <c r="D698" s="12"/>
      <c r="E698" s="9"/>
      <c r="F698" s="9"/>
      <c r="G698" s="5"/>
      <c r="H698" s="16"/>
      <c r="I698" s="69"/>
      <c r="J698" s="70"/>
      <c r="K698" s="71"/>
      <c r="L698" s="71"/>
      <c r="M698" s="5"/>
    </row>
    <row r="699" spans="1:13" s="3" customFormat="1">
      <c r="A699" s="1"/>
      <c r="B699" s="8"/>
      <c r="C699" s="5"/>
      <c r="D699" s="12"/>
      <c r="E699" s="9"/>
      <c r="F699" s="9"/>
      <c r="G699" s="5"/>
      <c r="H699" s="16"/>
      <c r="I699" s="69"/>
      <c r="J699" s="70"/>
      <c r="K699" s="71"/>
      <c r="L699" s="71"/>
      <c r="M699" s="5"/>
    </row>
    <row r="700" spans="1:13" s="3" customFormat="1">
      <c r="A700" s="1"/>
      <c r="B700" s="8"/>
      <c r="C700" s="5"/>
      <c r="D700" s="12"/>
      <c r="E700" s="9"/>
      <c r="F700" s="9"/>
      <c r="G700" s="5"/>
      <c r="H700" s="16"/>
      <c r="I700" s="69"/>
      <c r="J700" s="70"/>
      <c r="K700" s="71"/>
      <c r="L700" s="71"/>
      <c r="M700" s="5"/>
    </row>
    <row r="701" spans="1:13" s="3" customFormat="1">
      <c r="A701" s="1"/>
      <c r="B701" s="8"/>
      <c r="C701" s="5"/>
      <c r="D701" s="12"/>
      <c r="E701" s="9"/>
      <c r="F701" s="9"/>
      <c r="G701" s="5"/>
      <c r="H701" s="16"/>
      <c r="I701" s="69"/>
      <c r="J701" s="70"/>
      <c r="K701" s="71"/>
      <c r="L701" s="71"/>
      <c r="M701" s="5"/>
    </row>
    <row r="702" spans="1:13" s="3" customFormat="1">
      <c r="A702" s="1"/>
      <c r="B702" s="8"/>
      <c r="C702" s="5"/>
      <c r="D702" s="12"/>
      <c r="E702" s="9"/>
      <c r="F702" s="9"/>
      <c r="G702" s="5"/>
      <c r="H702" s="16"/>
      <c r="I702" s="69"/>
      <c r="J702" s="70"/>
      <c r="K702" s="71"/>
      <c r="L702" s="71"/>
      <c r="M702" s="5"/>
    </row>
    <row r="703" spans="1:13" s="3" customFormat="1">
      <c r="A703" s="1"/>
      <c r="B703" s="8"/>
      <c r="C703" s="5"/>
      <c r="D703" s="12"/>
      <c r="E703" s="9"/>
      <c r="F703" s="9"/>
      <c r="G703" s="5"/>
      <c r="H703" s="16"/>
      <c r="I703" s="69"/>
      <c r="J703" s="70"/>
      <c r="K703" s="71"/>
      <c r="L703" s="71"/>
      <c r="M703" s="5"/>
    </row>
    <row r="704" spans="1:13" s="3" customFormat="1">
      <c r="A704" s="1"/>
      <c r="B704" s="8"/>
      <c r="C704" s="5"/>
      <c r="D704" s="12"/>
      <c r="E704" s="9"/>
      <c r="F704" s="9"/>
      <c r="G704" s="5"/>
      <c r="H704" s="16"/>
      <c r="I704" s="69"/>
      <c r="J704" s="70"/>
      <c r="K704" s="71"/>
      <c r="L704" s="71"/>
      <c r="M704" s="5"/>
    </row>
    <row r="705" spans="1:13" s="3" customFormat="1">
      <c r="A705" s="1"/>
      <c r="B705" s="8"/>
      <c r="C705" s="5"/>
      <c r="D705" s="12"/>
      <c r="E705" s="9"/>
      <c r="F705" s="9"/>
      <c r="G705" s="5"/>
      <c r="H705" s="16"/>
      <c r="I705" s="69"/>
      <c r="J705" s="70"/>
      <c r="K705" s="71"/>
      <c r="L705" s="71"/>
      <c r="M705" s="5"/>
    </row>
    <row r="706" spans="1:13" s="3" customFormat="1">
      <c r="A706" s="1"/>
      <c r="B706" s="8"/>
      <c r="C706" s="5"/>
      <c r="D706" s="12"/>
      <c r="E706" s="9"/>
      <c r="F706" s="9"/>
      <c r="G706" s="5"/>
      <c r="H706" s="16"/>
      <c r="I706" s="69"/>
      <c r="J706" s="70"/>
      <c r="K706" s="71"/>
      <c r="L706" s="71"/>
      <c r="M706" s="5"/>
    </row>
    <row r="707" spans="1:13" s="3" customFormat="1">
      <c r="A707" s="1"/>
      <c r="B707" s="8"/>
      <c r="C707" s="5"/>
      <c r="D707" s="12"/>
      <c r="E707" s="9"/>
      <c r="F707" s="9"/>
      <c r="G707" s="5"/>
      <c r="H707" s="16"/>
      <c r="I707" s="69"/>
      <c r="J707" s="70"/>
      <c r="K707" s="71"/>
      <c r="L707" s="71"/>
      <c r="M707" s="5"/>
    </row>
    <row r="708" spans="1:13" s="3" customFormat="1">
      <c r="A708" s="1"/>
      <c r="B708" s="8"/>
      <c r="C708" s="5"/>
      <c r="D708" s="12"/>
      <c r="E708" s="9"/>
      <c r="F708" s="9"/>
      <c r="G708" s="5"/>
      <c r="H708" s="16"/>
      <c r="I708" s="69"/>
      <c r="J708" s="70"/>
      <c r="K708" s="71"/>
      <c r="L708" s="71"/>
      <c r="M708" s="5"/>
    </row>
    <row r="709" spans="1:13" s="3" customFormat="1">
      <c r="A709" s="1"/>
      <c r="B709" s="8"/>
      <c r="C709" s="5"/>
      <c r="D709" s="12"/>
      <c r="E709" s="9"/>
      <c r="F709" s="9"/>
      <c r="G709" s="5"/>
      <c r="H709" s="16"/>
      <c r="I709" s="69"/>
      <c r="J709" s="70"/>
      <c r="K709" s="71"/>
      <c r="L709" s="71"/>
      <c r="M709" s="5"/>
    </row>
    <row r="710" spans="1:13" s="3" customFormat="1">
      <c r="A710" s="1"/>
      <c r="B710" s="8"/>
      <c r="C710" s="5"/>
      <c r="D710" s="12"/>
      <c r="E710" s="9"/>
      <c r="F710" s="9"/>
      <c r="G710" s="5"/>
      <c r="H710" s="16"/>
      <c r="I710" s="69"/>
      <c r="J710" s="70"/>
      <c r="K710" s="71"/>
      <c r="L710" s="71"/>
      <c r="M710" s="5"/>
    </row>
    <row r="711" spans="1:13" s="3" customFormat="1">
      <c r="A711" s="1"/>
      <c r="B711" s="8"/>
      <c r="C711" s="5"/>
      <c r="D711" s="12"/>
      <c r="E711" s="9"/>
      <c r="F711" s="9"/>
      <c r="G711" s="5"/>
      <c r="H711" s="16"/>
      <c r="I711" s="69"/>
      <c r="J711" s="70"/>
      <c r="K711" s="71"/>
      <c r="L711" s="71"/>
      <c r="M711" s="5"/>
    </row>
    <row r="712" spans="1:13" s="3" customFormat="1">
      <c r="A712" s="1"/>
      <c r="B712" s="8"/>
      <c r="C712" s="5"/>
      <c r="D712" s="12"/>
      <c r="E712" s="9"/>
      <c r="F712" s="9"/>
      <c r="G712" s="5"/>
      <c r="H712" s="16"/>
      <c r="I712" s="69"/>
      <c r="J712" s="70"/>
      <c r="K712" s="71"/>
      <c r="L712" s="71"/>
      <c r="M712" s="5"/>
    </row>
    <row r="713" spans="1:13" s="3" customFormat="1">
      <c r="A713" s="1"/>
      <c r="B713" s="8"/>
      <c r="C713" s="5"/>
      <c r="D713" s="12"/>
      <c r="E713" s="9"/>
      <c r="F713" s="9"/>
      <c r="G713" s="5"/>
      <c r="H713" s="16"/>
      <c r="I713" s="69"/>
      <c r="J713" s="70"/>
      <c r="K713" s="71"/>
      <c r="L713" s="71"/>
      <c r="M713" s="5"/>
    </row>
    <row r="714" spans="1:13" s="3" customFormat="1">
      <c r="A714" s="1"/>
      <c r="B714" s="8"/>
      <c r="C714" s="5"/>
      <c r="D714" s="12"/>
      <c r="E714" s="9"/>
      <c r="F714" s="9"/>
      <c r="G714" s="5"/>
      <c r="H714" s="16"/>
      <c r="I714" s="69"/>
      <c r="J714" s="70"/>
      <c r="K714" s="71"/>
      <c r="L714" s="71"/>
      <c r="M714" s="5"/>
    </row>
    <row r="715" spans="1:13" s="3" customFormat="1">
      <c r="A715" s="1"/>
      <c r="B715" s="8"/>
      <c r="C715" s="5"/>
      <c r="D715" s="12"/>
      <c r="E715" s="9"/>
      <c r="F715" s="9"/>
      <c r="G715" s="5"/>
      <c r="H715" s="16"/>
      <c r="I715" s="69"/>
      <c r="J715" s="70"/>
      <c r="K715" s="71"/>
      <c r="L715" s="71"/>
      <c r="M715" s="5"/>
    </row>
    <row r="716" spans="1:13" s="3" customFormat="1">
      <c r="A716" s="1"/>
      <c r="B716" s="8"/>
      <c r="C716" s="5"/>
      <c r="D716" s="12"/>
      <c r="E716" s="9"/>
      <c r="F716" s="9"/>
      <c r="G716" s="5"/>
      <c r="H716" s="16"/>
      <c r="I716" s="69"/>
      <c r="J716" s="70"/>
      <c r="K716" s="71"/>
      <c r="L716" s="71"/>
      <c r="M716" s="5"/>
    </row>
    <row r="717" spans="1:13" s="3" customFormat="1">
      <c r="A717" s="1"/>
      <c r="B717" s="8"/>
      <c r="C717" s="5"/>
      <c r="D717" s="12"/>
      <c r="E717" s="9"/>
      <c r="F717" s="9"/>
      <c r="G717" s="5"/>
      <c r="H717" s="16"/>
      <c r="I717" s="69"/>
      <c r="J717" s="70"/>
      <c r="K717" s="71"/>
      <c r="L717" s="71"/>
      <c r="M717" s="5"/>
    </row>
    <row r="718" spans="1:13" s="3" customFormat="1">
      <c r="A718" s="1"/>
      <c r="B718" s="8"/>
      <c r="C718" s="5"/>
      <c r="D718" s="12"/>
      <c r="E718" s="9"/>
      <c r="F718" s="9"/>
      <c r="G718" s="5"/>
      <c r="H718" s="16"/>
      <c r="I718" s="69"/>
      <c r="J718" s="70"/>
      <c r="K718" s="71"/>
      <c r="L718" s="71"/>
      <c r="M718" s="5"/>
    </row>
    <row r="719" spans="1:13" s="3" customFormat="1">
      <c r="A719" s="1"/>
      <c r="B719" s="8"/>
      <c r="C719" s="5"/>
      <c r="D719" s="12"/>
      <c r="E719" s="9"/>
      <c r="F719" s="9"/>
      <c r="G719" s="5"/>
      <c r="H719" s="16"/>
      <c r="I719" s="69"/>
      <c r="J719" s="70"/>
      <c r="K719" s="71"/>
      <c r="L719" s="71"/>
      <c r="M719" s="5"/>
    </row>
    <row r="720" spans="1:13" s="3" customFormat="1">
      <c r="A720" s="1"/>
      <c r="B720" s="8"/>
      <c r="C720" s="5"/>
      <c r="D720" s="12"/>
      <c r="E720" s="9"/>
      <c r="F720" s="9"/>
      <c r="G720" s="5"/>
      <c r="H720" s="16"/>
      <c r="I720" s="69"/>
      <c r="J720" s="70"/>
      <c r="K720" s="71"/>
      <c r="L720" s="71"/>
      <c r="M720" s="5"/>
    </row>
    <row r="721" spans="1:13" s="3" customFormat="1">
      <c r="A721" s="1"/>
      <c r="B721" s="8"/>
      <c r="C721" s="5"/>
      <c r="D721" s="12"/>
      <c r="E721" s="9"/>
      <c r="F721" s="9"/>
      <c r="G721" s="5"/>
      <c r="H721" s="16"/>
      <c r="I721" s="69"/>
      <c r="J721" s="70"/>
      <c r="K721" s="71"/>
      <c r="L721" s="71"/>
      <c r="M721" s="5"/>
    </row>
    <row r="722" spans="1:13" s="3" customFormat="1">
      <c r="A722" s="1"/>
      <c r="B722" s="8"/>
      <c r="C722" s="5"/>
      <c r="D722" s="12"/>
      <c r="E722" s="9"/>
      <c r="F722" s="9"/>
      <c r="G722" s="5"/>
      <c r="H722" s="16"/>
      <c r="I722" s="69"/>
      <c r="J722" s="70"/>
      <c r="K722" s="71"/>
      <c r="L722" s="71"/>
      <c r="M722" s="5"/>
    </row>
    <row r="723" spans="1:13" s="3" customFormat="1">
      <c r="A723" s="1"/>
      <c r="B723" s="8"/>
      <c r="C723" s="5"/>
      <c r="D723" s="12"/>
      <c r="E723" s="9"/>
      <c r="F723" s="9"/>
      <c r="G723" s="5"/>
      <c r="H723" s="16"/>
      <c r="I723" s="69"/>
      <c r="J723" s="70"/>
      <c r="K723" s="71"/>
      <c r="L723" s="71"/>
      <c r="M723" s="5"/>
    </row>
    <row r="724" spans="1:13" s="3" customFormat="1">
      <c r="A724" s="1"/>
      <c r="B724" s="8"/>
      <c r="C724" s="5"/>
      <c r="D724" s="12"/>
      <c r="E724" s="9"/>
      <c r="F724" s="9"/>
      <c r="G724" s="5"/>
      <c r="H724" s="16"/>
      <c r="I724" s="69"/>
      <c r="J724" s="70"/>
      <c r="K724" s="71"/>
      <c r="L724" s="71"/>
      <c r="M724" s="5"/>
    </row>
    <row r="725" spans="1:13" s="3" customFormat="1">
      <c r="A725" s="1"/>
      <c r="B725" s="8"/>
      <c r="C725" s="5"/>
      <c r="D725" s="12"/>
      <c r="E725" s="9"/>
      <c r="F725" s="9"/>
      <c r="G725" s="5"/>
      <c r="H725" s="16"/>
      <c r="I725" s="69"/>
      <c r="J725" s="70"/>
      <c r="K725" s="71"/>
      <c r="L725" s="71"/>
      <c r="M725" s="5"/>
    </row>
    <row r="726" spans="1:13" s="3" customFormat="1">
      <c r="A726" s="1"/>
      <c r="B726" s="8"/>
      <c r="C726" s="5"/>
      <c r="D726" s="12"/>
      <c r="E726" s="9"/>
      <c r="F726" s="9"/>
      <c r="G726" s="5"/>
      <c r="H726" s="16"/>
      <c r="I726" s="69"/>
      <c r="J726" s="70"/>
      <c r="K726" s="71"/>
      <c r="L726" s="71"/>
      <c r="M726" s="5"/>
    </row>
    <row r="727" spans="1:13" s="3" customFormat="1">
      <c r="A727" s="1"/>
      <c r="B727" s="8"/>
      <c r="C727" s="5"/>
      <c r="D727" s="12"/>
      <c r="E727" s="9"/>
      <c r="F727" s="9"/>
      <c r="G727" s="5"/>
      <c r="H727" s="16"/>
      <c r="I727" s="69"/>
      <c r="J727" s="70"/>
      <c r="K727" s="71"/>
      <c r="L727" s="71"/>
      <c r="M727" s="5"/>
    </row>
    <row r="728" spans="1:13" s="3" customFormat="1">
      <c r="A728" s="1"/>
      <c r="B728" s="8"/>
      <c r="C728" s="5"/>
      <c r="D728" s="12"/>
      <c r="E728" s="9"/>
      <c r="F728" s="9"/>
      <c r="G728" s="5"/>
      <c r="H728" s="16"/>
      <c r="I728" s="69"/>
      <c r="J728" s="70"/>
      <c r="K728" s="71"/>
      <c r="L728" s="71"/>
      <c r="M728" s="5"/>
    </row>
    <row r="729" spans="1:13" s="3" customFormat="1">
      <c r="A729" s="1"/>
      <c r="B729" s="8"/>
      <c r="C729" s="5"/>
      <c r="D729" s="12"/>
      <c r="E729" s="9"/>
      <c r="F729" s="9"/>
      <c r="G729" s="5"/>
      <c r="H729" s="16"/>
      <c r="I729" s="69"/>
      <c r="J729" s="70"/>
      <c r="K729" s="71"/>
      <c r="L729" s="71"/>
      <c r="M729" s="5"/>
    </row>
    <row r="730" spans="1:13" s="3" customFormat="1">
      <c r="A730" s="1"/>
      <c r="B730" s="8"/>
      <c r="C730" s="5"/>
      <c r="D730" s="12"/>
      <c r="E730" s="9"/>
      <c r="F730" s="9"/>
      <c r="G730" s="5"/>
      <c r="H730" s="16"/>
      <c r="I730" s="69"/>
      <c r="J730" s="70"/>
      <c r="K730" s="71"/>
      <c r="L730" s="71"/>
      <c r="M730" s="5"/>
    </row>
    <row r="731" spans="1:13" s="3" customFormat="1">
      <c r="A731" s="1"/>
      <c r="B731" s="8"/>
      <c r="C731" s="5"/>
      <c r="D731" s="12"/>
      <c r="E731" s="9"/>
      <c r="F731" s="9"/>
      <c r="G731" s="5"/>
      <c r="H731" s="16"/>
      <c r="I731" s="69"/>
      <c r="J731" s="70"/>
      <c r="K731" s="71"/>
      <c r="L731" s="71"/>
      <c r="M731" s="5"/>
    </row>
    <row r="732" spans="1:13" s="3" customFormat="1">
      <c r="A732" s="1"/>
      <c r="B732" s="8"/>
      <c r="C732" s="5"/>
      <c r="D732" s="12"/>
      <c r="E732" s="9"/>
      <c r="F732" s="9"/>
      <c r="G732" s="5"/>
      <c r="H732" s="16"/>
      <c r="I732" s="69"/>
      <c r="J732" s="70"/>
      <c r="K732" s="71"/>
      <c r="L732" s="71"/>
      <c r="M732" s="5"/>
    </row>
    <row r="733" spans="1:13" s="3" customFormat="1">
      <c r="A733" s="1"/>
      <c r="B733" s="8"/>
      <c r="C733" s="5"/>
      <c r="D733" s="12"/>
      <c r="E733" s="9"/>
      <c r="F733" s="9"/>
      <c r="G733" s="5"/>
      <c r="H733" s="16"/>
      <c r="I733" s="69"/>
      <c r="J733" s="70"/>
      <c r="K733" s="71"/>
      <c r="L733" s="71"/>
      <c r="M733" s="5"/>
    </row>
    <row r="734" spans="1:13" s="3" customFormat="1">
      <c r="A734" s="1"/>
      <c r="B734" s="8"/>
      <c r="C734" s="5"/>
      <c r="D734" s="12"/>
      <c r="E734" s="9"/>
      <c r="F734" s="9"/>
      <c r="G734" s="5"/>
      <c r="H734" s="16"/>
      <c r="I734" s="69"/>
      <c r="J734" s="70"/>
      <c r="K734" s="71"/>
      <c r="L734" s="71"/>
      <c r="M734" s="5"/>
    </row>
    <row r="735" spans="1:13" s="3" customFormat="1">
      <c r="A735" s="1"/>
      <c r="B735" s="8"/>
      <c r="C735" s="5"/>
      <c r="D735" s="12"/>
      <c r="E735" s="9"/>
      <c r="F735" s="9"/>
      <c r="G735" s="5"/>
      <c r="H735" s="16"/>
      <c r="I735" s="69"/>
      <c r="J735" s="70"/>
      <c r="K735" s="71"/>
      <c r="L735" s="71"/>
      <c r="M735" s="5"/>
    </row>
    <row r="736" spans="1:13" s="3" customFormat="1">
      <c r="A736" s="1"/>
      <c r="B736" s="8"/>
      <c r="C736" s="5"/>
      <c r="D736" s="12"/>
      <c r="E736" s="9"/>
      <c r="F736" s="9"/>
      <c r="G736" s="5"/>
      <c r="H736" s="16"/>
      <c r="I736" s="69"/>
      <c r="J736" s="70"/>
      <c r="K736" s="71"/>
      <c r="L736" s="71"/>
      <c r="M736" s="5"/>
    </row>
    <row r="737" spans="1:13" s="3" customFormat="1">
      <c r="A737" s="1"/>
      <c r="B737" s="8"/>
      <c r="C737" s="5"/>
      <c r="D737" s="12"/>
      <c r="E737" s="9"/>
      <c r="F737" s="9"/>
      <c r="G737" s="5"/>
      <c r="H737" s="16"/>
      <c r="I737" s="69"/>
      <c r="J737" s="70"/>
      <c r="K737" s="71"/>
      <c r="L737" s="71"/>
      <c r="M737" s="5"/>
    </row>
    <row r="738" spans="1:13" s="3" customFormat="1">
      <c r="A738" s="1"/>
      <c r="B738" s="8"/>
      <c r="C738" s="5"/>
      <c r="D738" s="12"/>
      <c r="E738" s="9"/>
      <c r="F738" s="9"/>
      <c r="G738" s="5"/>
      <c r="H738" s="16"/>
      <c r="I738" s="69"/>
      <c r="J738" s="70"/>
      <c r="K738" s="71"/>
      <c r="L738" s="71"/>
      <c r="M738" s="5"/>
    </row>
    <row r="739" spans="1:13" s="3" customFormat="1">
      <c r="A739" s="1"/>
      <c r="B739" s="8"/>
      <c r="C739" s="5"/>
      <c r="D739" s="12"/>
      <c r="E739" s="9"/>
      <c r="F739" s="9"/>
      <c r="G739" s="5"/>
      <c r="H739" s="16"/>
      <c r="I739" s="69"/>
      <c r="J739" s="70"/>
      <c r="K739" s="71"/>
      <c r="L739" s="71"/>
      <c r="M739" s="5"/>
    </row>
    <row r="740" spans="1:13" s="3" customFormat="1">
      <c r="A740" s="1"/>
      <c r="B740" s="8"/>
      <c r="C740" s="5"/>
      <c r="D740" s="12"/>
      <c r="E740" s="9"/>
      <c r="F740" s="9"/>
      <c r="G740" s="5"/>
      <c r="H740" s="16"/>
      <c r="I740" s="69"/>
      <c r="J740" s="70"/>
      <c r="K740" s="71"/>
      <c r="L740" s="71"/>
      <c r="M740" s="5"/>
    </row>
    <row r="741" spans="1:13" s="3" customFormat="1">
      <c r="A741" s="1"/>
      <c r="B741" s="8"/>
      <c r="C741" s="5"/>
      <c r="D741" s="12"/>
      <c r="E741" s="9"/>
      <c r="F741" s="9"/>
      <c r="G741" s="5"/>
      <c r="H741" s="16"/>
      <c r="I741" s="69"/>
      <c r="J741" s="70"/>
      <c r="K741" s="71"/>
      <c r="L741" s="71"/>
      <c r="M741" s="5"/>
    </row>
    <row r="742" spans="1:13" s="3" customFormat="1">
      <c r="A742" s="1"/>
      <c r="B742" s="8"/>
      <c r="C742" s="5"/>
      <c r="D742" s="12"/>
      <c r="E742" s="9"/>
      <c r="F742" s="9"/>
      <c r="G742" s="5"/>
      <c r="H742" s="16"/>
      <c r="I742" s="69"/>
      <c r="J742" s="70"/>
      <c r="K742" s="71"/>
      <c r="L742" s="71"/>
      <c r="M742" s="5"/>
    </row>
    <row r="743" spans="1:13" s="3" customFormat="1">
      <c r="A743" s="1"/>
      <c r="B743" s="8"/>
      <c r="C743" s="5"/>
      <c r="D743" s="12"/>
      <c r="E743" s="9"/>
      <c r="F743" s="9"/>
      <c r="G743" s="5"/>
      <c r="H743" s="16"/>
      <c r="I743" s="69"/>
      <c r="J743" s="70"/>
      <c r="K743" s="71"/>
      <c r="L743" s="71"/>
      <c r="M743" s="5"/>
    </row>
    <row r="744" spans="1:13" s="3" customFormat="1">
      <c r="A744" s="1"/>
      <c r="B744" s="8"/>
      <c r="C744" s="5"/>
      <c r="D744" s="12"/>
      <c r="E744" s="9"/>
      <c r="F744" s="9"/>
      <c r="G744" s="5"/>
      <c r="H744" s="16"/>
      <c r="I744" s="69"/>
      <c r="J744" s="70"/>
      <c r="K744" s="71"/>
      <c r="L744" s="71"/>
      <c r="M744" s="5"/>
    </row>
    <row r="745" spans="1:13" s="3" customFormat="1">
      <c r="A745" s="1"/>
      <c r="B745" s="8"/>
      <c r="C745" s="5"/>
      <c r="D745" s="12"/>
      <c r="E745" s="9"/>
      <c r="F745" s="9"/>
      <c r="G745" s="5"/>
      <c r="H745" s="16"/>
      <c r="I745" s="69"/>
      <c r="J745" s="70"/>
      <c r="K745" s="71"/>
      <c r="L745" s="71"/>
      <c r="M745" s="5"/>
    </row>
    <row r="746" spans="1:13" s="3" customFormat="1">
      <c r="A746" s="1"/>
      <c r="B746" s="8"/>
      <c r="C746" s="5"/>
      <c r="D746" s="12"/>
      <c r="E746" s="9"/>
      <c r="F746" s="9"/>
      <c r="G746" s="5"/>
      <c r="H746" s="16"/>
      <c r="I746" s="69"/>
      <c r="J746" s="70"/>
      <c r="K746" s="71"/>
      <c r="L746" s="71"/>
      <c r="M746" s="5"/>
    </row>
    <row r="747" spans="1:13" s="3" customFormat="1">
      <c r="A747" s="1"/>
      <c r="B747" s="8"/>
      <c r="C747" s="5"/>
      <c r="D747" s="12"/>
      <c r="E747" s="9"/>
      <c r="F747" s="9"/>
      <c r="G747" s="5"/>
      <c r="H747" s="16"/>
      <c r="I747" s="69"/>
      <c r="J747" s="70"/>
      <c r="K747" s="71"/>
      <c r="L747" s="71"/>
      <c r="M747" s="5"/>
    </row>
    <row r="748" spans="1:13" s="3" customFormat="1">
      <c r="A748" s="1"/>
      <c r="B748" s="8"/>
      <c r="C748" s="5"/>
      <c r="D748" s="12"/>
      <c r="E748" s="9"/>
      <c r="F748" s="9"/>
      <c r="G748" s="5"/>
      <c r="H748" s="16"/>
      <c r="I748" s="69"/>
      <c r="J748" s="70"/>
      <c r="K748" s="71"/>
      <c r="L748" s="71"/>
      <c r="M748" s="5"/>
    </row>
    <row r="749" spans="1:13" s="3" customFormat="1">
      <c r="A749" s="1"/>
      <c r="B749" s="8"/>
      <c r="C749" s="5"/>
      <c r="D749" s="12"/>
      <c r="E749" s="9"/>
      <c r="F749" s="9"/>
      <c r="G749" s="5"/>
      <c r="H749" s="16"/>
      <c r="I749" s="69"/>
      <c r="J749" s="70"/>
      <c r="K749" s="71"/>
      <c r="L749" s="71"/>
      <c r="M749" s="5"/>
    </row>
    <row r="750" spans="1:13" s="3" customFormat="1">
      <c r="A750" s="1"/>
      <c r="B750" s="8"/>
      <c r="C750" s="5"/>
      <c r="D750" s="12"/>
      <c r="E750" s="9"/>
      <c r="F750" s="9"/>
      <c r="G750" s="5"/>
      <c r="H750" s="16"/>
      <c r="I750" s="69"/>
      <c r="J750" s="70"/>
      <c r="K750" s="71"/>
      <c r="L750" s="71"/>
      <c r="M750" s="5"/>
    </row>
    <row r="751" spans="1:13" s="3" customFormat="1">
      <c r="A751" s="1"/>
      <c r="B751" s="8"/>
      <c r="C751" s="5"/>
      <c r="D751" s="12"/>
      <c r="E751" s="9"/>
      <c r="F751" s="9"/>
      <c r="G751" s="5"/>
      <c r="H751" s="16"/>
      <c r="I751" s="69"/>
      <c r="J751" s="70"/>
      <c r="K751" s="71"/>
      <c r="L751" s="71"/>
      <c r="M751" s="5"/>
    </row>
    <row r="752" spans="1:13" s="3" customFormat="1">
      <c r="A752" s="1"/>
      <c r="B752" s="8"/>
      <c r="C752" s="5"/>
      <c r="D752" s="12"/>
      <c r="E752" s="9"/>
      <c r="F752" s="9"/>
      <c r="G752" s="5"/>
      <c r="H752" s="16"/>
      <c r="I752" s="69"/>
      <c r="J752" s="70"/>
      <c r="K752" s="71"/>
      <c r="L752" s="71"/>
      <c r="M752" s="5"/>
    </row>
    <row r="753" spans="1:13" s="3" customFormat="1">
      <c r="A753" s="1"/>
      <c r="B753" s="8"/>
      <c r="C753" s="5"/>
      <c r="D753" s="12"/>
      <c r="E753" s="9"/>
      <c r="F753" s="9"/>
      <c r="G753" s="5"/>
      <c r="H753" s="16"/>
      <c r="I753" s="69"/>
      <c r="J753" s="70"/>
      <c r="K753" s="71"/>
      <c r="L753" s="71"/>
      <c r="M753" s="5"/>
    </row>
    <row r="754" spans="1:13" s="3" customFormat="1">
      <c r="A754" s="1"/>
      <c r="B754" s="8"/>
      <c r="C754" s="5"/>
      <c r="D754" s="12"/>
      <c r="E754" s="9"/>
      <c r="F754" s="9"/>
      <c r="G754" s="5"/>
      <c r="H754" s="16"/>
      <c r="I754" s="69"/>
      <c r="J754" s="70"/>
      <c r="K754" s="71"/>
      <c r="L754" s="71"/>
      <c r="M754" s="5"/>
    </row>
    <row r="755" spans="1:13" s="3" customFormat="1">
      <c r="A755" s="1"/>
      <c r="B755" s="8"/>
      <c r="C755" s="5"/>
      <c r="D755" s="12"/>
      <c r="E755" s="9"/>
      <c r="F755" s="9"/>
      <c r="G755" s="5"/>
      <c r="H755" s="16"/>
      <c r="I755" s="69"/>
      <c r="J755" s="70"/>
      <c r="K755" s="71"/>
      <c r="L755" s="71"/>
      <c r="M755" s="5"/>
    </row>
    <row r="756" spans="1:13" s="3" customFormat="1">
      <c r="A756" s="1"/>
      <c r="B756" s="8"/>
      <c r="C756" s="5"/>
      <c r="D756" s="12"/>
      <c r="E756" s="9"/>
      <c r="F756" s="9"/>
      <c r="G756" s="5"/>
      <c r="H756" s="16"/>
      <c r="I756" s="69"/>
      <c r="J756" s="70"/>
      <c r="K756" s="71"/>
      <c r="L756" s="71"/>
      <c r="M756" s="5"/>
    </row>
    <row r="757" spans="1:13" s="3" customFormat="1">
      <c r="A757" s="1"/>
      <c r="B757" s="8"/>
      <c r="C757" s="5"/>
      <c r="D757" s="12"/>
      <c r="E757" s="9"/>
      <c r="F757" s="9"/>
      <c r="G757" s="5"/>
      <c r="H757" s="16"/>
      <c r="I757" s="69"/>
      <c r="J757" s="70"/>
      <c r="K757" s="71"/>
      <c r="L757" s="71"/>
      <c r="M757" s="5"/>
    </row>
    <row r="758" spans="1:13" s="3" customFormat="1">
      <c r="A758" s="1"/>
      <c r="B758" s="8"/>
      <c r="C758" s="5"/>
      <c r="D758" s="12"/>
      <c r="E758" s="9"/>
      <c r="F758" s="9"/>
      <c r="G758" s="5"/>
      <c r="H758" s="16"/>
      <c r="I758" s="69"/>
      <c r="J758" s="70"/>
      <c r="K758" s="71"/>
      <c r="L758" s="71"/>
      <c r="M758" s="5"/>
    </row>
    <row r="759" spans="1:13" s="3" customFormat="1">
      <c r="A759" s="1"/>
      <c r="B759" s="8"/>
      <c r="C759" s="5"/>
      <c r="D759" s="12"/>
      <c r="E759" s="9"/>
      <c r="F759" s="9"/>
      <c r="G759" s="5"/>
      <c r="H759" s="16"/>
      <c r="I759" s="69"/>
      <c r="J759" s="70"/>
      <c r="K759" s="71"/>
      <c r="L759" s="71"/>
      <c r="M759" s="5"/>
    </row>
    <row r="760" spans="1:13" s="3" customFormat="1">
      <c r="A760" s="1"/>
      <c r="B760" s="8"/>
      <c r="C760" s="5"/>
      <c r="D760" s="12"/>
      <c r="E760" s="9"/>
      <c r="F760" s="9"/>
      <c r="G760" s="5"/>
      <c r="H760" s="16"/>
      <c r="I760" s="69"/>
      <c r="J760" s="70"/>
      <c r="K760" s="71"/>
      <c r="L760" s="71"/>
      <c r="M760" s="5"/>
    </row>
    <row r="761" spans="1:13" s="3" customFormat="1">
      <c r="A761" s="1"/>
      <c r="B761" s="8"/>
      <c r="C761" s="5"/>
      <c r="D761" s="12"/>
      <c r="E761" s="9"/>
      <c r="F761" s="9"/>
      <c r="G761" s="5"/>
      <c r="H761" s="16"/>
      <c r="I761" s="69"/>
      <c r="J761" s="70"/>
      <c r="K761" s="71"/>
      <c r="L761" s="71"/>
      <c r="M761" s="5"/>
    </row>
    <row r="762" spans="1:13" s="3" customFormat="1">
      <c r="A762" s="1"/>
      <c r="B762" s="8"/>
      <c r="C762" s="5"/>
      <c r="D762" s="12"/>
      <c r="E762" s="9"/>
      <c r="F762" s="9"/>
      <c r="G762" s="5"/>
      <c r="H762" s="16"/>
      <c r="I762" s="69"/>
      <c r="J762" s="70"/>
      <c r="K762" s="71"/>
      <c r="L762" s="71"/>
      <c r="M762" s="5"/>
    </row>
    <row r="763" spans="1:13" s="3" customFormat="1">
      <c r="A763" s="1"/>
      <c r="B763" s="8"/>
      <c r="C763" s="5"/>
      <c r="D763" s="12"/>
      <c r="E763" s="9"/>
      <c r="F763" s="9"/>
      <c r="G763" s="5"/>
      <c r="H763" s="16"/>
      <c r="I763" s="69"/>
      <c r="J763" s="70"/>
      <c r="K763" s="71"/>
      <c r="L763" s="71"/>
      <c r="M763" s="5"/>
    </row>
    <row r="764" spans="1:13" s="3" customFormat="1">
      <c r="A764" s="1"/>
      <c r="B764" s="8"/>
      <c r="C764" s="5"/>
      <c r="D764" s="12"/>
      <c r="E764" s="9"/>
      <c r="F764" s="9"/>
      <c r="G764" s="5"/>
      <c r="H764" s="16"/>
      <c r="I764" s="69"/>
      <c r="J764" s="70"/>
      <c r="K764" s="71"/>
      <c r="L764" s="71"/>
      <c r="M764" s="5"/>
    </row>
    <row r="765" spans="1:13" s="3" customFormat="1">
      <c r="A765" s="1"/>
      <c r="B765" s="8"/>
      <c r="C765" s="5"/>
      <c r="D765" s="12"/>
      <c r="E765" s="9"/>
      <c r="F765" s="9"/>
      <c r="G765" s="5"/>
      <c r="H765" s="16"/>
      <c r="I765" s="69"/>
      <c r="J765" s="70"/>
      <c r="K765" s="71"/>
      <c r="L765" s="71"/>
      <c r="M765" s="5"/>
    </row>
    <row r="766" spans="1:13" s="3" customFormat="1">
      <c r="A766" s="1"/>
      <c r="B766" s="8"/>
      <c r="C766" s="5"/>
      <c r="D766" s="12"/>
      <c r="E766" s="9"/>
      <c r="F766" s="9"/>
      <c r="G766" s="5"/>
      <c r="H766" s="16"/>
      <c r="I766" s="69"/>
      <c r="J766" s="70"/>
      <c r="K766" s="71"/>
      <c r="L766" s="71"/>
      <c r="M766" s="5"/>
    </row>
    <row r="767" spans="1:13" s="3" customFormat="1">
      <c r="A767" s="1"/>
      <c r="B767" s="8"/>
      <c r="C767" s="5"/>
      <c r="D767" s="12"/>
      <c r="E767" s="9"/>
      <c r="F767" s="9"/>
      <c r="G767" s="5"/>
      <c r="H767" s="16"/>
      <c r="I767" s="69"/>
      <c r="J767" s="70"/>
      <c r="K767" s="71"/>
      <c r="L767" s="71"/>
      <c r="M767" s="5"/>
    </row>
    <row r="768" spans="1:13" s="3" customFormat="1">
      <c r="A768" s="1"/>
      <c r="B768" s="8"/>
      <c r="C768" s="5"/>
      <c r="D768" s="12"/>
      <c r="E768" s="9"/>
      <c r="F768" s="9"/>
      <c r="G768" s="5"/>
      <c r="H768" s="16"/>
      <c r="I768" s="69"/>
      <c r="J768" s="70"/>
      <c r="K768" s="71"/>
      <c r="L768" s="71"/>
      <c r="M768" s="5"/>
    </row>
    <row r="769" spans="1:13" s="3" customFormat="1">
      <c r="A769" s="1"/>
      <c r="B769" s="8"/>
      <c r="C769" s="5"/>
      <c r="D769" s="12"/>
      <c r="E769" s="9"/>
      <c r="F769" s="9"/>
      <c r="G769" s="5"/>
      <c r="H769" s="16"/>
      <c r="I769" s="69"/>
      <c r="J769" s="70"/>
      <c r="K769" s="71"/>
      <c r="L769" s="71"/>
      <c r="M769" s="5"/>
    </row>
    <row r="770" spans="1:13" s="3" customFormat="1">
      <c r="A770" s="1"/>
      <c r="B770" s="8"/>
      <c r="C770" s="5"/>
      <c r="D770" s="12"/>
      <c r="E770" s="9"/>
      <c r="F770" s="9"/>
      <c r="G770" s="5"/>
      <c r="H770" s="16"/>
      <c r="I770" s="69"/>
      <c r="J770" s="70"/>
      <c r="K770" s="71"/>
      <c r="L770" s="71"/>
      <c r="M770" s="5"/>
    </row>
    <row r="771" spans="1:13" s="3" customFormat="1">
      <c r="A771" s="1"/>
      <c r="B771" s="8"/>
      <c r="C771" s="5"/>
      <c r="D771" s="12"/>
      <c r="E771" s="9"/>
      <c r="F771" s="9"/>
      <c r="G771" s="5"/>
      <c r="H771" s="16"/>
      <c r="I771" s="69"/>
      <c r="J771" s="70"/>
      <c r="K771" s="71"/>
      <c r="L771" s="71"/>
      <c r="M771" s="5"/>
    </row>
    <row r="772" spans="1:13" s="3" customFormat="1">
      <c r="A772" s="1"/>
      <c r="B772" s="8"/>
      <c r="C772" s="5"/>
      <c r="D772" s="12"/>
      <c r="E772" s="9"/>
      <c r="F772" s="9"/>
      <c r="G772" s="5"/>
      <c r="H772" s="16"/>
      <c r="I772" s="69"/>
      <c r="J772" s="70"/>
      <c r="K772" s="71"/>
      <c r="L772" s="71"/>
      <c r="M772" s="5"/>
    </row>
    <row r="773" spans="1:13" s="3" customFormat="1">
      <c r="A773" s="1"/>
      <c r="B773" s="8"/>
      <c r="C773" s="5"/>
      <c r="D773" s="12"/>
      <c r="E773" s="9"/>
      <c r="F773" s="9"/>
      <c r="G773" s="5"/>
      <c r="H773" s="16"/>
      <c r="I773" s="69"/>
      <c r="J773" s="70"/>
      <c r="K773" s="71"/>
      <c r="L773" s="71"/>
      <c r="M773" s="5"/>
    </row>
    <row r="774" spans="1:13" s="3" customFormat="1">
      <c r="A774" s="1"/>
      <c r="B774" s="8"/>
      <c r="C774" s="5"/>
      <c r="D774" s="12"/>
      <c r="E774" s="9"/>
      <c r="F774" s="9"/>
      <c r="G774" s="5"/>
      <c r="H774" s="16"/>
      <c r="I774" s="69"/>
      <c r="J774" s="70"/>
      <c r="K774" s="71"/>
      <c r="L774" s="71"/>
      <c r="M774" s="5"/>
    </row>
    <row r="775" spans="1:13" s="3" customFormat="1">
      <c r="A775" s="1"/>
      <c r="B775" s="8"/>
      <c r="C775" s="5"/>
      <c r="D775" s="12"/>
      <c r="E775" s="9"/>
      <c r="F775" s="9"/>
      <c r="G775" s="5"/>
      <c r="H775" s="16"/>
      <c r="I775" s="69"/>
      <c r="J775" s="70"/>
      <c r="K775" s="71"/>
      <c r="L775" s="71"/>
      <c r="M775" s="5"/>
    </row>
    <row r="776" spans="1:13" s="3" customFormat="1">
      <c r="A776" s="1"/>
      <c r="B776" s="8"/>
      <c r="C776" s="5"/>
      <c r="D776" s="12"/>
      <c r="E776" s="9"/>
      <c r="F776" s="9"/>
      <c r="G776" s="5"/>
      <c r="H776" s="16"/>
      <c r="I776" s="69"/>
      <c r="J776" s="70"/>
      <c r="K776" s="71"/>
      <c r="L776" s="71"/>
      <c r="M776" s="5"/>
    </row>
    <row r="777" spans="1:13" s="3" customFormat="1">
      <c r="A777" s="1"/>
      <c r="B777" s="8"/>
      <c r="C777" s="5"/>
      <c r="D777" s="12"/>
      <c r="E777" s="9"/>
      <c r="F777" s="9"/>
      <c r="G777" s="5"/>
      <c r="H777" s="16"/>
      <c r="I777" s="69"/>
      <c r="J777" s="70"/>
      <c r="K777" s="71"/>
      <c r="L777" s="71"/>
      <c r="M777" s="5"/>
    </row>
    <row r="778" spans="1:13" s="3" customFormat="1">
      <c r="A778" s="1"/>
      <c r="B778" s="8"/>
      <c r="C778" s="5"/>
      <c r="D778" s="12"/>
      <c r="E778" s="9"/>
      <c r="F778" s="9"/>
      <c r="G778" s="5"/>
      <c r="H778" s="16"/>
      <c r="I778" s="69"/>
      <c r="J778" s="70"/>
      <c r="K778" s="71"/>
      <c r="L778" s="71"/>
      <c r="M778" s="5"/>
    </row>
    <row r="779" spans="1:13" s="3" customFormat="1">
      <c r="A779" s="1"/>
      <c r="B779" s="8"/>
      <c r="C779" s="5"/>
      <c r="D779" s="12"/>
      <c r="E779" s="9"/>
      <c r="F779" s="9"/>
      <c r="G779" s="5"/>
      <c r="H779" s="16"/>
      <c r="I779" s="69"/>
      <c r="J779" s="70"/>
      <c r="K779" s="71"/>
      <c r="L779" s="71"/>
      <c r="M779" s="5"/>
    </row>
    <row r="780" spans="1:13" s="3" customFormat="1">
      <c r="A780" s="1"/>
      <c r="B780" s="8"/>
      <c r="C780" s="5"/>
      <c r="D780" s="12"/>
      <c r="E780" s="9"/>
      <c r="F780" s="9"/>
      <c r="G780" s="5"/>
      <c r="H780" s="16"/>
      <c r="I780" s="69"/>
      <c r="J780" s="70"/>
      <c r="K780" s="71"/>
      <c r="L780" s="71"/>
      <c r="M780" s="5"/>
    </row>
    <row r="781" spans="1:13" s="3" customFormat="1">
      <c r="A781" s="1"/>
      <c r="B781" s="8"/>
      <c r="C781" s="5"/>
      <c r="D781" s="12"/>
      <c r="E781" s="9"/>
      <c r="F781" s="9"/>
      <c r="G781" s="5"/>
      <c r="H781" s="16"/>
      <c r="I781" s="69"/>
      <c r="J781" s="70"/>
      <c r="K781" s="71"/>
      <c r="L781" s="71"/>
      <c r="M781" s="5"/>
    </row>
    <row r="782" spans="1:13" s="3" customFormat="1">
      <c r="A782" s="1"/>
      <c r="B782" s="8"/>
      <c r="C782" s="5"/>
      <c r="D782" s="12"/>
      <c r="E782" s="9"/>
      <c r="F782" s="9"/>
      <c r="G782" s="5"/>
      <c r="H782" s="16"/>
      <c r="I782" s="69"/>
      <c r="J782" s="70"/>
      <c r="K782" s="71"/>
      <c r="L782" s="71"/>
      <c r="M782" s="5"/>
    </row>
    <row r="783" spans="1:13" s="3" customFormat="1">
      <c r="A783" s="1"/>
      <c r="B783" s="8"/>
      <c r="C783" s="5"/>
      <c r="D783" s="12"/>
      <c r="E783" s="9"/>
      <c r="F783" s="9"/>
      <c r="G783" s="5"/>
      <c r="H783" s="16"/>
      <c r="I783" s="69"/>
      <c r="J783" s="70"/>
      <c r="K783" s="71"/>
      <c r="L783" s="71"/>
      <c r="M783" s="5"/>
    </row>
    <row r="784" spans="1:13" s="3" customFormat="1">
      <c r="A784" s="1"/>
      <c r="B784" s="8"/>
      <c r="C784" s="5"/>
      <c r="D784" s="12"/>
      <c r="E784" s="9"/>
      <c r="F784" s="9"/>
      <c r="G784" s="5"/>
      <c r="H784" s="16"/>
      <c r="I784" s="69"/>
      <c r="J784" s="70"/>
      <c r="K784" s="71"/>
      <c r="L784" s="71"/>
      <c r="M784" s="5"/>
    </row>
    <row r="785" spans="1:13" s="3" customFormat="1">
      <c r="A785" s="1"/>
      <c r="B785" s="8"/>
      <c r="C785" s="5"/>
      <c r="D785" s="12"/>
      <c r="E785" s="9"/>
      <c r="F785" s="9"/>
      <c r="G785" s="5"/>
      <c r="H785" s="16"/>
      <c r="I785" s="69"/>
      <c r="J785" s="70"/>
      <c r="K785" s="71"/>
      <c r="L785" s="71"/>
      <c r="M785" s="5"/>
    </row>
    <row r="786" spans="1:13" s="3" customFormat="1">
      <c r="A786" s="1"/>
      <c r="B786" s="8"/>
      <c r="C786" s="5"/>
      <c r="D786" s="12"/>
      <c r="E786" s="9"/>
      <c r="F786" s="9"/>
      <c r="G786" s="5"/>
      <c r="H786" s="16"/>
      <c r="I786" s="69"/>
      <c r="J786" s="70"/>
      <c r="K786" s="71"/>
      <c r="L786" s="71"/>
      <c r="M786" s="5"/>
    </row>
    <row r="787" spans="1:13" s="3" customFormat="1">
      <c r="A787" s="1"/>
      <c r="B787" s="8"/>
      <c r="C787" s="5"/>
      <c r="D787" s="12"/>
      <c r="E787" s="9"/>
      <c r="F787" s="9"/>
      <c r="G787" s="5"/>
      <c r="H787" s="16"/>
      <c r="I787" s="69"/>
      <c r="J787" s="70"/>
      <c r="K787" s="71"/>
      <c r="L787" s="71"/>
      <c r="M787" s="5"/>
    </row>
    <row r="788" spans="1:13" s="3" customFormat="1">
      <c r="A788" s="1"/>
      <c r="B788" s="8"/>
      <c r="C788" s="5"/>
      <c r="D788" s="12"/>
      <c r="E788" s="9"/>
      <c r="F788" s="9"/>
      <c r="G788" s="5"/>
      <c r="H788" s="16"/>
      <c r="I788" s="69"/>
      <c r="J788" s="70"/>
      <c r="K788" s="71"/>
      <c r="L788" s="71"/>
      <c r="M788" s="5"/>
    </row>
    <row r="789" spans="1:13" s="3" customFormat="1">
      <c r="A789" s="1"/>
      <c r="B789" s="8"/>
      <c r="C789" s="5"/>
      <c r="D789" s="12"/>
      <c r="E789" s="9"/>
      <c r="F789" s="9"/>
      <c r="G789" s="5"/>
      <c r="H789" s="16"/>
      <c r="I789" s="69"/>
      <c r="J789" s="70"/>
      <c r="K789" s="71"/>
      <c r="L789" s="71"/>
      <c r="M789" s="5"/>
    </row>
    <row r="790" spans="1:13" s="3" customFormat="1">
      <c r="A790" s="1"/>
      <c r="B790" s="8"/>
      <c r="C790" s="5"/>
      <c r="D790" s="12"/>
      <c r="E790" s="9"/>
      <c r="F790" s="9"/>
      <c r="G790" s="5"/>
      <c r="H790" s="16"/>
      <c r="I790" s="69"/>
      <c r="J790" s="70"/>
      <c r="K790" s="71"/>
      <c r="L790" s="71"/>
      <c r="M790" s="5"/>
    </row>
    <row r="791" spans="1:13" s="3" customFormat="1">
      <c r="A791" s="1"/>
      <c r="B791" s="8"/>
      <c r="C791" s="5"/>
      <c r="D791" s="12"/>
      <c r="E791" s="9"/>
      <c r="F791" s="9"/>
      <c r="G791" s="5"/>
      <c r="H791" s="16"/>
      <c r="I791" s="69"/>
      <c r="J791" s="70"/>
      <c r="K791" s="71"/>
      <c r="L791" s="71"/>
      <c r="M791" s="5"/>
    </row>
    <row r="792" spans="1:13" s="3" customFormat="1">
      <c r="A792" s="1"/>
      <c r="B792" s="8"/>
      <c r="C792" s="5"/>
      <c r="D792" s="12"/>
      <c r="E792" s="9"/>
      <c r="F792" s="9"/>
      <c r="G792" s="5"/>
      <c r="H792" s="16"/>
      <c r="I792" s="69"/>
      <c r="J792" s="70"/>
      <c r="K792" s="71"/>
      <c r="L792" s="71"/>
      <c r="M792" s="5"/>
    </row>
    <row r="793" spans="1:13" s="3" customFormat="1">
      <c r="A793" s="1"/>
      <c r="B793" s="8"/>
      <c r="C793" s="5"/>
      <c r="D793" s="12"/>
      <c r="E793" s="9"/>
      <c r="F793" s="9"/>
      <c r="G793" s="5"/>
      <c r="H793" s="16"/>
      <c r="I793" s="69"/>
      <c r="J793" s="70"/>
      <c r="K793" s="71"/>
      <c r="L793" s="71"/>
      <c r="M793" s="5"/>
    </row>
    <row r="794" spans="1:13" s="3" customFormat="1">
      <c r="A794" s="1"/>
      <c r="B794" s="8"/>
      <c r="C794" s="5"/>
      <c r="D794" s="12"/>
      <c r="E794" s="9"/>
      <c r="F794" s="9"/>
      <c r="G794" s="5"/>
      <c r="H794" s="16"/>
      <c r="I794" s="69"/>
      <c r="J794" s="70"/>
      <c r="K794" s="71"/>
      <c r="L794" s="71"/>
      <c r="M794" s="5"/>
    </row>
    <row r="795" spans="1:13" s="3" customFormat="1">
      <c r="A795" s="1"/>
      <c r="B795" s="8"/>
      <c r="C795" s="5"/>
      <c r="D795" s="12"/>
      <c r="E795" s="9"/>
      <c r="F795" s="9"/>
      <c r="G795" s="5"/>
      <c r="H795" s="16"/>
      <c r="I795" s="69"/>
      <c r="J795" s="70"/>
      <c r="K795" s="71"/>
      <c r="L795" s="71"/>
      <c r="M795" s="5"/>
    </row>
    <row r="796" spans="1:13" s="3" customFormat="1">
      <c r="A796" s="1"/>
      <c r="B796" s="8"/>
      <c r="C796" s="5"/>
      <c r="D796" s="12"/>
      <c r="E796" s="9"/>
      <c r="F796" s="9"/>
      <c r="G796" s="5"/>
      <c r="H796" s="16"/>
      <c r="I796" s="69"/>
      <c r="J796" s="70"/>
      <c r="K796" s="71"/>
      <c r="L796" s="71"/>
      <c r="M796" s="5"/>
    </row>
    <row r="797" spans="1:13" s="3" customFormat="1">
      <c r="A797" s="1"/>
      <c r="B797" s="8"/>
      <c r="C797" s="5"/>
      <c r="D797" s="12"/>
      <c r="E797" s="9"/>
      <c r="F797" s="9"/>
      <c r="G797" s="5"/>
      <c r="H797" s="16"/>
      <c r="I797" s="69"/>
      <c r="J797" s="70"/>
      <c r="K797" s="71"/>
      <c r="L797" s="71"/>
      <c r="M797" s="5"/>
    </row>
    <row r="798" spans="1:13" s="3" customFormat="1">
      <c r="A798" s="1"/>
      <c r="B798" s="8"/>
      <c r="C798" s="5"/>
      <c r="D798" s="12"/>
      <c r="E798" s="9"/>
      <c r="F798" s="9"/>
      <c r="G798" s="5"/>
      <c r="H798" s="16"/>
      <c r="I798" s="69"/>
      <c r="J798" s="70"/>
      <c r="K798" s="71"/>
      <c r="L798" s="71"/>
      <c r="M798" s="5"/>
    </row>
    <row r="799" spans="1:13" s="3" customFormat="1">
      <c r="A799" s="1"/>
      <c r="B799" s="8"/>
      <c r="C799" s="5"/>
      <c r="D799" s="12"/>
      <c r="E799" s="9"/>
      <c r="F799" s="9"/>
      <c r="G799" s="5"/>
      <c r="H799" s="16"/>
      <c r="I799" s="69"/>
      <c r="J799" s="70"/>
      <c r="K799" s="71"/>
      <c r="L799" s="71"/>
      <c r="M799" s="5"/>
    </row>
    <row r="800" spans="1:13" s="3" customFormat="1">
      <c r="A800" s="1"/>
      <c r="B800" s="8"/>
      <c r="C800" s="5"/>
      <c r="D800" s="12"/>
      <c r="E800" s="9"/>
      <c r="F800" s="9"/>
      <c r="G800" s="5"/>
      <c r="H800" s="16"/>
      <c r="I800" s="69"/>
      <c r="J800" s="70"/>
      <c r="K800" s="71"/>
      <c r="L800" s="71"/>
      <c r="M800" s="5"/>
    </row>
    <row r="801" spans="1:13" s="3" customFormat="1">
      <c r="A801" s="1"/>
      <c r="B801" s="8"/>
      <c r="C801" s="5"/>
      <c r="D801" s="12"/>
      <c r="E801" s="9"/>
      <c r="F801" s="9"/>
      <c r="G801" s="5"/>
      <c r="H801" s="16"/>
      <c r="I801" s="69"/>
      <c r="J801" s="70"/>
      <c r="K801" s="71"/>
      <c r="L801" s="71"/>
      <c r="M801" s="5"/>
    </row>
    <row r="802" spans="1:13" s="3" customFormat="1">
      <c r="A802" s="1"/>
      <c r="B802" s="8"/>
      <c r="C802" s="5"/>
      <c r="D802" s="12"/>
      <c r="E802" s="9"/>
      <c r="F802" s="9"/>
      <c r="G802" s="5"/>
      <c r="H802" s="16"/>
      <c r="I802" s="69"/>
      <c r="J802" s="70"/>
      <c r="K802" s="71"/>
      <c r="L802" s="71"/>
      <c r="M802" s="5"/>
    </row>
    <row r="803" spans="1:13" s="3" customFormat="1">
      <c r="A803" s="1"/>
      <c r="B803" s="8"/>
      <c r="C803" s="5"/>
      <c r="D803" s="12"/>
      <c r="E803" s="9"/>
      <c r="F803" s="9"/>
      <c r="G803" s="5"/>
      <c r="H803" s="16"/>
      <c r="I803" s="69"/>
      <c r="J803" s="70"/>
      <c r="K803" s="71"/>
      <c r="L803" s="71"/>
      <c r="M803" s="5"/>
    </row>
    <row r="804" spans="1:13" s="3" customFormat="1">
      <c r="A804" s="1"/>
      <c r="B804" s="8"/>
      <c r="C804" s="5"/>
      <c r="D804" s="12"/>
      <c r="E804" s="9"/>
      <c r="F804" s="9"/>
      <c r="G804" s="5"/>
      <c r="H804" s="16"/>
      <c r="I804" s="69"/>
      <c r="J804" s="70"/>
      <c r="K804" s="71"/>
      <c r="L804" s="71"/>
      <c r="M804" s="5"/>
    </row>
    <row r="805" spans="1:13" s="3" customFormat="1">
      <c r="A805" s="1"/>
      <c r="B805" s="8"/>
      <c r="C805" s="5"/>
      <c r="D805" s="12"/>
      <c r="E805" s="9"/>
      <c r="F805" s="9"/>
      <c r="G805" s="5"/>
      <c r="H805" s="16"/>
      <c r="I805" s="69"/>
      <c r="J805" s="70"/>
      <c r="K805" s="71"/>
      <c r="L805" s="71"/>
      <c r="M805" s="5"/>
    </row>
    <row r="806" spans="1:13" s="3" customFormat="1">
      <c r="A806" s="1"/>
      <c r="B806" s="8"/>
      <c r="C806" s="5"/>
      <c r="D806" s="12"/>
      <c r="E806" s="9"/>
      <c r="F806" s="9"/>
      <c r="G806" s="5"/>
      <c r="H806" s="16"/>
      <c r="I806" s="69"/>
      <c r="J806" s="70"/>
      <c r="K806" s="71"/>
      <c r="L806" s="71"/>
      <c r="M806" s="5"/>
    </row>
    <row r="807" spans="1:13" s="3" customFormat="1">
      <c r="A807" s="1"/>
      <c r="B807" s="8"/>
      <c r="C807" s="5"/>
      <c r="D807" s="12"/>
      <c r="E807" s="9"/>
      <c r="F807" s="9"/>
      <c r="G807" s="5"/>
      <c r="H807" s="16"/>
      <c r="I807" s="69"/>
      <c r="J807" s="70"/>
      <c r="K807" s="71"/>
      <c r="L807" s="71"/>
      <c r="M807" s="5"/>
    </row>
    <row r="808" spans="1:13" s="3" customFormat="1">
      <c r="A808" s="1"/>
      <c r="B808" s="8"/>
      <c r="C808" s="5"/>
      <c r="D808" s="12"/>
      <c r="E808" s="9"/>
      <c r="F808" s="9"/>
      <c r="G808" s="5"/>
      <c r="H808" s="16"/>
      <c r="I808" s="69"/>
      <c r="J808" s="70"/>
      <c r="K808" s="71"/>
      <c r="L808" s="71"/>
      <c r="M808" s="5"/>
    </row>
    <row r="809" spans="1:13" s="3" customFormat="1">
      <c r="A809" s="1"/>
      <c r="B809" s="8"/>
      <c r="C809" s="5"/>
      <c r="D809" s="12"/>
      <c r="E809" s="9"/>
      <c r="F809" s="9"/>
      <c r="G809" s="5"/>
      <c r="H809" s="16"/>
      <c r="I809" s="69"/>
      <c r="J809" s="70"/>
      <c r="K809" s="71"/>
      <c r="L809" s="71"/>
      <c r="M809" s="5"/>
    </row>
    <row r="810" spans="1:13" s="3" customFormat="1">
      <c r="A810" s="1"/>
      <c r="B810" s="8"/>
      <c r="C810" s="5"/>
      <c r="D810" s="12"/>
      <c r="E810" s="9"/>
      <c r="F810" s="9"/>
      <c r="G810" s="5"/>
      <c r="H810" s="16"/>
      <c r="I810" s="69"/>
      <c r="J810" s="70"/>
      <c r="K810" s="71"/>
      <c r="L810" s="71"/>
      <c r="M810" s="5"/>
    </row>
    <row r="811" spans="1:13" s="3" customFormat="1">
      <c r="A811" s="1"/>
      <c r="B811" s="8"/>
      <c r="C811" s="5"/>
      <c r="D811" s="12"/>
      <c r="E811" s="9"/>
      <c r="F811" s="9"/>
      <c r="G811" s="5"/>
      <c r="H811" s="16"/>
      <c r="I811" s="69"/>
      <c r="J811" s="70"/>
      <c r="K811" s="71"/>
      <c r="L811" s="71"/>
      <c r="M811" s="5"/>
    </row>
    <row r="812" spans="1:13" s="3" customFormat="1">
      <c r="A812" s="1"/>
      <c r="B812" s="8"/>
      <c r="C812" s="5"/>
      <c r="D812" s="12"/>
      <c r="E812" s="9"/>
      <c r="F812" s="9"/>
      <c r="G812" s="5"/>
      <c r="H812" s="16"/>
      <c r="I812" s="69"/>
      <c r="J812" s="70"/>
      <c r="K812" s="71"/>
      <c r="L812" s="71"/>
      <c r="M812" s="5"/>
    </row>
    <row r="813" spans="1:13" s="3" customFormat="1">
      <c r="A813" s="1"/>
      <c r="B813" s="8"/>
      <c r="C813" s="5"/>
      <c r="D813" s="12"/>
      <c r="E813" s="9"/>
      <c r="F813" s="9"/>
      <c r="G813" s="5"/>
      <c r="H813" s="16"/>
      <c r="I813" s="69"/>
      <c r="J813" s="70"/>
      <c r="K813" s="71"/>
      <c r="L813" s="71"/>
      <c r="M813" s="5"/>
    </row>
    <row r="814" spans="1:13" s="3" customFormat="1">
      <c r="A814" s="1"/>
      <c r="B814" s="8"/>
      <c r="C814" s="5"/>
      <c r="D814" s="12"/>
      <c r="E814" s="9"/>
      <c r="F814" s="9"/>
      <c r="G814" s="5"/>
      <c r="H814" s="16"/>
      <c r="I814" s="69"/>
      <c r="J814" s="70"/>
      <c r="K814" s="71"/>
      <c r="L814" s="71"/>
      <c r="M814" s="5"/>
    </row>
    <row r="815" spans="1:13" s="3" customFormat="1">
      <c r="A815" s="1"/>
      <c r="B815" s="8"/>
      <c r="C815" s="5"/>
      <c r="D815" s="12"/>
      <c r="E815" s="9"/>
      <c r="F815" s="9"/>
      <c r="G815" s="5"/>
      <c r="H815" s="16"/>
      <c r="I815" s="69"/>
      <c r="J815" s="70"/>
      <c r="K815" s="71"/>
      <c r="L815" s="71"/>
      <c r="M815" s="5"/>
    </row>
    <row r="816" spans="1:13" s="3" customFormat="1">
      <c r="A816" s="1"/>
      <c r="B816" s="8"/>
      <c r="C816" s="5"/>
      <c r="D816" s="12"/>
      <c r="E816" s="9"/>
      <c r="F816" s="9"/>
      <c r="G816" s="5"/>
      <c r="H816" s="16"/>
      <c r="I816" s="69"/>
      <c r="J816" s="70"/>
      <c r="K816" s="71"/>
      <c r="L816" s="71"/>
      <c r="M816" s="5"/>
    </row>
    <row r="817" spans="1:13" s="3" customFormat="1">
      <c r="A817" s="1"/>
      <c r="B817" s="8"/>
      <c r="C817" s="5"/>
      <c r="D817" s="12"/>
      <c r="E817" s="9"/>
      <c r="F817" s="9"/>
      <c r="G817" s="5"/>
      <c r="H817" s="16"/>
      <c r="I817" s="69"/>
      <c r="J817" s="70"/>
      <c r="K817" s="71"/>
      <c r="L817" s="71"/>
      <c r="M817" s="5"/>
    </row>
    <row r="818" spans="1:13" s="3" customFormat="1">
      <c r="A818" s="1"/>
      <c r="B818" s="8"/>
      <c r="C818" s="5"/>
      <c r="D818" s="12"/>
      <c r="E818" s="9"/>
      <c r="F818" s="9"/>
      <c r="G818" s="5"/>
      <c r="H818" s="16"/>
      <c r="I818" s="69"/>
      <c r="J818" s="70"/>
      <c r="K818" s="71"/>
      <c r="L818" s="71"/>
      <c r="M818" s="5"/>
    </row>
    <row r="819" spans="1:13" s="3" customFormat="1">
      <c r="A819" s="1"/>
      <c r="B819" s="8"/>
      <c r="C819" s="5"/>
      <c r="D819" s="12"/>
      <c r="E819" s="9"/>
      <c r="F819" s="9"/>
      <c r="G819" s="5"/>
      <c r="H819" s="16"/>
      <c r="I819" s="69"/>
      <c r="J819" s="70"/>
      <c r="K819" s="71"/>
      <c r="L819" s="71"/>
      <c r="M819" s="5"/>
    </row>
    <row r="820" spans="1:13" s="3" customFormat="1">
      <c r="A820" s="1"/>
      <c r="B820" s="8"/>
      <c r="C820" s="5"/>
      <c r="D820" s="12"/>
      <c r="E820" s="9"/>
      <c r="F820" s="9"/>
      <c r="G820" s="5"/>
      <c r="H820" s="16"/>
      <c r="I820" s="69"/>
      <c r="J820" s="70"/>
      <c r="K820" s="71"/>
      <c r="L820" s="71"/>
      <c r="M820" s="5"/>
    </row>
    <row r="821" spans="1:13" s="3" customFormat="1">
      <c r="A821" s="1"/>
      <c r="B821" s="8"/>
      <c r="C821" s="5"/>
      <c r="D821" s="12"/>
      <c r="E821" s="9"/>
      <c r="F821" s="9"/>
      <c r="G821" s="5"/>
      <c r="H821" s="16"/>
      <c r="I821" s="69"/>
      <c r="J821" s="70"/>
      <c r="K821" s="71"/>
      <c r="L821" s="71"/>
      <c r="M821" s="5"/>
    </row>
    <row r="822" spans="1:13" s="3" customFormat="1">
      <c r="A822" s="1"/>
      <c r="B822" s="8"/>
      <c r="C822" s="5"/>
      <c r="D822" s="12"/>
      <c r="E822" s="9"/>
      <c r="F822" s="9"/>
      <c r="G822" s="5"/>
      <c r="H822" s="16"/>
      <c r="I822" s="69"/>
      <c r="J822" s="70"/>
      <c r="K822" s="71"/>
      <c r="L822" s="71"/>
      <c r="M822" s="5"/>
    </row>
    <row r="823" spans="1:13" s="3" customFormat="1">
      <c r="A823" s="1"/>
      <c r="B823" s="8"/>
      <c r="C823" s="5"/>
      <c r="D823" s="12"/>
      <c r="E823" s="9"/>
      <c r="F823" s="9"/>
      <c r="G823" s="5"/>
      <c r="H823" s="16"/>
      <c r="I823" s="69"/>
      <c r="J823" s="70"/>
      <c r="K823" s="71"/>
      <c r="L823" s="71"/>
      <c r="M823" s="5"/>
    </row>
    <row r="824" spans="1:13" s="3" customFormat="1">
      <c r="A824" s="1"/>
      <c r="B824" s="8"/>
      <c r="C824" s="5"/>
      <c r="D824" s="12"/>
      <c r="E824" s="9"/>
      <c r="F824" s="9"/>
      <c r="G824" s="5"/>
      <c r="H824" s="16"/>
      <c r="I824" s="69"/>
      <c r="J824" s="70"/>
      <c r="K824" s="71"/>
      <c r="L824" s="71"/>
      <c r="M824" s="5"/>
    </row>
    <row r="825" spans="1:13" s="3" customFormat="1">
      <c r="A825" s="1"/>
      <c r="B825" s="8"/>
      <c r="C825" s="5"/>
      <c r="D825" s="12"/>
      <c r="E825" s="9"/>
      <c r="F825" s="9"/>
      <c r="G825" s="5"/>
      <c r="H825" s="16"/>
      <c r="I825" s="69"/>
      <c r="J825" s="70"/>
      <c r="K825" s="71"/>
      <c r="L825" s="71"/>
      <c r="M825" s="5"/>
    </row>
    <row r="826" spans="1:13" s="3" customFormat="1">
      <c r="A826" s="1"/>
      <c r="B826" s="8"/>
      <c r="C826" s="5"/>
      <c r="D826" s="12"/>
      <c r="E826" s="9"/>
      <c r="F826" s="9"/>
      <c r="G826" s="5"/>
      <c r="H826" s="16"/>
      <c r="I826" s="69"/>
      <c r="J826" s="70"/>
      <c r="K826" s="71"/>
      <c r="L826" s="71"/>
      <c r="M826" s="5"/>
    </row>
    <row r="827" spans="1:13" s="3" customFormat="1">
      <c r="A827" s="1"/>
      <c r="B827" s="8"/>
      <c r="C827" s="5"/>
      <c r="D827" s="12"/>
      <c r="E827" s="9"/>
      <c r="F827" s="9"/>
      <c r="G827" s="5"/>
      <c r="H827" s="16"/>
      <c r="I827" s="69"/>
      <c r="J827" s="70"/>
      <c r="K827" s="71"/>
      <c r="L827" s="71"/>
      <c r="M827" s="5"/>
    </row>
    <row r="828" spans="1:13" s="3" customFormat="1">
      <c r="A828" s="1"/>
      <c r="B828" s="8"/>
      <c r="C828" s="5"/>
      <c r="D828" s="12"/>
      <c r="E828" s="9"/>
      <c r="F828" s="9"/>
      <c r="G828" s="5"/>
      <c r="H828" s="16"/>
      <c r="I828" s="69"/>
      <c r="J828" s="70"/>
      <c r="K828" s="71"/>
      <c r="L828" s="71"/>
      <c r="M828" s="5"/>
    </row>
    <row r="829" spans="1:13" s="3" customFormat="1">
      <c r="A829" s="1"/>
      <c r="B829" s="8"/>
      <c r="C829" s="5"/>
      <c r="D829" s="12"/>
      <c r="E829" s="9"/>
      <c r="F829" s="9"/>
      <c r="G829" s="5"/>
      <c r="H829" s="16"/>
      <c r="I829" s="69"/>
      <c r="J829" s="70"/>
      <c r="K829" s="71"/>
      <c r="L829" s="71"/>
      <c r="M829" s="5"/>
    </row>
    <row r="830" spans="1:13" s="3" customFormat="1">
      <c r="A830" s="1"/>
      <c r="B830" s="8"/>
      <c r="C830" s="5"/>
      <c r="D830" s="12"/>
      <c r="E830" s="9"/>
      <c r="F830" s="9"/>
      <c r="G830" s="5"/>
      <c r="H830" s="16"/>
      <c r="I830" s="69"/>
      <c r="J830" s="70"/>
      <c r="K830" s="71"/>
      <c r="L830" s="71"/>
      <c r="M830" s="5"/>
    </row>
    <row r="831" spans="1:13" s="3" customFormat="1">
      <c r="A831" s="1"/>
      <c r="B831" s="8"/>
      <c r="C831" s="5"/>
      <c r="D831" s="12"/>
      <c r="E831" s="9"/>
      <c r="F831" s="9"/>
      <c r="G831" s="5"/>
      <c r="H831" s="16"/>
      <c r="I831" s="69"/>
      <c r="J831" s="70"/>
      <c r="K831" s="71"/>
      <c r="L831" s="71"/>
      <c r="M831" s="5"/>
    </row>
    <row r="832" spans="1:13" s="3" customFormat="1">
      <c r="A832" s="1"/>
      <c r="B832" s="8"/>
      <c r="C832" s="5"/>
      <c r="D832" s="12"/>
      <c r="E832" s="9"/>
      <c r="F832" s="9"/>
      <c r="G832" s="5"/>
      <c r="H832" s="16"/>
      <c r="I832" s="69"/>
      <c r="J832" s="70"/>
      <c r="K832" s="71"/>
      <c r="L832" s="71"/>
      <c r="M832" s="5"/>
    </row>
    <row r="833" spans="1:13" s="3" customFormat="1">
      <c r="A833" s="1"/>
      <c r="B833" s="8"/>
      <c r="C833" s="5"/>
      <c r="D833" s="12"/>
      <c r="E833" s="9"/>
      <c r="F833" s="9"/>
      <c r="G833" s="5"/>
      <c r="H833" s="16"/>
      <c r="I833" s="69"/>
      <c r="J833" s="70"/>
      <c r="K833" s="71"/>
      <c r="L833" s="71"/>
      <c r="M833" s="5"/>
    </row>
    <row r="834" spans="1:13" s="3" customFormat="1">
      <c r="A834" s="1"/>
      <c r="B834" s="8"/>
      <c r="C834" s="5"/>
      <c r="D834" s="12"/>
      <c r="E834" s="9"/>
      <c r="F834" s="9"/>
      <c r="G834" s="5"/>
      <c r="H834" s="16"/>
      <c r="I834" s="69"/>
      <c r="J834" s="70"/>
      <c r="K834" s="71"/>
      <c r="L834" s="71"/>
      <c r="M834" s="5"/>
    </row>
    <row r="835" spans="1:13" s="3" customFormat="1">
      <c r="A835" s="1"/>
      <c r="B835" s="8"/>
      <c r="C835" s="5"/>
      <c r="D835" s="12"/>
      <c r="E835" s="9"/>
      <c r="F835" s="9"/>
      <c r="G835" s="5"/>
      <c r="H835" s="16"/>
      <c r="I835" s="69"/>
      <c r="J835" s="70"/>
      <c r="K835" s="71"/>
      <c r="L835" s="71"/>
      <c r="M835" s="5"/>
    </row>
    <row r="836" spans="1:13" s="3" customFormat="1">
      <c r="A836" s="1"/>
      <c r="B836" s="8"/>
      <c r="C836" s="5"/>
      <c r="D836" s="12"/>
      <c r="E836" s="9"/>
      <c r="F836" s="9"/>
      <c r="G836" s="5"/>
      <c r="H836" s="16"/>
      <c r="I836" s="69"/>
      <c r="J836" s="70"/>
      <c r="K836" s="71"/>
      <c r="L836" s="71"/>
      <c r="M836" s="5"/>
    </row>
    <row r="837" spans="1:13" s="3" customFormat="1">
      <c r="A837" s="1"/>
      <c r="B837" s="8"/>
      <c r="C837" s="5"/>
      <c r="D837" s="12"/>
      <c r="E837" s="9"/>
      <c r="F837" s="9"/>
      <c r="G837" s="5"/>
      <c r="H837" s="16"/>
      <c r="I837" s="69"/>
      <c r="J837" s="70"/>
      <c r="K837" s="71"/>
      <c r="L837" s="71"/>
      <c r="M837" s="5"/>
    </row>
    <row r="838" spans="1:13" s="3" customFormat="1">
      <c r="A838" s="1"/>
      <c r="B838" s="8"/>
      <c r="C838" s="5"/>
      <c r="D838" s="12"/>
      <c r="E838" s="9"/>
      <c r="F838" s="9"/>
      <c r="G838" s="5"/>
      <c r="H838" s="16"/>
      <c r="I838" s="69"/>
      <c r="J838" s="70"/>
      <c r="K838" s="71"/>
      <c r="L838" s="71"/>
      <c r="M838" s="5"/>
    </row>
    <row r="839" spans="1:13" s="3" customFormat="1">
      <c r="A839" s="1"/>
      <c r="B839" s="8"/>
      <c r="C839" s="5"/>
      <c r="D839" s="12"/>
      <c r="E839" s="9"/>
      <c r="F839" s="9"/>
      <c r="G839" s="5"/>
      <c r="H839" s="16"/>
      <c r="I839" s="69"/>
      <c r="J839" s="70"/>
      <c r="K839" s="71"/>
      <c r="L839" s="71"/>
      <c r="M839" s="5"/>
    </row>
    <row r="840" spans="1:13" s="3" customFormat="1">
      <c r="A840" s="1"/>
      <c r="B840" s="8"/>
      <c r="C840" s="5"/>
      <c r="D840" s="12"/>
      <c r="E840" s="9"/>
      <c r="F840" s="9"/>
      <c r="G840" s="5"/>
      <c r="H840" s="16"/>
      <c r="I840" s="69"/>
      <c r="J840" s="70"/>
      <c r="K840" s="71"/>
      <c r="L840" s="71"/>
      <c r="M840" s="5"/>
    </row>
    <row r="841" spans="1:13" s="3" customFormat="1">
      <c r="A841" s="1"/>
      <c r="B841" s="8"/>
      <c r="C841" s="5"/>
      <c r="D841" s="12"/>
      <c r="E841" s="9"/>
      <c r="F841" s="9"/>
      <c r="G841" s="5"/>
      <c r="H841" s="16"/>
      <c r="I841" s="69"/>
      <c r="J841" s="70"/>
      <c r="K841" s="71"/>
      <c r="L841" s="71"/>
      <c r="M841" s="5"/>
    </row>
    <row r="842" spans="1:13" s="3" customFormat="1">
      <c r="A842" s="1"/>
      <c r="B842" s="8"/>
      <c r="C842" s="5"/>
      <c r="D842" s="12"/>
      <c r="E842" s="9"/>
      <c r="F842" s="9"/>
      <c r="G842" s="5"/>
      <c r="H842" s="16"/>
      <c r="I842" s="69"/>
      <c r="J842" s="70"/>
      <c r="K842" s="71"/>
      <c r="L842" s="71"/>
      <c r="M842" s="5"/>
    </row>
    <row r="843" spans="1:13" s="3" customFormat="1">
      <c r="A843" s="1"/>
      <c r="B843" s="8"/>
      <c r="C843" s="5"/>
      <c r="D843" s="12"/>
      <c r="E843" s="9"/>
      <c r="F843" s="9"/>
      <c r="G843" s="5"/>
      <c r="H843" s="16"/>
      <c r="I843" s="69"/>
      <c r="J843" s="70"/>
      <c r="K843" s="71"/>
      <c r="L843" s="71"/>
      <c r="M843" s="5"/>
    </row>
    <row r="844" spans="1:13" s="3" customFormat="1">
      <c r="A844" s="1"/>
      <c r="B844" s="8"/>
      <c r="C844" s="5"/>
      <c r="D844" s="12"/>
      <c r="E844" s="9"/>
      <c r="F844" s="9"/>
      <c r="G844" s="5"/>
      <c r="H844" s="16"/>
      <c r="I844" s="69"/>
      <c r="J844" s="70"/>
      <c r="K844" s="71"/>
      <c r="L844" s="71"/>
      <c r="M844" s="5"/>
    </row>
    <row r="845" spans="1:13" s="3" customFormat="1">
      <c r="A845" s="1"/>
      <c r="B845" s="8"/>
      <c r="C845" s="5"/>
      <c r="D845" s="12"/>
      <c r="E845" s="9"/>
      <c r="F845" s="9"/>
      <c r="G845" s="5"/>
      <c r="H845" s="16"/>
      <c r="I845" s="69"/>
      <c r="J845" s="70"/>
      <c r="K845" s="71"/>
      <c r="L845" s="71"/>
      <c r="M845" s="5"/>
    </row>
    <row r="846" spans="1:13" s="3" customFormat="1">
      <c r="A846" s="1"/>
      <c r="B846" s="8"/>
      <c r="C846" s="5"/>
      <c r="D846" s="12"/>
      <c r="E846" s="9"/>
      <c r="F846" s="9"/>
      <c r="G846" s="5"/>
      <c r="H846" s="16"/>
      <c r="I846" s="69"/>
      <c r="J846" s="70"/>
      <c r="K846" s="71"/>
      <c r="L846" s="71"/>
      <c r="M846" s="5"/>
    </row>
    <row r="847" spans="1:13" s="3" customFormat="1">
      <c r="A847" s="1"/>
      <c r="B847" s="8"/>
      <c r="C847" s="5"/>
      <c r="D847" s="12"/>
      <c r="E847" s="9"/>
      <c r="F847" s="9"/>
      <c r="G847" s="5"/>
      <c r="H847" s="16"/>
      <c r="I847" s="69"/>
      <c r="J847" s="70"/>
      <c r="K847" s="71"/>
      <c r="L847" s="71"/>
      <c r="M847" s="5"/>
    </row>
    <row r="848" spans="1:13" s="3" customFormat="1">
      <c r="A848" s="1"/>
      <c r="B848" s="8"/>
      <c r="C848" s="5"/>
      <c r="D848" s="12"/>
      <c r="E848" s="9"/>
      <c r="F848" s="9"/>
      <c r="G848" s="5"/>
      <c r="H848" s="16"/>
      <c r="I848" s="69"/>
      <c r="J848" s="70"/>
      <c r="K848" s="71"/>
      <c r="L848" s="71"/>
      <c r="M848" s="5"/>
    </row>
    <row r="849" spans="1:13" s="3" customFormat="1">
      <c r="A849" s="1"/>
      <c r="B849" s="8"/>
      <c r="C849" s="5"/>
      <c r="D849" s="12"/>
      <c r="E849" s="9"/>
      <c r="F849" s="9"/>
      <c r="G849" s="5"/>
      <c r="H849" s="16"/>
      <c r="I849" s="69"/>
      <c r="J849" s="70"/>
      <c r="K849" s="71"/>
      <c r="L849" s="71"/>
      <c r="M849" s="5"/>
    </row>
    <row r="850" spans="1:13" s="3" customFormat="1">
      <c r="A850" s="1"/>
      <c r="B850" s="8"/>
      <c r="C850" s="5"/>
      <c r="D850" s="12"/>
      <c r="E850" s="9"/>
      <c r="F850" s="9"/>
      <c r="G850" s="5"/>
      <c r="H850" s="16"/>
      <c r="I850" s="69"/>
      <c r="J850" s="70"/>
      <c r="K850" s="71"/>
      <c r="L850" s="71"/>
      <c r="M850" s="5"/>
    </row>
    <row r="851" spans="1:13" s="3" customFormat="1">
      <c r="A851" s="1"/>
      <c r="B851" s="8"/>
      <c r="C851" s="5"/>
      <c r="D851" s="12"/>
      <c r="E851" s="9"/>
      <c r="F851" s="9"/>
      <c r="G851" s="5"/>
      <c r="H851" s="16"/>
      <c r="I851" s="69"/>
      <c r="J851" s="70"/>
      <c r="K851" s="71"/>
      <c r="L851" s="71"/>
      <c r="M851" s="5"/>
    </row>
    <row r="852" spans="1:13" s="3" customFormat="1">
      <c r="A852" s="1"/>
      <c r="B852" s="8"/>
      <c r="C852" s="5"/>
      <c r="D852" s="12"/>
      <c r="E852" s="9"/>
      <c r="F852" s="9"/>
      <c r="G852" s="5"/>
      <c r="H852" s="16"/>
      <c r="I852" s="69"/>
      <c r="J852" s="70"/>
      <c r="K852" s="71"/>
      <c r="L852" s="71"/>
      <c r="M852" s="5"/>
    </row>
    <row r="853" spans="1:13" s="3" customFormat="1">
      <c r="A853" s="1"/>
      <c r="B853" s="8"/>
      <c r="C853" s="5"/>
      <c r="D853" s="12"/>
      <c r="E853" s="9"/>
      <c r="F853" s="9"/>
      <c r="G853" s="5"/>
      <c r="H853" s="16"/>
      <c r="I853" s="69"/>
      <c r="J853" s="70"/>
      <c r="K853" s="71"/>
      <c r="L853" s="71"/>
      <c r="M853" s="5"/>
    </row>
    <row r="854" spans="1:13" s="3" customFormat="1">
      <c r="A854" s="1"/>
      <c r="B854" s="8"/>
      <c r="C854" s="5"/>
      <c r="D854" s="12"/>
      <c r="E854" s="9"/>
      <c r="F854" s="9"/>
      <c r="G854" s="5"/>
      <c r="H854" s="16"/>
      <c r="I854" s="69"/>
      <c r="J854" s="70"/>
      <c r="K854" s="71"/>
      <c r="L854" s="71"/>
      <c r="M854" s="5"/>
    </row>
    <row r="855" spans="1:13" s="3" customFormat="1">
      <c r="A855" s="1"/>
      <c r="B855" s="8"/>
      <c r="C855" s="5"/>
      <c r="D855" s="12"/>
      <c r="E855" s="9"/>
      <c r="F855" s="9"/>
      <c r="G855" s="5"/>
      <c r="H855" s="16"/>
      <c r="I855" s="69"/>
      <c r="J855" s="70"/>
      <c r="K855" s="71"/>
      <c r="L855" s="71"/>
      <c r="M855" s="5"/>
    </row>
    <row r="856" spans="1:13" s="3" customFormat="1">
      <c r="A856" s="1"/>
      <c r="B856" s="8"/>
      <c r="C856" s="5"/>
      <c r="D856" s="12"/>
      <c r="E856" s="9"/>
      <c r="F856" s="9"/>
      <c r="G856" s="5"/>
      <c r="H856" s="16"/>
      <c r="I856" s="69"/>
      <c r="J856" s="70"/>
      <c r="K856" s="71"/>
      <c r="L856" s="71"/>
      <c r="M856" s="5"/>
    </row>
    <row r="857" spans="1:13" s="3" customFormat="1">
      <c r="A857" s="1"/>
      <c r="B857" s="8"/>
      <c r="C857" s="5"/>
      <c r="D857" s="12"/>
      <c r="E857" s="9"/>
      <c r="F857" s="9"/>
      <c r="G857" s="5"/>
      <c r="H857" s="16"/>
      <c r="I857" s="69"/>
      <c r="J857" s="70"/>
      <c r="K857" s="71"/>
      <c r="L857" s="71"/>
      <c r="M857" s="5"/>
    </row>
    <row r="858" spans="1:13" s="3" customFormat="1">
      <c r="A858" s="1"/>
      <c r="B858" s="8"/>
      <c r="C858" s="5"/>
      <c r="D858" s="12"/>
      <c r="E858" s="9"/>
      <c r="F858" s="9"/>
      <c r="G858" s="5"/>
      <c r="H858" s="16"/>
      <c r="I858" s="69"/>
      <c r="J858" s="70"/>
      <c r="K858" s="71"/>
      <c r="L858" s="71"/>
      <c r="M858" s="5"/>
    </row>
    <row r="859" spans="1:13" s="3" customFormat="1">
      <c r="A859" s="1"/>
      <c r="B859" s="8"/>
      <c r="C859" s="5"/>
      <c r="D859" s="12"/>
      <c r="E859" s="9"/>
      <c r="F859" s="9"/>
      <c r="G859" s="5"/>
      <c r="H859" s="16"/>
      <c r="I859" s="69"/>
      <c r="J859" s="70"/>
      <c r="K859" s="71"/>
      <c r="L859" s="71"/>
      <c r="M859" s="5"/>
    </row>
    <row r="860" spans="1:13" s="3" customFormat="1">
      <c r="A860" s="1"/>
      <c r="B860" s="8"/>
      <c r="C860" s="5"/>
      <c r="D860" s="12"/>
      <c r="E860" s="9"/>
      <c r="F860" s="9"/>
      <c r="G860" s="5"/>
      <c r="H860" s="16"/>
      <c r="I860" s="69"/>
      <c r="J860" s="70"/>
      <c r="K860" s="71"/>
      <c r="L860" s="71"/>
      <c r="M860" s="5"/>
    </row>
    <row r="861" spans="1:13" s="3" customFormat="1">
      <c r="A861" s="1"/>
      <c r="B861" s="8"/>
      <c r="C861" s="5"/>
      <c r="D861" s="12"/>
      <c r="E861" s="9"/>
      <c r="F861" s="9"/>
      <c r="G861" s="5"/>
      <c r="H861" s="16"/>
      <c r="I861" s="69"/>
      <c r="J861" s="70"/>
      <c r="K861" s="71"/>
      <c r="L861" s="71"/>
      <c r="M861" s="5"/>
    </row>
    <row r="862" spans="1:13" s="3" customFormat="1">
      <c r="A862" s="1"/>
      <c r="B862" s="8"/>
      <c r="C862" s="5"/>
      <c r="D862" s="12"/>
      <c r="E862" s="9"/>
      <c r="F862" s="9"/>
      <c r="G862" s="5"/>
      <c r="H862" s="16"/>
      <c r="I862" s="69"/>
      <c r="J862" s="70"/>
      <c r="K862" s="71"/>
      <c r="L862" s="71"/>
      <c r="M862" s="5"/>
    </row>
    <row r="863" spans="1:13" s="3" customFormat="1">
      <c r="A863" s="1"/>
      <c r="B863" s="8"/>
      <c r="C863" s="5"/>
      <c r="D863" s="12"/>
      <c r="E863" s="9"/>
      <c r="F863" s="9"/>
      <c r="G863" s="5"/>
      <c r="H863" s="16"/>
      <c r="I863" s="69"/>
      <c r="J863" s="70"/>
      <c r="K863" s="71"/>
      <c r="L863" s="71"/>
      <c r="M863" s="5"/>
    </row>
    <row r="864" spans="1:13" s="3" customFormat="1">
      <c r="A864" s="1"/>
      <c r="B864" s="8"/>
      <c r="C864" s="5"/>
      <c r="D864" s="12"/>
      <c r="E864" s="9"/>
      <c r="F864" s="9"/>
      <c r="G864" s="5"/>
      <c r="H864" s="16"/>
      <c r="I864" s="69"/>
      <c r="J864" s="70"/>
      <c r="K864" s="71"/>
      <c r="L864" s="71"/>
      <c r="M864" s="5"/>
    </row>
    <row r="865" spans="1:13" s="3" customFormat="1">
      <c r="A865" s="1"/>
      <c r="B865" s="8"/>
      <c r="C865" s="5"/>
      <c r="D865" s="12"/>
      <c r="E865" s="9"/>
      <c r="F865" s="9"/>
      <c r="G865" s="5"/>
      <c r="H865" s="16"/>
      <c r="I865" s="69"/>
      <c r="J865" s="70"/>
      <c r="K865" s="71"/>
      <c r="L865" s="71"/>
      <c r="M865" s="5"/>
    </row>
    <row r="866" spans="1:13" s="3" customFormat="1">
      <c r="A866" s="1"/>
      <c r="B866" s="8"/>
      <c r="C866" s="5"/>
      <c r="D866" s="12"/>
      <c r="E866" s="9"/>
      <c r="F866" s="9"/>
      <c r="G866" s="5"/>
      <c r="H866" s="16"/>
      <c r="I866" s="69"/>
      <c r="J866" s="70"/>
      <c r="K866" s="71"/>
      <c r="L866" s="71"/>
      <c r="M866" s="5"/>
    </row>
    <row r="867" spans="1:13" s="3" customFormat="1">
      <c r="A867" s="1"/>
      <c r="B867" s="8"/>
      <c r="C867" s="5"/>
      <c r="D867" s="12"/>
      <c r="E867" s="9"/>
      <c r="F867" s="9"/>
      <c r="G867" s="5"/>
      <c r="H867" s="16"/>
      <c r="I867" s="69"/>
      <c r="J867" s="70"/>
      <c r="K867" s="71"/>
      <c r="L867" s="71"/>
      <c r="M867" s="5"/>
    </row>
    <row r="868" spans="1:13" s="3" customFormat="1">
      <c r="A868" s="1"/>
      <c r="B868" s="8"/>
      <c r="C868" s="5"/>
      <c r="D868" s="12"/>
      <c r="E868" s="9"/>
      <c r="F868" s="9"/>
      <c r="G868" s="5"/>
      <c r="H868" s="16"/>
      <c r="I868" s="69"/>
      <c r="J868" s="70"/>
      <c r="K868" s="71"/>
      <c r="L868" s="71"/>
      <c r="M868" s="5"/>
    </row>
    <row r="869" spans="1:13" s="3" customFormat="1">
      <c r="A869" s="1"/>
      <c r="B869" s="8"/>
      <c r="C869" s="5"/>
      <c r="D869" s="12"/>
      <c r="E869" s="9"/>
      <c r="F869" s="9"/>
      <c r="G869" s="5"/>
      <c r="H869" s="16"/>
      <c r="I869" s="69"/>
      <c r="J869" s="70"/>
      <c r="K869" s="71"/>
      <c r="L869" s="71"/>
      <c r="M869" s="5"/>
    </row>
    <row r="870" spans="1:13" s="3" customFormat="1">
      <c r="A870" s="1"/>
      <c r="B870" s="8"/>
      <c r="C870" s="5"/>
      <c r="D870" s="12"/>
      <c r="E870" s="9"/>
      <c r="F870" s="9"/>
      <c r="G870" s="5"/>
      <c r="H870" s="16"/>
      <c r="I870" s="69"/>
      <c r="J870" s="70"/>
      <c r="K870" s="71"/>
      <c r="L870" s="71"/>
      <c r="M870" s="5"/>
    </row>
    <row r="871" spans="1:13" s="3" customFormat="1">
      <c r="A871" s="1"/>
      <c r="B871" s="8"/>
      <c r="C871" s="5"/>
      <c r="D871" s="12"/>
      <c r="E871" s="9"/>
      <c r="F871" s="9"/>
      <c r="G871" s="5"/>
      <c r="H871" s="16"/>
      <c r="I871" s="69"/>
      <c r="J871" s="70"/>
      <c r="K871" s="71"/>
      <c r="L871" s="71"/>
      <c r="M871" s="5"/>
    </row>
    <row r="872" spans="1:13" s="3" customFormat="1">
      <c r="A872" s="1"/>
      <c r="B872" s="8"/>
      <c r="C872" s="5"/>
      <c r="D872" s="12"/>
      <c r="E872" s="9"/>
      <c r="F872" s="9"/>
      <c r="G872" s="5"/>
      <c r="H872" s="16"/>
      <c r="I872" s="69"/>
      <c r="J872" s="70"/>
      <c r="K872" s="71"/>
      <c r="L872" s="71"/>
      <c r="M872" s="5"/>
    </row>
    <row r="873" spans="1:13" s="3" customFormat="1">
      <c r="A873" s="1"/>
      <c r="B873" s="8"/>
      <c r="C873" s="5"/>
      <c r="D873" s="12"/>
      <c r="E873" s="9"/>
      <c r="F873" s="9"/>
      <c r="G873" s="5"/>
      <c r="H873" s="16"/>
      <c r="I873" s="69"/>
      <c r="J873" s="70"/>
      <c r="K873" s="71"/>
      <c r="L873" s="71"/>
      <c r="M873" s="5"/>
    </row>
    <row r="874" spans="1:13" s="3" customFormat="1">
      <c r="A874" s="1"/>
      <c r="B874" s="8"/>
      <c r="C874" s="5"/>
      <c r="D874" s="12"/>
      <c r="E874" s="9"/>
      <c r="F874" s="9"/>
      <c r="G874" s="5"/>
      <c r="H874" s="16"/>
      <c r="I874" s="69"/>
      <c r="J874" s="70"/>
      <c r="K874" s="71"/>
      <c r="L874" s="71"/>
      <c r="M874" s="5"/>
    </row>
    <row r="875" spans="1:13" s="3" customFormat="1">
      <c r="A875" s="1"/>
      <c r="B875" s="8"/>
      <c r="C875" s="5"/>
      <c r="D875" s="12"/>
      <c r="E875" s="9"/>
      <c r="F875" s="9"/>
      <c r="G875" s="5"/>
      <c r="H875" s="16"/>
      <c r="I875" s="69"/>
      <c r="J875" s="70"/>
      <c r="K875" s="71"/>
      <c r="L875" s="71"/>
      <c r="M875" s="5"/>
    </row>
    <row r="876" spans="1:13" s="3" customFormat="1">
      <c r="A876" s="1"/>
      <c r="B876" s="8"/>
      <c r="C876" s="5"/>
      <c r="D876" s="12"/>
      <c r="E876" s="9"/>
      <c r="F876" s="9"/>
      <c r="G876" s="5"/>
      <c r="H876" s="16"/>
      <c r="I876" s="69"/>
      <c r="J876" s="70"/>
      <c r="K876" s="71"/>
      <c r="L876" s="71"/>
      <c r="M876" s="5"/>
    </row>
    <row r="877" spans="1:13" s="3" customFormat="1">
      <c r="A877" s="1"/>
      <c r="B877" s="8"/>
      <c r="C877" s="5"/>
      <c r="D877" s="12"/>
      <c r="E877" s="9"/>
      <c r="F877" s="9"/>
      <c r="G877" s="5"/>
      <c r="H877" s="16"/>
      <c r="I877" s="69"/>
      <c r="J877" s="70"/>
      <c r="K877" s="71"/>
      <c r="L877" s="71"/>
      <c r="M877" s="5"/>
    </row>
    <row r="878" spans="1:13" s="3" customFormat="1">
      <c r="A878" s="1"/>
      <c r="B878" s="8"/>
      <c r="C878" s="5"/>
      <c r="D878" s="12"/>
      <c r="E878" s="9"/>
      <c r="F878" s="9"/>
      <c r="G878" s="5"/>
      <c r="H878" s="16"/>
      <c r="I878" s="69"/>
      <c r="J878" s="70"/>
      <c r="K878" s="71"/>
      <c r="L878" s="71"/>
      <c r="M878" s="5"/>
    </row>
    <row r="879" spans="1:13" s="3" customFormat="1">
      <c r="A879" s="1"/>
      <c r="B879" s="8"/>
      <c r="C879" s="5"/>
      <c r="D879" s="12"/>
      <c r="E879" s="9"/>
      <c r="F879" s="9"/>
      <c r="G879" s="5"/>
      <c r="H879" s="16"/>
      <c r="I879" s="69"/>
      <c r="J879" s="70"/>
      <c r="K879" s="71"/>
      <c r="L879" s="71"/>
      <c r="M879" s="5"/>
    </row>
    <row r="880" spans="1:13" s="3" customFormat="1">
      <c r="A880" s="1"/>
      <c r="B880" s="8"/>
      <c r="C880" s="5"/>
      <c r="D880" s="12"/>
      <c r="E880" s="9"/>
      <c r="F880" s="9"/>
      <c r="G880" s="5"/>
      <c r="H880" s="16"/>
      <c r="I880" s="69"/>
      <c r="J880" s="70"/>
      <c r="K880" s="71"/>
      <c r="L880" s="71"/>
      <c r="M880" s="5"/>
    </row>
    <row r="881" spans="1:13" s="3" customFormat="1">
      <c r="A881" s="1"/>
      <c r="B881" s="8"/>
      <c r="C881" s="5"/>
      <c r="D881" s="12"/>
      <c r="E881" s="9"/>
      <c r="F881" s="9"/>
      <c r="G881" s="5"/>
      <c r="H881" s="16"/>
      <c r="I881" s="69"/>
      <c r="J881" s="70"/>
      <c r="K881" s="71"/>
      <c r="L881" s="71"/>
      <c r="M881" s="5"/>
    </row>
    <row r="882" spans="1:13" s="3" customFormat="1">
      <c r="A882" s="1"/>
      <c r="B882" s="8"/>
      <c r="C882" s="5"/>
      <c r="D882" s="12"/>
      <c r="E882" s="9"/>
      <c r="F882" s="9"/>
      <c r="G882" s="5"/>
      <c r="H882" s="16"/>
      <c r="I882" s="69"/>
      <c r="J882" s="70"/>
      <c r="K882" s="71"/>
      <c r="L882" s="71"/>
      <c r="M882" s="5"/>
    </row>
    <row r="883" spans="1:13" s="3" customFormat="1">
      <c r="A883" s="1"/>
      <c r="B883" s="8"/>
      <c r="C883" s="5"/>
      <c r="D883" s="12"/>
      <c r="E883" s="9"/>
      <c r="F883" s="9"/>
      <c r="G883" s="5"/>
      <c r="H883" s="16"/>
      <c r="I883" s="69"/>
      <c r="J883" s="70"/>
      <c r="K883" s="71"/>
      <c r="L883" s="71"/>
      <c r="M883" s="5"/>
    </row>
    <row r="884" spans="1:13" s="3" customFormat="1">
      <c r="A884" s="1"/>
      <c r="B884" s="8"/>
      <c r="C884" s="5"/>
      <c r="D884" s="12"/>
      <c r="E884" s="9"/>
      <c r="F884" s="9"/>
      <c r="G884" s="5"/>
      <c r="H884" s="16"/>
      <c r="I884" s="69"/>
      <c r="J884" s="70"/>
      <c r="K884" s="71"/>
      <c r="L884" s="71"/>
      <c r="M884" s="5"/>
    </row>
    <row r="885" spans="1:13" s="3" customFormat="1">
      <c r="A885" s="1"/>
      <c r="B885" s="8"/>
      <c r="C885" s="5"/>
      <c r="D885" s="12"/>
      <c r="E885" s="9"/>
      <c r="F885" s="9"/>
      <c r="G885" s="5"/>
      <c r="H885" s="16"/>
      <c r="I885" s="69"/>
      <c r="J885" s="70"/>
      <c r="K885" s="71"/>
      <c r="L885" s="71"/>
      <c r="M885" s="5"/>
    </row>
    <row r="886" spans="1:13" s="3" customFormat="1">
      <c r="A886" s="1"/>
      <c r="B886" s="8"/>
      <c r="C886" s="5"/>
      <c r="D886" s="12"/>
      <c r="E886" s="9"/>
      <c r="F886" s="9"/>
      <c r="G886" s="5"/>
      <c r="H886" s="16"/>
      <c r="I886" s="69"/>
      <c r="J886" s="70"/>
      <c r="K886" s="71"/>
      <c r="L886" s="71"/>
      <c r="M886" s="5"/>
    </row>
    <row r="887" spans="1:13" s="3" customFormat="1">
      <c r="A887" s="1"/>
      <c r="B887" s="8"/>
      <c r="C887" s="5"/>
      <c r="D887" s="12"/>
      <c r="E887" s="9"/>
      <c r="F887" s="9"/>
      <c r="G887" s="5"/>
      <c r="H887" s="16"/>
      <c r="I887" s="69"/>
      <c r="J887" s="70"/>
      <c r="K887" s="71"/>
      <c r="L887" s="71"/>
      <c r="M887" s="5"/>
    </row>
    <row r="888" spans="1:13" s="3" customFormat="1">
      <c r="A888" s="1"/>
      <c r="B888" s="8"/>
      <c r="C888" s="5"/>
      <c r="D888" s="12"/>
      <c r="E888" s="9"/>
      <c r="F888" s="9"/>
      <c r="G888" s="5"/>
      <c r="H888" s="16"/>
      <c r="I888" s="69"/>
      <c r="J888" s="70"/>
      <c r="K888" s="71"/>
      <c r="L888" s="71"/>
      <c r="M888" s="5"/>
    </row>
    <row r="889" spans="1:13" s="3" customFormat="1">
      <c r="A889" s="1"/>
      <c r="B889" s="8"/>
      <c r="C889" s="5"/>
      <c r="D889" s="12"/>
      <c r="E889" s="9"/>
      <c r="F889" s="9"/>
      <c r="G889" s="5"/>
      <c r="H889" s="16"/>
      <c r="I889" s="69"/>
      <c r="J889" s="70"/>
      <c r="K889" s="71"/>
      <c r="L889" s="71"/>
      <c r="M889" s="5"/>
    </row>
    <row r="890" spans="1:13" s="3" customFormat="1">
      <c r="A890" s="1"/>
      <c r="B890" s="8"/>
      <c r="C890" s="5"/>
      <c r="D890" s="12"/>
      <c r="E890" s="9"/>
      <c r="F890" s="9"/>
      <c r="G890" s="5"/>
      <c r="H890" s="16"/>
      <c r="I890" s="69"/>
      <c r="J890" s="70"/>
      <c r="K890" s="71"/>
      <c r="L890" s="71"/>
      <c r="M890" s="5"/>
    </row>
    <row r="891" spans="1:13" s="3" customFormat="1">
      <c r="A891" s="1"/>
      <c r="B891" s="8"/>
      <c r="C891" s="5"/>
      <c r="D891" s="12"/>
      <c r="E891" s="9"/>
      <c r="F891" s="9"/>
      <c r="G891" s="5"/>
      <c r="H891" s="16"/>
      <c r="I891" s="69"/>
      <c r="J891" s="70"/>
      <c r="K891" s="71"/>
      <c r="L891" s="71"/>
      <c r="M891" s="5"/>
    </row>
    <row r="892" spans="1:13" s="3" customFormat="1">
      <c r="A892" s="1"/>
      <c r="B892" s="8"/>
      <c r="C892" s="5"/>
      <c r="D892" s="12"/>
      <c r="E892" s="9"/>
      <c r="F892" s="9"/>
      <c r="G892" s="5"/>
      <c r="H892" s="16"/>
      <c r="I892" s="69"/>
      <c r="J892" s="70"/>
      <c r="K892" s="71"/>
      <c r="L892" s="71"/>
      <c r="M892" s="5"/>
    </row>
    <row r="893" spans="1:13" s="3" customFormat="1">
      <c r="A893" s="1"/>
      <c r="B893" s="8"/>
      <c r="C893" s="5"/>
      <c r="D893" s="12"/>
      <c r="E893" s="9"/>
      <c r="F893" s="9"/>
      <c r="G893" s="5"/>
      <c r="H893" s="16"/>
      <c r="I893" s="69"/>
      <c r="J893" s="70"/>
      <c r="K893" s="71"/>
      <c r="L893" s="71"/>
      <c r="M893" s="5"/>
    </row>
    <row r="894" spans="1:13" s="3" customFormat="1">
      <c r="A894" s="1"/>
      <c r="B894" s="8"/>
      <c r="C894" s="5"/>
      <c r="D894" s="12"/>
      <c r="E894" s="9"/>
      <c r="F894" s="9"/>
      <c r="G894" s="5"/>
      <c r="H894" s="16"/>
      <c r="I894" s="69"/>
      <c r="J894" s="70"/>
      <c r="K894" s="71"/>
      <c r="L894" s="71"/>
      <c r="M894" s="5"/>
    </row>
    <row r="895" spans="1:13" s="3" customFormat="1">
      <c r="A895" s="1"/>
      <c r="B895" s="8"/>
      <c r="C895" s="5"/>
      <c r="D895" s="12"/>
      <c r="E895" s="9"/>
      <c r="F895" s="9"/>
      <c r="G895" s="5"/>
      <c r="H895" s="16"/>
      <c r="I895" s="69"/>
      <c r="J895" s="70"/>
      <c r="K895" s="71"/>
      <c r="L895" s="71"/>
      <c r="M895" s="5"/>
    </row>
    <row r="896" spans="1:13" s="3" customFormat="1">
      <c r="A896" s="1"/>
      <c r="B896" s="8"/>
      <c r="C896" s="5"/>
      <c r="D896" s="12"/>
      <c r="E896" s="9"/>
      <c r="F896" s="9"/>
      <c r="G896" s="5"/>
      <c r="H896" s="16"/>
      <c r="I896" s="69"/>
      <c r="J896" s="70"/>
      <c r="K896" s="71"/>
      <c r="L896" s="71"/>
      <c r="M896" s="5"/>
    </row>
    <row r="897" spans="1:13" s="3" customFormat="1">
      <c r="A897" s="1"/>
      <c r="B897" s="8"/>
      <c r="C897" s="5"/>
      <c r="D897" s="12"/>
      <c r="E897" s="9"/>
      <c r="F897" s="9"/>
      <c r="G897" s="5"/>
      <c r="H897" s="16"/>
      <c r="I897" s="69"/>
      <c r="J897" s="70"/>
      <c r="K897" s="71"/>
      <c r="L897" s="71"/>
      <c r="M897" s="5"/>
    </row>
    <row r="898" spans="1:13" s="3" customFormat="1">
      <c r="A898" s="1"/>
      <c r="B898" s="8"/>
      <c r="C898" s="5"/>
      <c r="D898" s="12"/>
      <c r="E898" s="9"/>
      <c r="F898" s="9"/>
      <c r="G898" s="5"/>
      <c r="H898" s="16"/>
      <c r="I898" s="69"/>
      <c r="J898" s="70"/>
      <c r="K898" s="71"/>
      <c r="L898" s="71"/>
      <c r="M898" s="5"/>
    </row>
    <row r="899" spans="1:13" s="3" customFormat="1">
      <c r="A899" s="1"/>
      <c r="B899" s="8"/>
      <c r="C899" s="5"/>
      <c r="D899" s="12"/>
      <c r="E899" s="9"/>
      <c r="F899" s="9"/>
      <c r="G899" s="5"/>
      <c r="H899" s="16"/>
      <c r="I899" s="69"/>
      <c r="J899" s="70"/>
      <c r="K899" s="71"/>
      <c r="L899" s="71"/>
      <c r="M899" s="5"/>
    </row>
    <row r="900" spans="1:13" s="3" customFormat="1">
      <c r="A900" s="1"/>
      <c r="B900" s="8"/>
      <c r="C900" s="5"/>
      <c r="D900" s="12"/>
      <c r="E900" s="9"/>
      <c r="F900" s="9"/>
      <c r="G900" s="5"/>
      <c r="H900" s="16"/>
      <c r="I900" s="69"/>
      <c r="J900" s="70"/>
      <c r="K900" s="71"/>
      <c r="L900" s="71"/>
      <c r="M900" s="5"/>
    </row>
    <row r="901" spans="1:13" s="3" customFormat="1">
      <c r="A901" s="1"/>
      <c r="B901" s="8"/>
      <c r="C901" s="5"/>
      <c r="D901" s="12"/>
      <c r="E901" s="9"/>
      <c r="F901" s="9"/>
      <c r="G901" s="5"/>
      <c r="H901" s="16"/>
      <c r="I901" s="69"/>
      <c r="J901" s="70"/>
      <c r="K901" s="71"/>
      <c r="L901" s="71"/>
      <c r="M901" s="5"/>
    </row>
    <row r="902" spans="1:13" s="3" customFormat="1">
      <c r="A902" s="1"/>
      <c r="B902" s="8"/>
      <c r="C902" s="5"/>
      <c r="D902" s="12"/>
      <c r="E902" s="9"/>
      <c r="F902" s="9"/>
      <c r="G902" s="5"/>
      <c r="H902" s="16"/>
      <c r="I902" s="69"/>
      <c r="J902" s="70"/>
      <c r="K902" s="71"/>
      <c r="L902" s="71"/>
      <c r="M902" s="5"/>
    </row>
    <row r="903" spans="1:13" s="3" customFormat="1">
      <c r="A903" s="1"/>
      <c r="B903" s="8"/>
      <c r="C903" s="5"/>
      <c r="D903" s="12"/>
      <c r="E903" s="9"/>
      <c r="F903" s="9"/>
      <c r="G903" s="5"/>
      <c r="H903" s="16"/>
      <c r="I903" s="69"/>
      <c r="J903" s="70"/>
      <c r="K903" s="71"/>
      <c r="L903" s="71"/>
      <c r="M903" s="5"/>
    </row>
    <row r="904" spans="1:13" s="3" customFormat="1">
      <c r="A904" s="1"/>
      <c r="B904" s="8"/>
      <c r="C904" s="5"/>
      <c r="D904" s="12"/>
      <c r="E904" s="9"/>
      <c r="F904" s="9"/>
      <c r="G904" s="5"/>
      <c r="H904" s="16"/>
      <c r="I904" s="69"/>
      <c r="J904" s="70"/>
      <c r="K904" s="71"/>
      <c r="L904" s="71"/>
      <c r="M904" s="5"/>
    </row>
    <row r="905" spans="1:13" s="3" customFormat="1">
      <c r="A905" s="1"/>
      <c r="B905" s="8"/>
      <c r="C905" s="5"/>
      <c r="D905" s="12"/>
      <c r="E905" s="9"/>
      <c r="F905" s="9"/>
      <c r="G905" s="5"/>
      <c r="H905" s="16"/>
      <c r="I905" s="69"/>
      <c r="J905" s="70"/>
      <c r="K905" s="71"/>
      <c r="L905" s="71"/>
      <c r="M905" s="5"/>
    </row>
    <row r="906" spans="1:13" s="3" customFormat="1">
      <c r="A906" s="1"/>
      <c r="B906" s="8"/>
      <c r="C906" s="5"/>
      <c r="D906" s="12"/>
      <c r="E906" s="9"/>
      <c r="F906" s="9"/>
      <c r="G906" s="5"/>
      <c r="H906" s="16"/>
      <c r="I906" s="69"/>
      <c r="J906" s="70"/>
      <c r="K906" s="71"/>
      <c r="L906" s="71"/>
      <c r="M906" s="5"/>
    </row>
    <row r="907" spans="1:13" s="3" customFormat="1">
      <c r="A907" s="1"/>
      <c r="B907" s="8"/>
      <c r="C907" s="5"/>
      <c r="D907" s="12"/>
      <c r="E907" s="9"/>
      <c r="F907" s="9"/>
      <c r="G907" s="5"/>
      <c r="H907" s="16"/>
      <c r="I907" s="69"/>
      <c r="J907" s="70"/>
      <c r="K907" s="71"/>
      <c r="L907" s="71"/>
      <c r="M907" s="5"/>
    </row>
    <row r="908" spans="1:13" s="3" customFormat="1">
      <c r="A908" s="1"/>
      <c r="B908" s="8"/>
      <c r="C908" s="5"/>
      <c r="D908" s="12"/>
      <c r="E908" s="9"/>
      <c r="F908" s="9"/>
      <c r="G908" s="5"/>
      <c r="H908" s="16"/>
      <c r="I908" s="69"/>
      <c r="J908" s="70"/>
      <c r="K908" s="71"/>
      <c r="L908" s="71"/>
      <c r="M908" s="5"/>
    </row>
    <row r="909" spans="1:13" s="3" customFormat="1">
      <c r="A909" s="1"/>
      <c r="B909" s="8"/>
      <c r="C909" s="5"/>
      <c r="D909" s="12"/>
      <c r="E909" s="9"/>
      <c r="F909" s="9"/>
      <c r="G909" s="5"/>
      <c r="H909" s="16"/>
      <c r="I909" s="69"/>
      <c r="J909" s="70"/>
      <c r="K909" s="71"/>
      <c r="L909" s="71"/>
      <c r="M909" s="5"/>
    </row>
    <row r="910" spans="1:13" s="3" customFormat="1">
      <c r="A910" s="1"/>
      <c r="B910" s="8"/>
      <c r="C910" s="5"/>
      <c r="D910" s="12"/>
      <c r="E910" s="9"/>
      <c r="F910" s="9"/>
      <c r="G910" s="5"/>
      <c r="H910" s="16"/>
      <c r="I910" s="69"/>
      <c r="J910" s="70"/>
      <c r="K910" s="71"/>
      <c r="L910" s="71"/>
      <c r="M910" s="5"/>
    </row>
    <row r="911" spans="1:13" s="3" customFormat="1">
      <c r="A911" s="1"/>
      <c r="B911" s="8"/>
      <c r="C911" s="5"/>
      <c r="D911" s="12"/>
      <c r="E911" s="9"/>
      <c r="F911" s="9"/>
      <c r="G911" s="5"/>
      <c r="H911" s="16"/>
      <c r="I911" s="69"/>
      <c r="J911" s="70"/>
      <c r="K911" s="71"/>
      <c r="L911" s="71"/>
      <c r="M911" s="5"/>
    </row>
    <row r="912" spans="1:13" s="3" customFormat="1">
      <c r="A912" s="1"/>
      <c r="B912" s="8"/>
      <c r="C912" s="5"/>
      <c r="D912" s="12"/>
      <c r="E912" s="9"/>
      <c r="F912" s="9"/>
      <c r="G912" s="5"/>
      <c r="H912" s="16"/>
      <c r="I912" s="69"/>
      <c r="J912" s="70"/>
      <c r="K912" s="71"/>
      <c r="L912" s="71"/>
      <c r="M912" s="5"/>
    </row>
    <row r="913" spans="1:13" s="3" customFormat="1">
      <c r="A913" s="1"/>
      <c r="B913" s="8"/>
      <c r="C913" s="5"/>
      <c r="D913" s="12"/>
      <c r="E913" s="9"/>
      <c r="F913" s="9"/>
      <c r="G913" s="5"/>
      <c r="H913" s="16"/>
      <c r="I913" s="69"/>
      <c r="J913" s="70"/>
      <c r="K913" s="71"/>
      <c r="L913" s="71"/>
      <c r="M913" s="5"/>
    </row>
    <row r="914" spans="1:13" s="3" customFormat="1">
      <c r="A914" s="1"/>
      <c r="B914" s="8"/>
      <c r="C914" s="5"/>
      <c r="D914" s="12"/>
      <c r="E914" s="9"/>
      <c r="F914" s="9"/>
      <c r="G914" s="5"/>
      <c r="H914" s="16"/>
      <c r="I914" s="69"/>
      <c r="J914" s="70"/>
      <c r="K914" s="71"/>
      <c r="L914" s="71"/>
      <c r="M914" s="5"/>
    </row>
    <row r="915" spans="1:13" s="3" customFormat="1">
      <c r="A915" s="1"/>
      <c r="B915" s="8"/>
      <c r="C915" s="5"/>
      <c r="D915" s="12"/>
      <c r="E915" s="9"/>
      <c r="F915" s="9"/>
      <c r="G915" s="5"/>
      <c r="H915" s="16"/>
      <c r="I915" s="69"/>
      <c r="J915" s="70"/>
      <c r="K915" s="71"/>
      <c r="L915" s="71"/>
      <c r="M915" s="5"/>
    </row>
    <row r="916" spans="1:13" s="3" customFormat="1">
      <c r="A916" s="1"/>
      <c r="B916" s="8"/>
      <c r="C916" s="5"/>
      <c r="D916" s="12"/>
      <c r="E916" s="9"/>
      <c r="F916" s="9"/>
      <c r="G916" s="5"/>
      <c r="H916" s="16"/>
      <c r="I916" s="69"/>
      <c r="J916" s="70"/>
      <c r="K916" s="71"/>
      <c r="L916" s="71"/>
      <c r="M916" s="5"/>
    </row>
    <row r="917" spans="1:13" s="3" customFormat="1">
      <c r="A917" s="1"/>
      <c r="B917" s="8"/>
      <c r="C917" s="5"/>
      <c r="D917" s="12"/>
      <c r="E917" s="9"/>
      <c r="F917" s="9"/>
      <c r="G917" s="5"/>
      <c r="H917" s="16"/>
      <c r="I917" s="69"/>
      <c r="J917" s="70"/>
      <c r="K917" s="71"/>
      <c r="L917" s="71"/>
      <c r="M917" s="5"/>
    </row>
    <row r="918" spans="1:13" s="3" customFormat="1">
      <c r="A918" s="1"/>
      <c r="B918" s="8"/>
      <c r="C918" s="5"/>
      <c r="D918" s="12"/>
      <c r="E918" s="9"/>
      <c r="F918" s="9"/>
      <c r="G918" s="5"/>
      <c r="H918" s="16"/>
      <c r="I918" s="69"/>
      <c r="J918" s="70"/>
      <c r="K918" s="71"/>
      <c r="L918" s="71"/>
      <c r="M918" s="5"/>
    </row>
    <row r="919" spans="1:13" s="3" customFormat="1">
      <c r="A919" s="1"/>
      <c r="B919" s="8"/>
      <c r="C919" s="5"/>
      <c r="D919" s="12"/>
      <c r="E919" s="9"/>
      <c r="F919" s="9"/>
      <c r="G919" s="5"/>
      <c r="H919" s="16"/>
      <c r="I919" s="69"/>
      <c r="J919" s="70"/>
      <c r="K919" s="71"/>
      <c r="L919" s="71"/>
      <c r="M919" s="5"/>
    </row>
    <row r="920" spans="1:13" s="3" customFormat="1">
      <c r="A920" s="1"/>
      <c r="B920" s="8"/>
      <c r="C920" s="5"/>
      <c r="D920" s="12"/>
      <c r="E920" s="9"/>
      <c r="F920" s="9"/>
      <c r="G920" s="5"/>
      <c r="H920" s="16"/>
      <c r="I920" s="69"/>
      <c r="J920" s="70"/>
      <c r="K920" s="71"/>
      <c r="L920" s="71"/>
      <c r="M920" s="5"/>
    </row>
    <row r="921" spans="1:13" s="3" customFormat="1">
      <c r="A921" s="1"/>
      <c r="B921" s="8"/>
      <c r="C921" s="5"/>
      <c r="D921" s="12"/>
      <c r="E921" s="9"/>
      <c r="F921" s="9"/>
      <c r="G921" s="5"/>
      <c r="H921" s="16"/>
      <c r="I921" s="69"/>
      <c r="J921" s="70"/>
      <c r="K921" s="71"/>
      <c r="L921" s="71"/>
      <c r="M921" s="5"/>
    </row>
    <row r="922" spans="1:13" s="3" customFormat="1">
      <c r="A922" s="1"/>
      <c r="B922" s="8"/>
      <c r="C922" s="5"/>
      <c r="D922" s="12"/>
      <c r="E922" s="9"/>
      <c r="F922" s="9"/>
      <c r="G922" s="5"/>
      <c r="H922" s="16"/>
      <c r="I922" s="69"/>
      <c r="J922" s="70"/>
      <c r="K922" s="71"/>
      <c r="L922" s="71"/>
      <c r="M922" s="5"/>
    </row>
    <row r="923" spans="1:13" s="3" customFormat="1">
      <c r="A923" s="1"/>
      <c r="B923" s="8"/>
      <c r="C923" s="5"/>
      <c r="D923" s="12"/>
      <c r="E923" s="9"/>
      <c r="F923" s="9"/>
      <c r="G923" s="5"/>
      <c r="H923" s="16"/>
      <c r="I923" s="69"/>
      <c r="J923" s="70"/>
      <c r="K923" s="71"/>
      <c r="L923" s="71"/>
      <c r="M923" s="5"/>
    </row>
    <row r="924" spans="1:13" s="3" customFormat="1">
      <c r="A924" s="1"/>
      <c r="B924" s="8"/>
      <c r="C924" s="5"/>
      <c r="D924" s="12"/>
      <c r="E924" s="9"/>
      <c r="F924" s="9"/>
      <c r="G924" s="5"/>
      <c r="H924" s="16"/>
      <c r="I924" s="69"/>
      <c r="J924" s="70"/>
      <c r="K924" s="71"/>
      <c r="L924" s="71"/>
      <c r="M924" s="5"/>
    </row>
    <row r="925" spans="1:13" s="3" customFormat="1">
      <c r="A925" s="1"/>
      <c r="B925" s="8"/>
      <c r="C925" s="5"/>
      <c r="D925" s="12"/>
      <c r="E925" s="9"/>
      <c r="F925" s="9"/>
      <c r="G925" s="5"/>
      <c r="H925" s="16"/>
      <c r="I925" s="69"/>
      <c r="J925" s="70"/>
      <c r="K925" s="71"/>
      <c r="L925" s="71"/>
      <c r="M925" s="5"/>
    </row>
    <row r="926" spans="1:13" s="3" customFormat="1">
      <c r="A926" s="1"/>
      <c r="B926" s="8"/>
      <c r="C926" s="5"/>
      <c r="D926" s="12"/>
      <c r="E926" s="9"/>
      <c r="F926" s="9"/>
      <c r="G926" s="5"/>
      <c r="H926" s="16"/>
      <c r="I926" s="69"/>
      <c r="J926" s="70"/>
      <c r="K926" s="71"/>
      <c r="L926" s="71"/>
      <c r="M926" s="5"/>
    </row>
    <row r="927" spans="1:13" s="3" customFormat="1">
      <c r="A927" s="1"/>
      <c r="B927" s="8"/>
      <c r="C927" s="5"/>
      <c r="D927" s="12"/>
      <c r="E927" s="9"/>
      <c r="F927" s="9"/>
      <c r="G927" s="5"/>
      <c r="H927" s="16"/>
      <c r="I927" s="69"/>
      <c r="J927" s="70"/>
      <c r="K927" s="71"/>
      <c r="L927" s="71"/>
      <c r="M927" s="5"/>
    </row>
    <row r="928" spans="1:13" s="3" customFormat="1">
      <c r="A928" s="1"/>
      <c r="B928" s="8"/>
      <c r="C928" s="5"/>
      <c r="D928" s="12"/>
      <c r="E928" s="9"/>
      <c r="F928" s="9"/>
      <c r="G928" s="5"/>
      <c r="H928" s="16"/>
      <c r="I928" s="69"/>
      <c r="J928" s="70"/>
      <c r="K928" s="71"/>
      <c r="L928" s="71"/>
      <c r="M928" s="5"/>
    </row>
    <row r="929" spans="1:13" s="3" customFormat="1">
      <c r="A929" s="1"/>
      <c r="B929" s="8"/>
      <c r="C929" s="5"/>
      <c r="D929" s="12"/>
      <c r="E929" s="9"/>
      <c r="F929" s="9"/>
      <c r="G929" s="5"/>
      <c r="H929" s="16"/>
      <c r="I929" s="69"/>
      <c r="J929" s="70"/>
      <c r="K929" s="71"/>
      <c r="L929" s="71"/>
      <c r="M929" s="5"/>
    </row>
    <row r="930" spans="1:13" s="3" customFormat="1">
      <c r="A930" s="1"/>
      <c r="B930" s="8"/>
      <c r="C930" s="5"/>
      <c r="D930" s="12"/>
      <c r="E930" s="9"/>
      <c r="F930" s="9"/>
      <c r="G930" s="5"/>
      <c r="H930" s="16"/>
      <c r="I930" s="69"/>
      <c r="J930" s="70"/>
      <c r="K930" s="71"/>
      <c r="L930" s="71"/>
      <c r="M930" s="5"/>
    </row>
    <row r="931" spans="1:13" s="3" customFormat="1">
      <c r="A931" s="1"/>
      <c r="B931" s="8"/>
      <c r="C931" s="5"/>
      <c r="D931" s="12"/>
      <c r="E931" s="9"/>
      <c r="F931" s="9"/>
      <c r="G931" s="5"/>
      <c r="H931" s="16"/>
      <c r="I931" s="69"/>
      <c r="J931" s="70"/>
      <c r="K931" s="71"/>
      <c r="L931" s="71"/>
      <c r="M931" s="5"/>
    </row>
    <row r="932" spans="1:13" s="3" customFormat="1">
      <c r="A932" s="1"/>
      <c r="B932" s="8"/>
      <c r="C932" s="5"/>
      <c r="D932" s="12"/>
      <c r="E932" s="9"/>
      <c r="F932" s="9"/>
      <c r="G932" s="5"/>
      <c r="H932" s="16"/>
      <c r="I932" s="69"/>
      <c r="J932" s="70"/>
      <c r="K932" s="71"/>
      <c r="L932" s="71"/>
      <c r="M932" s="5"/>
    </row>
    <row r="933" spans="1:13" s="3" customFormat="1">
      <c r="A933" s="1"/>
      <c r="B933" s="8"/>
      <c r="C933" s="5"/>
      <c r="D933" s="12"/>
      <c r="E933" s="9"/>
      <c r="F933" s="9"/>
      <c r="G933" s="5"/>
      <c r="H933" s="16"/>
      <c r="I933" s="69"/>
      <c r="J933" s="70"/>
      <c r="K933" s="71"/>
      <c r="L933" s="71"/>
      <c r="M933" s="5"/>
    </row>
    <row r="934" spans="1:13" s="3" customFormat="1">
      <c r="A934" s="1"/>
      <c r="B934" s="8"/>
      <c r="C934" s="5"/>
      <c r="D934" s="12"/>
      <c r="E934" s="9"/>
      <c r="F934" s="9"/>
      <c r="G934" s="5"/>
      <c r="H934" s="16"/>
      <c r="I934" s="69"/>
      <c r="J934" s="70"/>
      <c r="K934" s="71"/>
      <c r="L934" s="71"/>
      <c r="M934" s="5"/>
    </row>
    <row r="935" spans="1:13" s="3" customFormat="1">
      <c r="A935" s="1"/>
      <c r="B935" s="8"/>
      <c r="C935" s="5"/>
      <c r="D935" s="12"/>
      <c r="E935" s="9"/>
      <c r="F935" s="9"/>
      <c r="G935" s="5"/>
      <c r="H935" s="16"/>
      <c r="I935" s="69"/>
      <c r="J935" s="70"/>
      <c r="K935" s="71"/>
      <c r="L935" s="71"/>
      <c r="M935" s="5"/>
    </row>
    <row r="936" spans="1:13" s="3" customFormat="1">
      <c r="A936" s="1"/>
      <c r="B936" s="8"/>
      <c r="C936" s="5"/>
      <c r="D936" s="12"/>
      <c r="E936" s="9"/>
      <c r="F936" s="9"/>
      <c r="G936" s="5"/>
      <c r="H936" s="16"/>
      <c r="I936" s="69"/>
      <c r="J936" s="70"/>
      <c r="K936" s="71"/>
      <c r="L936" s="71"/>
      <c r="M936" s="5"/>
    </row>
    <row r="937" spans="1:13" s="3" customFormat="1">
      <c r="A937" s="1"/>
      <c r="B937" s="8"/>
      <c r="C937" s="5"/>
      <c r="D937" s="12"/>
      <c r="E937" s="9"/>
      <c r="F937" s="9"/>
      <c r="G937" s="5"/>
      <c r="H937" s="16"/>
      <c r="I937" s="69"/>
      <c r="J937" s="70"/>
      <c r="K937" s="71"/>
      <c r="L937" s="71"/>
      <c r="M937" s="5"/>
    </row>
    <row r="938" spans="1:13" s="3" customFormat="1">
      <c r="A938" s="1"/>
      <c r="B938" s="8"/>
      <c r="C938" s="5"/>
      <c r="D938" s="12"/>
      <c r="E938" s="9"/>
      <c r="F938" s="9"/>
      <c r="G938" s="5"/>
      <c r="H938" s="16"/>
      <c r="I938" s="69"/>
      <c r="J938" s="70"/>
      <c r="K938" s="71"/>
      <c r="L938" s="71"/>
      <c r="M938" s="5"/>
    </row>
    <row r="939" spans="1:13" s="3" customFormat="1">
      <c r="A939" s="1"/>
      <c r="B939" s="8"/>
      <c r="C939" s="5"/>
      <c r="D939" s="12"/>
      <c r="E939" s="9"/>
      <c r="F939" s="9"/>
      <c r="G939" s="5"/>
      <c r="H939" s="16"/>
      <c r="I939" s="69"/>
      <c r="J939" s="70"/>
      <c r="K939" s="71"/>
      <c r="L939" s="71"/>
      <c r="M939" s="5"/>
    </row>
    <row r="940" spans="1:13" s="3" customFormat="1">
      <c r="A940" s="1"/>
      <c r="B940" s="8"/>
      <c r="C940" s="5"/>
      <c r="D940" s="12"/>
      <c r="E940" s="9"/>
      <c r="F940" s="9"/>
      <c r="G940" s="5"/>
      <c r="H940" s="16"/>
      <c r="I940" s="69"/>
      <c r="J940" s="70"/>
      <c r="K940" s="71"/>
      <c r="L940" s="71"/>
      <c r="M940" s="5"/>
    </row>
    <row r="941" spans="1:13" s="3" customFormat="1">
      <c r="A941" s="1"/>
      <c r="B941" s="8"/>
      <c r="C941" s="5"/>
      <c r="D941" s="12"/>
      <c r="E941" s="9"/>
      <c r="F941" s="9"/>
      <c r="G941" s="5"/>
      <c r="H941" s="16"/>
      <c r="I941" s="69"/>
      <c r="J941" s="70"/>
      <c r="K941" s="71"/>
      <c r="L941" s="71"/>
      <c r="M941" s="5"/>
    </row>
    <row r="942" spans="1:13" s="3" customFormat="1">
      <c r="A942" s="1"/>
      <c r="B942" s="8"/>
      <c r="C942" s="5"/>
      <c r="D942" s="12"/>
      <c r="E942" s="9"/>
      <c r="F942" s="9"/>
      <c r="G942" s="5"/>
      <c r="H942" s="16"/>
      <c r="I942" s="69"/>
      <c r="J942" s="70"/>
      <c r="K942" s="71"/>
      <c r="L942" s="71"/>
      <c r="M942" s="5"/>
    </row>
    <row r="943" spans="1:13" s="3" customFormat="1">
      <c r="A943" s="1"/>
      <c r="B943" s="8"/>
      <c r="C943" s="5"/>
      <c r="D943" s="12"/>
      <c r="E943" s="9"/>
      <c r="F943" s="9"/>
      <c r="G943" s="5"/>
      <c r="H943" s="16"/>
      <c r="I943" s="69"/>
      <c r="J943" s="70"/>
      <c r="K943" s="71"/>
      <c r="L943" s="71"/>
      <c r="M943" s="5"/>
    </row>
    <row r="944" spans="1:13" s="3" customFormat="1">
      <c r="A944" s="1"/>
      <c r="B944" s="8"/>
      <c r="C944" s="5"/>
      <c r="D944" s="12"/>
      <c r="E944" s="9"/>
      <c r="F944" s="9"/>
      <c r="G944" s="5"/>
      <c r="H944" s="16"/>
      <c r="I944" s="69"/>
      <c r="J944" s="70"/>
      <c r="K944" s="71"/>
      <c r="L944" s="71"/>
      <c r="M944" s="5"/>
    </row>
    <row r="945" spans="1:13" s="3" customFormat="1">
      <c r="A945" s="1"/>
      <c r="B945" s="8"/>
      <c r="C945" s="5"/>
      <c r="D945" s="12"/>
      <c r="E945" s="9"/>
      <c r="F945" s="9"/>
      <c r="G945" s="5"/>
      <c r="H945" s="16"/>
      <c r="I945" s="69"/>
      <c r="J945" s="70"/>
      <c r="K945" s="71"/>
      <c r="L945" s="71"/>
      <c r="M945" s="5"/>
    </row>
    <row r="946" spans="1:13" s="3" customFormat="1">
      <c r="A946" s="1"/>
      <c r="B946" s="8"/>
      <c r="C946" s="5"/>
      <c r="D946" s="12"/>
      <c r="E946" s="9"/>
      <c r="F946" s="9"/>
      <c r="G946" s="5"/>
      <c r="H946" s="16"/>
      <c r="I946" s="69"/>
      <c r="J946" s="70"/>
      <c r="K946" s="71"/>
      <c r="L946" s="71"/>
      <c r="M946" s="5"/>
    </row>
    <row r="947" spans="1:13" s="3" customFormat="1">
      <c r="A947" s="1"/>
      <c r="B947" s="8"/>
      <c r="C947" s="5"/>
      <c r="D947" s="12"/>
      <c r="E947" s="9"/>
      <c r="F947" s="9"/>
      <c r="G947" s="5"/>
      <c r="H947" s="16"/>
      <c r="I947" s="69"/>
      <c r="J947" s="70"/>
      <c r="K947" s="71"/>
      <c r="L947" s="71"/>
      <c r="M947" s="5"/>
    </row>
    <row r="948" spans="1:13" s="3" customFormat="1">
      <c r="A948" s="1"/>
      <c r="B948" s="8"/>
      <c r="C948" s="5"/>
      <c r="D948" s="12"/>
      <c r="E948" s="9"/>
      <c r="F948" s="9"/>
      <c r="G948" s="5"/>
      <c r="H948" s="16"/>
      <c r="I948" s="69"/>
      <c r="J948" s="70"/>
      <c r="K948" s="71"/>
      <c r="L948" s="71"/>
      <c r="M948" s="5"/>
    </row>
    <row r="949" spans="1:13" s="3" customFormat="1">
      <c r="A949" s="1"/>
      <c r="B949" s="8"/>
      <c r="C949" s="5"/>
      <c r="D949" s="12"/>
      <c r="E949" s="9"/>
      <c r="F949" s="9"/>
      <c r="G949" s="5"/>
      <c r="H949" s="16"/>
      <c r="I949" s="69"/>
      <c r="J949" s="70"/>
      <c r="K949" s="71"/>
      <c r="L949" s="71"/>
      <c r="M949" s="5"/>
    </row>
    <row r="950" spans="1:13" s="3" customFormat="1">
      <c r="A950" s="1"/>
      <c r="B950" s="8"/>
      <c r="C950" s="5"/>
      <c r="D950" s="12"/>
      <c r="E950" s="9"/>
      <c r="F950" s="9"/>
      <c r="G950" s="5"/>
      <c r="H950" s="16"/>
      <c r="I950" s="69"/>
      <c r="J950" s="70"/>
      <c r="K950" s="71"/>
      <c r="L950" s="71"/>
      <c r="M950" s="5"/>
    </row>
    <row r="951" spans="1:13" s="3" customFormat="1">
      <c r="A951" s="1"/>
      <c r="B951" s="8"/>
      <c r="C951" s="5"/>
      <c r="D951" s="12"/>
      <c r="E951" s="9"/>
      <c r="F951" s="9"/>
      <c r="G951" s="5"/>
      <c r="H951" s="16"/>
      <c r="I951" s="69"/>
      <c r="J951" s="70"/>
      <c r="K951" s="71"/>
      <c r="L951" s="71"/>
      <c r="M951" s="5"/>
    </row>
    <row r="952" spans="1:13" s="3" customFormat="1">
      <c r="A952" s="1"/>
      <c r="B952" s="8"/>
      <c r="C952" s="5"/>
      <c r="D952" s="12"/>
      <c r="E952" s="9"/>
      <c r="F952" s="9"/>
      <c r="G952" s="5"/>
      <c r="H952" s="16"/>
      <c r="I952" s="69"/>
      <c r="J952" s="70"/>
      <c r="K952" s="71"/>
      <c r="L952" s="71"/>
      <c r="M952" s="5"/>
    </row>
    <row r="953" spans="1:13" s="3" customFormat="1">
      <c r="A953" s="1"/>
      <c r="B953" s="8"/>
      <c r="C953" s="5"/>
      <c r="D953" s="12"/>
      <c r="E953" s="9"/>
      <c r="F953" s="9"/>
      <c r="G953" s="5"/>
      <c r="H953" s="16"/>
      <c r="I953" s="69"/>
      <c r="J953" s="70"/>
      <c r="K953" s="71"/>
      <c r="L953" s="71"/>
      <c r="M953" s="5"/>
    </row>
    <row r="954" spans="1:13" s="3" customFormat="1">
      <c r="A954" s="1"/>
      <c r="B954" s="8"/>
      <c r="C954" s="5"/>
      <c r="D954" s="12"/>
      <c r="E954" s="9"/>
      <c r="F954" s="9"/>
      <c r="G954" s="5"/>
      <c r="H954" s="16"/>
      <c r="I954" s="69"/>
      <c r="J954" s="70"/>
      <c r="K954" s="71"/>
      <c r="L954" s="71"/>
      <c r="M954" s="5"/>
    </row>
    <row r="955" spans="1:13" s="3" customFormat="1">
      <c r="A955" s="1"/>
      <c r="B955" s="8"/>
      <c r="C955" s="5"/>
      <c r="D955" s="12"/>
      <c r="E955" s="9"/>
      <c r="F955" s="9"/>
      <c r="G955" s="5"/>
      <c r="H955" s="16"/>
      <c r="I955" s="69"/>
      <c r="J955" s="70"/>
      <c r="K955" s="71"/>
      <c r="L955" s="71"/>
      <c r="M955" s="5"/>
    </row>
    <row r="956" spans="1:13" s="3" customFormat="1">
      <c r="A956" s="1"/>
      <c r="B956" s="8"/>
      <c r="C956" s="5"/>
      <c r="D956" s="12"/>
      <c r="E956" s="9"/>
      <c r="F956" s="9"/>
      <c r="G956" s="5"/>
      <c r="H956" s="16"/>
      <c r="I956" s="69"/>
      <c r="J956" s="70"/>
      <c r="K956" s="71"/>
      <c r="L956" s="71"/>
      <c r="M956" s="5"/>
    </row>
    <row r="957" spans="1:13" s="3" customFormat="1">
      <c r="A957" s="1"/>
      <c r="B957" s="8"/>
      <c r="C957" s="5"/>
      <c r="D957" s="12"/>
      <c r="E957" s="9"/>
      <c r="F957" s="9"/>
      <c r="G957" s="5"/>
      <c r="H957" s="16"/>
      <c r="I957" s="69"/>
      <c r="J957" s="70"/>
      <c r="K957" s="71"/>
      <c r="L957" s="71"/>
      <c r="M957" s="5"/>
    </row>
    <row r="958" spans="1:13" s="3" customFormat="1">
      <c r="A958" s="1"/>
      <c r="B958" s="8"/>
      <c r="C958" s="5"/>
      <c r="D958" s="12"/>
      <c r="E958" s="9"/>
      <c r="F958" s="9"/>
      <c r="G958" s="5"/>
      <c r="H958" s="16"/>
      <c r="I958" s="69"/>
      <c r="J958" s="70"/>
      <c r="K958" s="71"/>
      <c r="L958" s="71"/>
      <c r="M958" s="5"/>
    </row>
    <row r="959" spans="1:13" s="3" customFormat="1">
      <c r="A959" s="1"/>
      <c r="B959" s="8"/>
      <c r="C959" s="5"/>
      <c r="D959" s="12"/>
      <c r="E959" s="9"/>
      <c r="F959" s="9"/>
      <c r="G959" s="5"/>
      <c r="H959" s="16"/>
      <c r="I959" s="69"/>
      <c r="J959" s="70"/>
      <c r="K959" s="71"/>
      <c r="L959" s="71"/>
      <c r="M959" s="5"/>
    </row>
    <row r="960" spans="1:13" s="3" customFormat="1">
      <c r="A960" s="1"/>
      <c r="B960" s="8"/>
      <c r="C960" s="5"/>
      <c r="D960" s="12"/>
      <c r="E960" s="9"/>
      <c r="F960" s="9"/>
      <c r="G960" s="5"/>
      <c r="H960" s="16"/>
      <c r="I960" s="69"/>
      <c r="J960" s="70"/>
      <c r="K960" s="71"/>
      <c r="L960" s="71"/>
      <c r="M960" s="5"/>
    </row>
    <row r="961" spans="1:13" s="3" customFormat="1">
      <c r="A961" s="1"/>
      <c r="B961" s="8"/>
      <c r="C961" s="5"/>
      <c r="D961" s="12"/>
      <c r="E961" s="9"/>
      <c r="F961" s="9"/>
      <c r="G961" s="5"/>
      <c r="H961" s="16"/>
      <c r="I961" s="69"/>
      <c r="J961" s="70"/>
      <c r="K961" s="71"/>
      <c r="L961" s="71"/>
      <c r="M961" s="5"/>
    </row>
    <row r="962" spans="1:13" s="3" customFormat="1">
      <c r="A962" s="1"/>
      <c r="B962" s="8"/>
      <c r="C962" s="5"/>
      <c r="D962" s="12"/>
      <c r="E962" s="9"/>
      <c r="F962" s="9"/>
      <c r="G962" s="5"/>
      <c r="H962" s="16"/>
      <c r="I962" s="69"/>
      <c r="J962" s="70"/>
      <c r="K962" s="71"/>
      <c r="L962" s="71"/>
      <c r="M962" s="5"/>
    </row>
    <row r="963" spans="1:13" s="3" customFormat="1">
      <c r="A963" s="1"/>
      <c r="B963" s="8"/>
      <c r="C963" s="5"/>
      <c r="D963" s="12"/>
      <c r="E963" s="9"/>
      <c r="F963" s="9"/>
      <c r="G963" s="5"/>
      <c r="H963" s="16"/>
      <c r="I963" s="69"/>
      <c r="J963" s="70"/>
      <c r="K963" s="71"/>
      <c r="L963" s="71"/>
      <c r="M963" s="5"/>
    </row>
    <row r="964" spans="1:13" s="3" customFormat="1">
      <c r="A964" s="1"/>
      <c r="B964" s="8"/>
      <c r="C964" s="5"/>
      <c r="D964" s="12"/>
      <c r="E964" s="9"/>
      <c r="F964" s="9"/>
      <c r="G964" s="5"/>
      <c r="H964" s="16"/>
      <c r="I964" s="69"/>
      <c r="J964" s="70"/>
      <c r="K964" s="71"/>
      <c r="L964" s="71"/>
      <c r="M964" s="5"/>
    </row>
    <row r="965" spans="1:13" s="3" customFormat="1">
      <c r="A965" s="1"/>
      <c r="B965" s="8"/>
      <c r="C965" s="5"/>
      <c r="D965" s="12"/>
      <c r="E965" s="9"/>
      <c r="F965" s="9"/>
      <c r="G965" s="5"/>
      <c r="H965" s="16"/>
      <c r="I965" s="69"/>
      <c r="J965" s="70"/>
      <c r="K965" s="71"/>
      <c r="L965" s="71"/>
      <c r="M965" s="5"/>
    </row>
    <row r="966" spans="1:13" s="3" customFormat="1">
      <c r="A966" s="1"/>
      <c r="B966" s="8"/>
      <c r="C966" s="5"/>
      <c r="D966" s="12"/>
      <c r="E966" s="9"/>
      <c r="F966" s="9"/>
      <c r="G966" s="5"/>
      <c r="H966" s="16"/>
      <c r="I966" s="69"/>
      <c r="J966" s="70"/>
      <c r="K966" s="71"/>
      <c r="L966" s="71"/>
      <c r="M966" s="5"/>
    </row>
    <row r="967" spans="1:13" s="3" customFormat="1">
      <c r="A967" s="1"/>
      <c r="B967" s="8"/>
      <c r="C967" s="5"/>
      <c r="D967" s="12"/>
      <c r="E967" s="9"/>
      <c r="F967" s="9"/>
      <c r="G967" s="5"/>
      <c r="H967" s="16"/>
      <c r="I967" s="69"/>
      <c r="J967" s="70"/>
      <c r="K967" s="71"/>
      <c r="L967" s="71"/>
      <c r="M967" s="5"/>
    </row>
    <row r="968" spans="1:13" s="3" customFormat="1">
      <c r="A968" s="1"/>
      <c r="B968" s="8"/>
      <c r="C968" s="5"/>
      <c r="D968" s="12"/>
      <c r="E968" s="9"/>
      <c r="F968" s="9"/>
      <c r="G968" s="5"/>
      <c r="H968" s="16"/>
      <c r="I968" s="69"/>
      <c r="J968" s="70"/>
      <c r="K968" s="71"/>
      <c r="L968" s="71"/>
      <c r="M968" s="5"/>
    </row>
    <row r="969" spans="1:13" s="3" customFormat="1">
      <c r="A969" s="1"/>
      <c r="B969" s="8"/>
      <c r="C969" s="5"/>
      <c r="D969" s="12"/>
      <c r="E969" s="9"/>
      <c r="F969" s="9"/>
      <c r="G969" s="5"/>
      <c r="H969" s="16"/>
      <c r="I969" s="69"/>
      <c r="J969" s="70"/>
      <c r="K969" s="71"/>
      <c r="L969" s="71"/>
      <c r="M969" s="5"/>
    </row>
    <row r="970" spans="1:13" s="3" customFormat="1">
      <c r="A970" s="1"/>
      <c r="B970" s="8"/>
      <c r="C970" s="5"/>
      <c r="D970" s="12"/>
      <c r="E970" s="9"/>
      <c r="F970" s="9"/>
      <c r="G970" s="5"/>
      <c r="H970" s="16"/>
      <c r="I970" s="69"/>
      <c r="J970" s="70"/>
      <c r="K970" s="71"/>
      <c r="L970" s="71"/>
      <c r="M970" s="5"/>
    </row>
    <row r="971" spans="1:13" s="3" customFormat="1">
      <c r="A971" s="1"/>
      <c r="B971" s="8"/>
      <c r="C971" s="5"/>
      <c r="D971" s="12"/>
      <c r="E971" s="9"/>
      <c r="F971" s="9"/>
      <c r="G971" s="5"/>
      <c r="H971" s="16"/>
      <c r="I971" s="69"/>
      <c r="J971" s="70"/>
      <c r="K971" s="71"/>
      <c r="L971" s="71"/>
      <c r="M971" s="5"/>
    </row>
    <row r="972" spans="1:13" s="3" customFormat="1">
      <c r="A972" s="1"/>
      <c r="B972" s="8"/>
      <c r="C972" s="5"/>
      <c r="D972" s="12"/>
      <c r="E972" s="9"/>
      <c r="F972" s="9"/>
      <c r="G972" s="5"/>
      <c r="H972" s="16"/>
      <c r="I972" s="69"/>
      <c r="J972" s="70"/>
      <c r="K972" s="71"/>
      <c r="L972" s="71"/>
      <c r="M972" s="5"/>
    </row>
    <row r="973" spans="1:13" s="3" customFormat="1">
      <c r="A973" s="1"/>
      <c r="B973" s="8"/>
      <c r="C973" s="5"/>
      <c r="D973" s="12"/>
      <c r="E973" s="9"/>
      <c r="F973" s="9"/>
      <c r="G973" s="5"/>
      <c r="H973" s="16"/>
      <c r="I973" s="69"/>
      <c r="J973" s="70"/>
      <c r="K973" s="71"/>
      <c r="L973" s="71"/>
      <c r="M973" s="5"/>
    </row>
    <row r="974" spans="1:13" s="3" customFormat="1">
      <c r="A974" s="1"/>
      <c r="B974" s="8"/>
      <c r="C974" s="5"/>
      <c r="D974" s="12"/>
      <c r="E974" s="9"/>
      <c r="F974" s="9"/>
      <c r="G974" s="5"/>
      <c r="H974" s="16"/>
      <c r="I974" s="69"/>
      <c r="J974" s="70"/>
      <c r="K974" s="71"/>
      <c r="L974" s="71"/>
      <c r="M974" s="5"/>
    </row>
    <row r="975" spans="1:13" s="3" customFormat="1">
      <c r="A975" s="1"/>
      <c r="B975" s="8"/>
      <c r="C975" s="5"/>
      <c r="D975" s="12"/>
      <c r="E975" s="9"/>
      <c r="F975" s="9"/>
      <c r="G975" s="5"/>
      <c r="H975" s="16"/>
      <c r="I975" s="69"/>
      <c r="J975" s="70"/>
      <c r="K975" s="71"/>
      <c r="L975" s="71"/>
      <c r="M975" s="5"/>
    </row>
    <row r="976" spans="1:13" s="3" customFormat="1">
      <c r="A976" s="1"/>
      <c r="B976" s="8"/>
      <c r="C976" s="5"/>
      <c r="D976" s="12"/>
      <c r="E976" s="9"/>
      <c r="F976" s="9"/>
      <c r="G976" s="5"/>
      <c r="H976" s="16"/>
      <c r="I976" s="69"/>
      <c r="J976" s="70"/>
      <c r="K976" s="71"/>
      <c r="L976" s="71"/>
      <c r="M976" s="5"/>
    </row>
    <row r="977" spans="1:13" s="3" customFormat="1">
      <c r="A977" s="1"/>
      <c r="B977" s="8"/>
      <c r="C977" s="5"/>
      <c r="D977" s="12"/>
      <c r="E977" s="9"/>
      <c r="F977" s="9"/>
      <c r="G977" s="5"/>
      <c r="H977" s="16"/>
      <c r="I977" s="69"/>
      <c r="J977" s="70"/>
      <c r="K977" s="71"/>
      <c r="L977" s="71"/>
      <c r="M977" s="5"/>
    </row>
    <row r="978" spans="1:13" s="3" customFormat="1">
      <c r="A978" s="1"/>
      <c r="B978" s="8"/>
      <c r="C978" s="5"/>
      <c r="D978" s="12"/>
      <c r="E978" s="9"/>
      <c r="F978" s="9"/>
      <c r="G978" s="5"/>
      <c r="H978" s="16"/>
      <c r="I978" s="69"/>
      <c r="J978" s="70"/>
      <c r="K978" s="71"/>
      <c r="L978" s="71"/>
      <c r="M978" s="5"/>
    </row>
    <row r="979" spans="1:13" s="3" customFormat="1">
      <c r="A979" s="1"/>
      <c r="B979" s="8"/>
      <c r="C979" s="5"/>
      <c r="D979" s="12"/>
      <c r="E979" s="9"/>
      <c r="F979" s="9"/>
      <c r="G979" s="5"/>
      <c r="H979" s="16"/>
      <c r="I979" s="69"/>
      <c r="J979" s="70"/>
      <c r="K979" s="71"/>
      <c r="L979" s="71"/>
      <c r="M979" s="5"/>
    </row>
    <row r="980" spans="1:13" s="3" customFormat="1">
      <c r="A980" s="1"/>
      <c r="B980" s="8"/>
      <c r="C980" s="5"/>
      <c r="D980" s="12"/>
      <c r="E980" s="9"/>
      <c r="F980" s="9"/>
      <c r="G980" s="5"/>
      <c r="H980" s="16"/>
      <c r="I980" s="69"/>
      <c r="J980" s="70"/>
      <c r="K980" s="71"/>
      <c r="L980" s="71"/>
      <c r="M980" s="5"/>
    </row>
    <row r="981" spans="1:13" s="3" customFormat="1">
      <c r="A981" s="1"/>
      <c r="B981" s="8"/>
      <c r="C981" s="5"/>
      <c r="D981" s="12"/>
      <c r="E981" s="9"/>
      <c r="F981" s="9"/>
      <c r="G981" s="5"/>
      <c r="H981" s="16"/>
      <c r="I981" s="69"/>
      <c r="J981" s="70"/>
      <c r="K981" s="71"/>
      <c r="L981" s="71"/>
      <c r="M981" s="5"/>
    </row>
    <row r="982" spans="1:13" s="3" customFormat="1">
      <c r="A982" s="1"/>
      <c r="B982" s="8"/>
      <c r="C982" s="5"/>
      <c r="D982" s="12"/>
      <c r="E982" s="9"/>
      <c r="F982" s="9"/>
      <c r="G982" s="5"/>
      <c r="H982" s="16"/>
      <c r="I982" s="69"/>
      <c r="J982" s="70"/>
      <c r="K982" s="71"/>
      <c r="L982" s="71"/>
      <c r="M982" s="5"/>
    </row>
    <row r="983" spans="1:13" s="3" customFormat="1">
      <c r="A983" s="1"/>
      <c r="B983" s="8"/>
      <c r="C983" s="5"/>
      <c r="D983" s="12"/>
      <c r="E983" s="9"/>
      <c r="F983" s="9"/>
      <c r="G983" s="5"/>
      <c r="H983" s="16"/>
      <c r="I983" s="69"/>
      <c r="J983" s="70"/>
      <c r="K983" s="71"/>
      <c r="L983" s="71"/>
      <c r="M983" s="5"/>
    </row>
    <row r="984" spans="1:13" s="3" customFormat="1">
      <c r="A984" s="1"/>
      <c r="B984" s="8"/>
      <c r="C984" s="5"/>
      <c r="D984" s="12"/>
      <c r="E984" s="9"/>
      <c r="F984" s="9"/>
      <c r="G984" s="5"/>
      <c r="H984" s="16"/>
      <c r="I984" s="69"/>
      <c r="J984" s="70"/>
      <c r="K984" s="71"/>
      <c r="L984" s="71"/>
      <c r="M984" s="5"/>
    </row>
    <row r="985" spans="1:13" s="3" customFormat="1">
      <c r="A985" s="1"/>
      <c r="B985" s="8"/>
      <c r="C985" s="5"/>
      <c r="D985" s="12"/>
      <c r="E985" s="9"/>
      <c r="F985" s="9"/>
      <c r="G985" s="5"/>
      <c r="H985" s="16"/>
      <c r="I985" s="69"/>
      <c r="J985" s="70"/>
      <c r="K985" s="71"/>
      <c r="L985" s="71"/>
      <c r="M985" s="5"/>
    </row>
    <row r="986" spans="1:13" s="3" customFormat="1">
      <c r="A986" s="1"/>
      <c r="B986" s="8"/>
      <c r="C986" s="5"/>
      <c r="D986" s="12"/>
      <c r="E986" s="9"/>
      <c r="F986" s="9"/>
      <c r="G986" s="5"/>
      <c r="H986" s="16"/>
      <c r="I986" s="69"/>
      <c r="J986" s="70"/>
      <c r="K986" s="71"/>
      <c r="L986" s="71"/>
      <c r="M986" s="5"/>
    </row>
    <row r="987" spans="1:13" s="3" customFormat="1">
      <c r="A987" s="1"/>
      <c r="B987" s="8"/>
      <c r="C987" s="5"/>
      <c r="D987" s="12"/>
      <c r="E987" s="9"/>
      <c r="F987" s="9"/>
      <c r="G987" s="5"/>
      <c r="H987" s="16"/>
      <c r="I987" s="69"/>
      <c r="J987" s="70"/>
      <c r="K987" s="71"/>
      <c r="L987" s="71"/>
      <c r="M987" s="5"/>
    </row>
    <row r="988" spans="1:13" s="3" customFormat="1">
      <c r="A988" s="1"/>
      <c r="B988" s="8"/>
      <c r="C988" s="5"/>
      <c r="D988" s="12"/>
      <c r="E988" s="9"/>
      <c r="F988" s="9"/>
      <c r="G988" s="5"/>
      <c r="H988" s="16"/>
      <c r="I988" s="69"/>
      <c r="J988" s="70"/>
      <c r="K988" s="71"/>
      <c r="L988" s="71"/>
      <c r="M988" s="5"/>
    </row>
    <row r="989" spans="1:13" s="3" customFormat="1">
      <c r="A989" s="1"/>
      <c r="B989" s="8"/>
      <c r="C989" s="5"/>
      <c r="D989" s="12"/>
      <c r="E989" s="9"/>
      <c r="F989" s="9"/>
      <c r="G989" s="5"/>
      <c r="H989" s="16"/>
      <c r="I989" s="69"/>
      <c r="J989" s="70"/>
      <c r="K989" s="71"/>
      <c r="L989" s="71"/>
      <c r="M989" s="5"/>
    </row>
    <row r="990" spans="1:13" s="3" customFormat="1">
      <c r="A990" s="1"/>
      <c r="B990" s="8"/>
      <c r="C990" s="5"/>
      <c r="D990" s="12"/>
      <c r="E990" s="9"/>
      <c r="F990" s="9"/>
      <c r="G990" s="5"/>
      <c r="H990" s="16"/>
      <c r="I990" s="69"/>
      <c r="J990" s="70"/>
      <c r="K990" s="71"/>
      <c r="L990" s="71"/>
      <c r="M990" s="5"/>
    </row>
    <row r="991" spans="1:13" s="3" customFormat="1">
      <c r="A991" s="1"/>
      <c r="B991" s="8"/>
      <c r="C991" s="5"/>
      <c r="D991" s="12"/>
      <c r="E991" s="9"/>
      <c r="F991" s="9"/>
      <c r="G991" s="5"/>
      <c r="H991" s="16"/>
      <c r="I991" s="69"/>
      <c r="J991" s="70"/>
      <c r="K991" s="71"/>
      <c r="L991" s="71"/>
      <c r="M991" s="5"/>
    </row>
    <row r="992" spans="1:13" s="3" customFormat="1">
      <c r="A992" s="1"/>
      <c r="B992" s="8"/>
      <c r="C992" s="5"/>
      <c r="D992" s="12"/>
      <c r="E992" s="9"/>
      <c r="F992" s="9"/>
      <c r="G992" s="5"/>
      <c r="H992" s="16"/>
      <c r="I992" s="69"/>
      <c r="J992" s="70"/>
      <c r="K992" s="71"/>
      <c r="L992" s="71"/>
      <c r="M992" s="5"/>
    </row>
    <row r="993" spans="1:13" s="3" customFormat="1">
      <c r="A993" s="1"/>
      <c r="B993" s="8"/>
      <c r="C993" s="5"/>
      <c r="D993" s="12"/>
      <c r="E993" s="9"/>
      <c r="F993" s="9"/>
      <c r="G993" s="5"/>
      <c r="H993" s="16"/>
      <c r="I993" s="69"/>
      <c r="J993" s="70"/>
      <c r="K993" s="71"/>
      <c r="L993" s="71"/>
      <c r="M993" s="5"/>
    </row>
    <row r="994" spans="1:13" s="3" customFormat="1">
      <c r="A994" s="1"/>
      <c r="B994" s="8"/>
      <c r="C994" s="5"/>
      <c r="D994" s="12"/>
      <c r="E994" s="9"/>
      <c r="F994" s="9"/>
      <c r="G994" s="5"/>
      <c r="H994" s="16"/>
      <c r="I994" s="69"/>
      <c r="J994" s="70"/>
      <c r="K994" s="71"/>
      <c r="L994" s="71"/>
      <c r="M994" s="5"/>
    </row>
    <row r="995" spans="1:13" s="3" customFormat="1">
      <c r="A995" s="1"/>
      <c r="B995" s="8"/>
      <c r="C995" s="5"/>
      <c r="D995" s="12"/>
      <c r="E995" s="9"/>
      <c r="F995" s="9"/>
      <c r="G995" s="5"/>
      <c r="H995" s="16"/>
      <c r="I995" s="69"/>
      <c r="J995" s="70"/>
      <c r="K995" s="71"/>
      <c r="L995" s="71"/>
      <c r="M995" s="5"/>
    </row>
    <row r="996" spans="1:13" s="3" customFormat="1">
      <c r="A996" s="1"/>
      <c r="B996" s="8"/>
      <c r="C996" s="5"/>
      <c r="D996" s="12"/>
      <c r="E996" s="9"/>
      <c r="F996" s="9"/>
      <c r="G996" s="5"/>
      <c r="H996" s="16"/>
      <c r="I996" s="69"/>
      <c r="J996" s="70"/>
      <c r="K996" s="71"/>
      <c r="L996" s="71"/>
      <c r="M996" s="5"/>
    </row>
    <row r="997" spans="1:13" s="3" customFormat="1">
      <c r="A997" s="1"/>
      <c r="B997" s="8"/>
      <c r="C997" s="5"/>
      <c r="D997" s="12"/>
      <c r="E997" s="9"/>
      <c r="F997" s="9"/>
      <c r="G997" s="5"/>
      <c r="H997" s="16"/>
      <c r="I997" s="69"/>
      <c r="J997" s="70"/>
      <c r="K997" s="71"/>
      <c r="L997" s="71"/>
      <c r="M997" s="5"/>
    </row>
    <row r="998" spans="1:13" s="3" customFormat="1">
      <c r="A998" s="1"/>
      <c r="B998" s="8"/>
      <c r="C998" s="5"/>
      <c r="D998" s="12"/>
      <c r="E998" s="9"/>
      <c r="F998" s="9"/>
      <c r="G998" s="5"/>
      <c r="H998" s="16"/>
      <c r="I998" s="69"/>
      <c r="J998" s="70"/>
      <c r="K998" s="71"/>
      <c r="L998" s="71"/>
      <c r="M998" s="5"/>
    </row>
    <row r="999" spans="1:13" s="3" customFormat="1">
      <c r="A999" s="1"/>
      <c r="B999" s="8"/>
      <c r="C999" s="5"/>
      <c r="D999" s="12"/>
      <c r="E999" s="9"/>
      <c r="F999" s="9"/>
      <c r="G999" s="5"/>
      <c r="H999" s="16"/>
      <c r="I999" s="69"/>
      <c r="J999" s="70"/>
      <c r="K999" s="71"/>
      <c r="L999" s="71"/>
      <c r="M999" s="5"/>
    </row>
    <row r="1000" spans="1:13" s="3" customFormat="1">
      <c r="A1000" s="1"/>
      <c r="B1000" s="8"/>
      <c r="C1000" s="5"/>
      <c r="D1000" s="12"/>
      <c r="E1000" s="9"/>
      <c r="F1000" s="9"/>
      <c r="G1000" s="5"/>
      <c r="H1000" s="16"/>
      <c r="I1000" s="69"/>
      <c r="J1000" s="70"/>
      <c r="K1000" s="71"/>
      <c r="L1000" s="71"/>
      <c r="M1000" s="5"/>
    </row>
    <row r="1001" spans="1:13" s="3" customFormat="1">
      <c r="A1001" s="1"/>
      <c r="B1001" s="8"/>
      <c r="C1001" s="5"/>
      <c r="D1001" s="12"/>
      <c r="E1001" s="9"/>
      <c r="F1001" s="9"/>
      <c r="G1001" s="5"/>
      <c r="H1001" s="16"/>
      <c r="I1001" s="69"/>
      <c r="J1001" s="70"/>
      <c r="K1001" s="71"/>
      <c r="L1001" s="71"/>
      <c r="M1001" s="5"/>
    </row>
    <row r="1002" spans="1:13" s="3" customFormat="1">
      <c r="A1002" s="1"/>
      <c r="B1002" s="8"/>
      <c r="C1002" s="5"/>
      <c r="D1002" s="12"/>
      <c r="E1002" s="9"/>
      <c r="F1002" s="9"/>
      <c r="G1002" s="5"/>
      <c r="H1002" s="16"/>
      <c r="I1002" s="69"/>
      <c r="J1002" s="70"/>
      <c r="K1002" s="71"/>
      <c r="L1002" s="71"/>
      <c r="M1002" s="5"/>
    </row>
    <row r="1003" spans="1:13" s="3" customFormat="1">
      <c r="A1003" s="1"/>
      <c r="B1003" s="8"/>
      <c r="C1003" s="5"/>
      <c r="D1003" s="12"/>
      <c r="E1003" s="9"/>
      <c r="F1003" s="9"/>
      <c r="G1003" s="5"/>
      <c r="H1003" s="16"/>
      <c r="I1003" s="69"/>
      <c r="J1003" s="70"/>
      <c r="K1003" s="71"/>
      <c r="L1003" s="71"/>
      <c r="M1003" s="5"/>
    </row>
    <row r="1004" spans="1:13" s="3" customFormat="1">
      <c r="A1004" s="1"/>
      <c r="B1004" s="8"/>
      <c r="C1004" s="5"/>
      <c r="D1004" s="12"/>
      <c r="E1004" s="9"/>
      <c r="F1004" s="9"/>
      <c r="G1004" s="5"/>
      <c r="H1004" s="16"/>
      <c r="I1004" s="69"/>
      <c r="J1004" s="70"/>
      <c r="K1004" s="71"/>
      <c r="L1004" s="71"/>
      <c r="M1004" s="5"/>
    </row>
    <row r="1005" spans="1:13" s="3" customFormat="1">
      <c r="A1005" s="1"/>
      <c r="B1005" s="8"/>
      <c r="C1005" s="5"/>
      <c r="D1005" s="12"/>
      <c r="E1005" s="9"/>
      <c r="F1005" s="9"/>
      <c r="G1005" s="5"/>
      <c r="H1005" s="16"/>
      <c r="I1005" s="69"/>
      <c r="J1005" s="70"/>
      <c r="K1005" s="71"/>
      <c r="L1005" s="71"/>
      <c r="M1005" s="5"/>
    </row>
    <row r="1006" spans="1:13" s="3" customFormat="1">
      <c r="A1006" s="1"/>
      <c r="B1006" s="8"/>
      <c r="C1006" s="5"/>
      <c r="D1006" s="12"/>
      <c r="E1006" s="9"/>
      <c r="F1006" s="9"/>
      <c r="G1006" s="5"/>
      <c r="H1006" s="16"/>
      <c r="I1006" s="69"/>
      <c r="J1006" s="70"/>
      <c r="K1006" s="71"/>
      <c r="L1006" s="71"/>
      <c r="M1006" s="5"/>
    </row>
    <row r="1007" spans="1:13" s="3" customFormat="1">
      <c r="A1007" s="1"/>
      <c r="B1007" s="8"/>
      <c r="C1007" s="5"/>
      <c r="D1007" s="12"/>
      <c r="E1007" s="9"/>
      <c r="F1007" s="9"/>
      <c r="G1007" s="5"/>
      <c r="H1007" s="16"/>
      <c r="I1007" s="69"/>
      <c r="J1007" s="70"/>
      <c r="K1007" s="71"/>
      <c r="L1007" s="71"/>
      <c r="M1007" s="5"/>
    </row>
    <row r="1008" spans="1:13" s="3" customFormat="1">
      <c r="A1008" s="1"/>
      <c r="B1008" s="8"/>
      <c r="C1008" s="5"/>
      <c r="D1008" s="12"/>
      <c r="E1008" s="9"/>
      <c r="F1008" s="9"/>
      <c r="G1008" s="5"/>
      <c r="H1008" s="16"/>
      <c r="I1008" s="69"/>
      <c r="J1008" s="70"/>
      <c r="K1008" s="71"/>
      <c r="L1008" s="71"/>
      <c r="M1008" s="5"/>
    </row>
    <row r="1009" spans="1:13" s="3" customFormat="1">
      <c r="A1009" s="1"/>
      <c r="B1009" s="8"/>
      <c r="C1009" s="5"/>
      <c r="D1009" s="12"/>
      <c r="E1009" s="9"/>
      <c r="F1009" s="9"/>
      <c r="G1009" s="5"/>
      <c r="H1009" s="16"/>
      <c r="I1009" s="69"/>
      <c r="J1009" s="70"/>
      <c r="K1009" s="71"/>
      <c r="L1009" s="71"/>
      <c r="M1009" s="5"/>
    </row>
    <row r="1010" spans="1:13" s="3" customFormat="1">
      <c r="A1010" s="1"/>
      <c r="B1010" s="8"/>
      <c r="C1010" s="5"/>
      <c r="D1010" s="12"/>
      <c r="E1010" s="9"/>
      <c r="F1010" s="9"/>
      <c r="G1010" s="5"/>
      <c r="H1010" s="16"/>
      <c r="I1010" s="69"/>
      <c r="J1010" s="70"/>
      <c r="K1010" s="71"/>
      <c r="L1010" s="71"/>
      <c r="M1010" s="5"/>
    </row>
    <row r="1011" spans="1:13" s="3" customFormat="1">
      <c r="A1011" s="1"/>
      <c r="B1011" s="8"/>
      <c r="C1011" s="5"/>
      <c r="D1011" s="12"/>
      <c r="E1011" s="9"/>
      <c r="F1011" s="9"/>
      <c r="G1011" s="5"/>
      <c r="H1011" s="16"/>
      <c r="I1011" s="69"/>
      <c r="J1011" s="70"/>
      <c r="K1011" s="71"/>
      <c r="L1011" s="71"/>
      <c r="M1011" s="5"/>
    </row>
    <row r="1012" spans="1:13" s="3" customFormat="1">
      <c r="A1012" s="1"/>
      <c r="B1012" s="8"/>
      <c r="C1012" s="5"/>
      <c r="D1012" s="12"/>
      <c r="E1012" s="9"/>
      <c r="F1012" s="9"/>
      <c r="G1012" s="5"/>
      <c r="H1012" s="16"/>
      <c r="I1012" s="69"/>
      <c r="J1012" s="70"/>
      <c r="K1012" s="71"/>
      <c r="L1012" s="71"/>
      <c r="M1012" s="5"/>
    </row>
    <row r="1013" spans="1:13" s="3" customFormat="1">
      <c r="A1013" s="1"/>
      <c r="B1013" s="8"/>
      <c r="C1013" s="5"/>
      <c r="D1013" s="12"/>
      <c r="E1013" s="9"/>
      <c r="F1013" s="9"/>
      <c r="G1013" s="5"/>
      <c r="H1013" s="16"/>
      <c r="I1013" s="69"/>
      <c r="J1013" s="70"/>
      <c r="K1013" s="71"/>
      <c r="L1013" s="71"/>
      <c r="M1013" s="5"/>
    </row>
    <row r="1014" spans="1:13" s="3" customFormat="1">
      <c r="A1014" s="1"/>
      <c r="B1014" s="8"/>
      <c r="C1014" s="5"/>
      <c r="D1014" s="12"/>
      <c r="E1014" s="9"/>
      <c r="F1014" s="9"/>
      <c r="G1014" s="5"/>
      <c r="H1014" s="16"/>
      <c r="I1014" s="69"/>
      <c r="J1014" s="70"/>
      <c r="K1014" s="71"/>
      <c r="L1014" s="71"/>
      <c r="M1014" s="5"/>
    </row>
    <row r="1015" spans="1:13" s="3" customFormat="1">
      <c r="A1015" s="1"/>
      <c r="B1015" s="8"/>
      <c r="C1015" s="5"/>
      <c r="D1015" s="12"/>
      <c r="E1015" s="9"/>
      <c r="F1015" s="9"/>
      <c r="G1015" s="5"/>
      <c r="H1015" s="16"/>
      <c r="I1015" s="69"/>
      <c r="J1015" s="70"/>
      <c r="K1015" s="71"/>
      <c r="L1015" s="71"/>
      <c r="M1015" s="5"/>
    </row>
    <row r="1016" spans="1:13" s="3" customFormat="1">
      <c r="A1016" s="1"/>
      <c r="B1016" s="8"/>
      <c r="C1016" s="5"/>
      <c r="D1016" s="12"/>
      <c r="E1016" s="9"/>
      <c r="F1016" s="9"/>
      <c r="G1016" s="5"/>
      <c r="H1016" s="16"/>
      <c r="I1016" s="69"/>
      <c r="J1016" s="70"/>
      <c r="K1016" s="71"/>
      <c r="L1016" s="71"/>
      <c r="M1016" s="5"/>
    </row>
    <row r="1017" spans="1:13" s="3" customFormat="1">
      <c r="A1017" s="1"/>
      <c r="B1017" s="8"/>
      <c r="C1017" s="5"/>
      <c r="D1017" s="12"/>
      <c r="E1017" s="9"/>
      <c r="F1017" s="9"/>
      <c r="G1017" s="5"/>
      <c r="H1017" s="16"/>
      <c r="I1017" s="69"/>
      <c r="J1017" s="70"/>
      <c r="K1017" s="71"/>
      <c r="L1017" s="71"/>
      <c r="M1017" s="5"/>
    </row>
    <row r="1018" spans="1:13" s="3" customFormat="1">
      <c r="A1018" s="1"/>
      <c r="B1018" s="8"/>
      <c r="C1018" s="5"/>
      <c r="D1018" s="12"/>
      <c r="E1018" s="9"/>
      <c r="F1018" s="9"/>
      <c r="G1018" s="5"/>
      <c r="H1018" s="16"/>
      <c r="I1018" s="69"/>
      <c r="J1018" s="70"/>
      <c r="K1018" s="71"/>
      <c r="L1018" s="71"/>
      <c r="M1018" s="5"/>
    </row>
    <row r="1019" spans="1:13" s="3" customFormat="1">
      <c r="A1019" s="1"/>
      <c r="B1019" s="8"/>
      <c r="C1019" s="5"/>
      <c r="D1019" s="12"/>
      <c r="E1019" s="9"/>
      <c r="F1019" s="9"/>
      <c r="G1019" s="5"/>
      <c r="H1019" s="16"/>
      <c r="I1019" s="69"/>
      <c r="J1019" s="70"/>
      <c r="K1019" s="71"/>
      <c r="L1019" s="71"/>
      <c r="M1019" s="5"/>
    </row>
    <row r="1020" spans="1:13" s="3" customFormat="1">
      <c r="A1020" s="1"/>
      <c r="B1020" s="8"/>
      <c r="C1020" s="5"/>
      <c r="D1020" s="12"/>
      <c r="E1020" s="9"/>
      <c r="F1020" s="9"/>
      <c r="G1020" s="5"/>
      <c r="H1020" s="16"/>
      <c r="I1020" s="69"/>
      <c r="J1020" s="70"/>
      <c r="K1020" s="71"/>
      <c r="L1020" s="71"/>
      <c r="M1020" s="5"/>
    </row>
    <row r="1021" spans="1:13" s="3" customFormat="1">
      <c r="A1021" s="1"/>
      <c r="B1021" s="8"/>
      <c r="C1021" s="5"/>
      <c r="D1021" s="12"/>
      <c r="E1021" s="9"/>
      <c r="F1021" s="9"/>
      <c r="G1021" s="5"/>
      <c r="H1021" s="16"/>
      <c r="I1021" s="69"/>
      <c r="J1021" s="70"/>
      <c r="K1021" s="71"/>
      <c r="L1021" s="71"/>
      <c r="M1021" s="5"/>
    </row>
    <row r="1022" spans="1:13" s="3" customFormat="1">
      <c r="A1022" s="1"/>
      <c r="B1022" s="8"/>
      <c r="C1022" s="5"/>
      <c r="D1022" s="12"/>
      <c r="E1022" s="23"/>
      <c r="F1022" s="9"/>
      <c r="G1022" s="5"/>
      <c r="H1022" s="16"/>
      <c r="I1022" s="69"/>
      <c r="J1022" s="70"/>
      <c r="K1022" s="71"/>
      <c r="L1022" s="71"/>
      <c r="M1022" s="5"/>
    </row>
    <row r="1023" spans="1:13" s="3" customFormat="1">
      <c r="A1023" s="1"/>
      <c r="B1023" s="8"/>
      <c r="C1023" s="5"/>
      <c r="D1023" s="12"/>
      <c r="E1023" s="23"/>
      <c r="F1023" s="9"/>
      <c r="G1023" s="5"/>
      <c r="H1023" s="16"/>
      <c r="I1023" s="69"/>
      <c r="J1023" s="70"/>
      <c r="K1023" s="71"/>
      <c r="L1023" s="71"/>
      <c r="M1023" s="5"/>
    </row>
    <row r="1024" spans="1:13" s="3" customFormat="1">
      <c r="A1024" s="1"/>
      <c r="B1024" s="8"/>
      <c r="C1024" s="5"/>
      <c r="D1024" s="12"/>
      <c r="E1024" s="23"/>
      <c r="F1024" s="9"/>
      <c r="G1024" s="5"/>
      <c r="H1024" s="16"/>
      <c r="I1024" s="69"/>
      <c r="J1024" s="70"/>
      <c r="K1024" s="71"/>
      <c r="L1024" s="71"/>
      <c r="M1024" s="5"/>
    </row>
    <row r="1025" spans="1:13" s="3" customFormat="1">
      <c r="A1025" s="1"/>
      <c r="B1025" s="8"/>
      <c r="C1025" s="5"/>
      <c r="D1025" s="12"/>
      <c r="E1025" s="23"/>
      <c r="F1025" s="9"/>
      <c r="G1025" s="5"/>
      <c r="H1025" s="16"/>
      <c r="I1025" s="69"/>
      <c r="J1025" s="70"/>
      <c r="K1025" s="71"/>
      <c r="L1025" s="71"/>
      <c r="M1025" s="5"/>
    </row>
    <row r="1026" spans="1:13" s="3" customFormat="1">
      <c r="A1026" s="1"/>
      <c r="B1026" s="8"/>
      <c r="C1026" s="5"/>
      <c r="D1026" s="12"/>
      <c r="E1026" s="23"/>
      <c r="F1026" s="9"/>
      <c r="G1026" s="5"/>
      <c r="H1026" s="16"/>
      <c r="I1026" s="69"/>
      <c r="J1026" s="70"/>
      <c r="K1026" s="71"/>
      <c r="L1026" s="71"/>
      <c r="M1026" s="5"/>
    </row>
    <row r="1027" spans="1:13" s="3" customFormat="1">
      <c r="A1027" s="1"/>
      <c r="B1027" s="8"/>
      <c r="C1027" s="5"/>
      <c r="D1027" s="12"/>
      <c r="E1027" s="23"/>
      <c r="F1027" s="9"/>
      <c r="G1027" s="5"/>
      <c r="H1027" s="16"/>
      <c r="I1027" s="69"/>
      <c r="J1027" s="70"/>
      <c r="K1027" s="71"/>
      <c r="L1027" s="71"/>
      <c r="M1027" s="5"/>
    </row>
    <row r="1028" spans="1:13" s="3" customFormat="1">
      <c r="A1028" s="1"/>
      <c r="B1028" s="8"/>
      <c r="C1028" s="5"/>
      <c r="D1028" s="12"/>
      <c r="E1028" s="23"/>
      <c r="F1028" s="9"/>
      <c r="G1028" s="5"/>
      <c r="H1028" s="16"/>
      <c r="I1028" s="69"/>
      <c r="J1028" s="70"/>
      <c r="K1028" s="71"/>
      <c r="L1028" s="71"/>
      <c r="M1028" s="5"/>
    </row>
    <row r="1029" spans="1:13" s="3" customFormat="1">
      <c r="A1029" s="1"/>
      <c r="B1029" s="8"/>
      <c r="C1029" s="5"/>
      <c r="D1029" s="12"/>
      <c r="E1029" s="23"/>
      <c r="F1029" s="9"/>
      <c r="G1029" s="5"/>
      <c r="H1029" s="16"/>
      <c r="I1029" s="69"/>
      <c r="J1029" s="70"/>
      <c r="K1029" s="71"/>
      <c r="L1029" s="71"/>
      <c r="M1029" s="5"/>
    </row>
    <row r="1030" spans="1:13" s="3" customFormat="1">
      <c r="A1030" s="1"/>
      <c r="B1030" s="8"/>
      <c r="C1030" s="5"/>
      <c r="D1030" s="12"/>
      <c r="E1030" s="23"/>
      <c r="F1030" s="9"/>
      <c r="G1030" s="5"/>
      <c r="H1030" s="16"/>
      <c r="I1030" s="69"/>
      <c r="J1030" s="70"/>
      <c r="K1030" s="71"/>
      <c r="L1030" s="71"/>
      <c r="M1030" s="5"/>
    </row>
    <row r="1031" spans="1:13" s="3" customFormat="1">
      <c r="A1031" s="1"/>
      <c r="B1031" s="8"/>
      <c r="C1031" s="5"/>
      <c r="D1031" s="12"/>
      <c r="E1031" s="23"/>
      <c r="F1031" s="9"/>
      <c r="G1031" s="5"/>
      <c r="H1031" s="16"/>
      <c r="I1031" s="69"/>
      <c r="J1031" s="70"/>
      <c r="K1031" s="71"/>
      <c r="L1031" s="71"/>
      <c r="M1031" s="5"/>
    </row>
    <row r="1032" spans="1:13" s="3" customFormat="1">
      <c r="A1032" s="1"/>
      <c r="B1032" s="8"/>
      <c r="C1032" s="5"/>
      <c r="D1032" s="12"/>
      <c r="E1032" s="23"/>
      <c r="F1032" s="9"/>
      <c r="G1032" s="5"/>
      <c r="H1032" s="16"/>
      <c r="I1032" s="69"/>
      <c r="J1032" s="70"/>
      <c r="K1032" s="71"/>
      <c r="L1032" s="71"/>
      <c r="M1032" s="5"/>
    </row>
    <row r="1033" spans="1:13" s="3" customFormat="1">
      <c r="A1033" s="1"/>
      <c r="B1033" s="8"/>
      <c r="C1033" s="5"/>
      <c r="D1033" s="12"/>
      <c r="E1033" s="23"/>
      <c r="F1033" s="9"/>
      <c r="G1033" s="5"/>
      <c r="H1033" s="16"/>
      <c r="I1033" s="69"/>
      <c r="J1033" s="70"/>
      <c r="K1033" s="71"/>
      <c r="L1033" s="71"/>
      <c r="M1033" s="5"/>
    </row>
    <row r="1034" spans="1:13" s="3" customFormat="1">
      <c r="A1034" s="1"/>
      <c r="B1034" s="8"/>
      <c r="C1034" s="5"/>
      <c r="D1034" s="12"/>
      <c r="E1034" s="23"/>
      <c r="F1034" s="9"/>
      <c r="G1034" s="5"/>
      <c r="H1034" s="16"/>
      <c r="I1034" s="69"/>
      <c r="J1034" s="70"/>
      <c r="K1034" s="71"/>
      <c r="L1034" s="71"/>
      <c r="M1034" s="5"/>
    </row>
    <row r="1035" spans="1:13" s="3" customFormat="1">
      <c r="A1035" s="1"/>
      <c r="B1035" s="8"/>
      <c r="C1035" s="5"/>
      <c r="D1035" s="12"/>
      <c r="E1035" s="23"/>
      <c r="F1035" s="9"/>
      <c r="G1035" s="5"/>
      <c r="H1035" s="16"/>
      <c r="I1035" s="69"/>
      <c r="J1035" s="70"/>
      <c r="K1035" s="71"/>
      <c r="L1035" s="71"/>
      <c r="M1035" s="5"/>
    </row>
    <row r="1036" spans="1:13" s="3" customFormat="1">
      <c r="A1036" s="1"/>
      <c r="B1036" s="8"/>
      <c r="C1036" s="5"/>
      <c r="D1036" s="12"/>
      <c r="E1036" s="23"/>
      <c r="F1036" s="9"/>
      <c r="G1036" s="5"/>
      <c r="H1036" s="16"/>
      <c r="I1036" s="69"/>
      <c r="J1036" s="70"/>
      <c r="K1036" s="71"/>
      <c r="L1036" s="71"/>
      <c r="M1036" s="5"/>
    </row>
    <row r="1037" spans="1:13" s="3" customFormat="1">
      <c r="A1037" s="1"/>
      <c r="B1037" s="8"/>
      <c r="C1037" s="5"/>
      <c r="D1037" s="12"/>
      <c r="E1037" s="23"/>
      <c r="F1037" s="9"/>
      <c r="G1037" s="5"/>
      <c r="H1037" s="16"/>
      <c r="I1037" s="69"/>
      <c r="J1037" s="70"/>
      <c r="K1037" s="71"/>
      <c r="L1037" s="71"/>
      <c r="M1037" s="5"/>
    </row>
    <row r="1038" spans="1:13" s="3" customFormat="1">
      <c r="A1038" s="1"/>
      <c r="B1038" s="8"/>
      <c r="C1038" s="5"/>
      <c r="D1038" s="12"/>
      <c r="E1038" s="23"/>
      <c r="F1038" s="9"/>
      <c r="G1038" s="5"/>
      <c r="H1038" s="16"/>
      <c r="I1038" s="69"/>
      <c r="J1038" s="70"/>
      <c r="K1038" s="71"/>
      <c r="L1038" s="71"/>
      <c r="M1038" s="5"/>
    </row>
    <row r="1039" spans="1:13" s="3" customFormat="1">
      <c r="A1039" s="1"/>
      <c r="B1039" s="8"/>
      <c r="C1039" s="5"/>
      <c r="D1039" s="12"/>
      <c r="E1039" s="23"/>
      <c r="F1039" s="9"/>
      <c r="G1039" s="5"/>
      <c r="H1039" s="16"/>
      <c r="I1039" s="69"/>
      <c r="J1039" s="70"/>
      <c r="K1039" s="71"/>
      <c r="L1039" s="71"/>
      <c r="M1039" s="5"/>
    </row>
    <row r="1040" spans="1:13" s="3" customFormat="1">
      <c r="A1040" s="1"/>
      <c r="B1040" s="8"/>
      <c r="C1040" s="5"/>
      <c r="D1040" s="12"/>
      <c r="E1040" s="23"/>
      <c r="F1040" s="9"/>
      <c r="G1040" s="5"/>
      <c r="H1040" s="16"/>
      <c r="I1040" s="69"/>
      <c r="J1040" s="70"/>
      <c r="K1040" s="71"/>
      <c r="L1040" s="71"/>
      <c r="M1040" s="5"/>
    </row>
    <row r="1041" spans="1:13" s="3" customFormat="1">
      <c r="A1041" s="1"/>
      <c r="B1041" s="8"/>
      <c r="C1041" s="5"/>
      <c r="D1041" s="12"/>
      <c r="E1041" s="23"/>
      <c r="F1041" s="9"/>
      <c r="G1041" s="5"/>
      <c r="H1041" s="16"/>
      <c r="I1041" s="69"/>
      <c r="J1041" s="70"/>
      <c r="K1041" s="71"/>
      <c r="L1041" s="71"/>
      <c r="M1041" s="5"/>
    </row>
    <row r="1042" spans="1:13" s="3" customFormat="1">
      <c r="A1042" s="1"/>
      <c r="B1042" s="8"/>
      <c r="C1042" s="5"/>
      <c r="D1042" s="12"/>
      <c r="E1042" s="23"/>
      <c r="F1042" s="9"/>
      <c r="G1042" s="5"/>
      <c r="H1042" s="16"/>
      <c r="I1042" s="69"/>
      <c r="J1042" s="70"/>
      <c r="K1042" s="71"/>
      <c r="L1042" s="71"/>
      <c r="M1042" s="5"/>
    </row>
    <row r="1043" spans="1:13" s="3" customFormat="1">
      <c r="A1043" s="1"/>
      <c r="B1043" s="8"/>
      <c r="C1043" s="5"/>
      <c r="D1043" s="12"/>
      <c r="E1043" s="23"/>
      <c r="F1043" s="9"/>
      <c r="G1043" s="5"/>
      <c r="H1043" s="16"/>
      <c r="I1043" s="69"/>
      <c r="J1043" s="70"/>
      <c r="K1043" s="71"/>
      <c r="L1043" s="71"/>
      <c r="M1043" s="5"/>
    </row>
    <row r="1044" spans="1:13" s="3" customFormat="1">
      <c r="A1044" s="1"/>
      <c r="B1044" s="8"/>
      <c r="C1044" s="5"/>
      <c r="D1044" s="12"/>
      <c r="E1044" s="23"/>
      <c r="F1044" s="9"/>
      <c r="G1044" s="5"/>
      <c r="H1044" s="16"/>
      <c r="I1044" s="69"/>
      <c r="J1044" s="70"/>
      <c r="K1044" s="71"/>
      <c r="L1044" s="71"/>
      <c r="M1044" s="5"/>
    </row>
    <row r="1045" spans="1:13" s="3" customFormat="1">
      <c r="A1045" s="1"/>
      <c r="B1045" s="8"/>
      <c r="C1045" s="5"/>
      <c r="D1045" s="12"/>
      <c r="E1045" s="23"/>
      <c r="F1045" s="9"/>
      <c r="G1045" s="5"/>
      <c r="H1045" s="16"/>
      <c r="I1045" s="69"/>
      <c r="J1045" s="70"/>
      <c r="K1045" s="71"/>
      <c r="L1045" s="71"/>
      <c r="M1045" s="5"/>
    </row>
    <row r="1046" spans="1:13" s="3" customFormat="1">
      <c r="A1046" s="1"/>
      <c r="B1046" s="8"/>
      <c r="C1046" s="5"/>
      <c r="D1046" s="12"/>
      <c r="E1046" s="23"/>
      <c r="F1046" s="9"/>
      <c r="G1046" s="5"/>
      <c r="H1046" s="16"/>
      <c r="I1046" s="69"/>
      <c r="J1046" s="70"/>
      <c r="K1046" s="71"/>
      <c r="L1046" s="71"/>
      <c r="M1046" s="5"/>
    </row>
    <row r="1047" spans="1:13" s="3" customFormat="1">
      <c r="A1047" s="1"/>
      <c r="B1047" s="8"/>
      <c r="C1047" s="5"/>
      <c r="D1047" s="12"/>
      <c r="E1047" s="23"/>
      <c r="F1047" s="9"/>
      <c r="G1047" s="5"/>
      <c r="H1047" s="16"/>
      <c r="I1047" s="69"/>
      <c r="J1047" s="70"/>
      <c r="K1047" s="71"/>
      <c r="L1047" s="71"/>
      <c r="M1047" s="5"/>
    </row>
    <row r="1048" spans="1:13" s="3" customFormat="1">
      <c r="A1048" s="1"/>
      <c r="B1048" s="8"/>
      <c r="C1048" s="5"/>
      <c r="D1048" s="12"/>
      <c r="E1048" s="23"/>
      <c r="F1048" s="9"/>
      <c r="G1048" s="5"/>
      <c r="H1048" s="16"/>
      <c r="I1048" s="69"/>
      <c r="J1048" s="70"/>
      <c r="K1048" s="71"/>
      <c r="L1048" s="71"/>
      <c r="M1048" s="5"/>
    </row>
    <row r="1049" spans="1:13" s="3" customFormat="1">
      <c r="A1049" s="1"/>
      <c r="B1049" s="8"/>
      <c r="C1049" s="5"/>
      <c r="D1049" s="12"/>
      <c r="E1049" s="23"/>
      <c r="F1049" s="9"/>
      <c r="G1049" s="5"/>
      <c r="H1049" s="16"/>
      <c r="I1049" s="69"/>
      <c r="J1049" s="70"/>
      <c r="K1049" s="71"/>
      <c r="L1049" s="71"/>
      <c r="M1049" s="5"/>
    </row>
    <row r="1050" spans="1:13" s="3" customFormat="1">
      <c r="A1050" s="1"/>
      <c r="B1050" s="8"/>
      <c r="C1050" s="5"/>
      <c r="D1050" s="12"/>
      <c r="E1050" s="23"/>
      <c r="F1050" s="9"/>
      <c r="G1050" s="5"/>
      <c r="H1050" s="16"/>
      <c r="I1050" s="69"/>
      <c r="J1050" s="70"/>
      <c r="K1050" s="71"/>
      <c r="L1050" s="71"/>
      <c r="M1050" s="5"/>
    </row>
    <row r="1051" spans="1:13" s="3" customFormat="1">
      <c r="A1051" s="1"/>
      <c r="B1051" s="8"/>
      <c r="C1051" s="5"/>
      <c r="D1051" s="12"/>
      <c r="E1051" s="23"/>
      <c r="F1051" s="9"/>
      <c r="G1051" s="5"/>
      <c r="H1051" s="16"/>
      <c r="I1051" s="69"/>
      <c r="J1051" s="70"/>
      <c r="K1051" s="71"/>
      <c r="L1051" s="71"/>
      <c r="M1051" s="5"/>
    </row>
    <row r="1052" spans="1:13" s="3" customFormat="1">
      <c r="A1052" s="1"/>
      <c r="B1052" s="8"/>
      <c r="C1052" s="5"/>
      <c r="D1052" s="12"/>
      <c r="E1052" s="23"/>
      <c r="F1052" s="9"/>
      <c r="G1052" s="5"/>
      <c r="H1052" s="16"/>
      <c r="I1052" s="69"/>
      <c r="J1052" s="70"/>
      <c r="K1052" s="71"/>
      <c r="L1052" s="71"/>
      <c r="M1052" s="5"/>
    </row>
    <row r="1053" spans="1:13" s="3" customFormat="1">
      <c r="A1053" s="1"/>
      <c r="B1053" s="8"/>
      <c r="C1053" s="5"/>
      <c r="D1053" s="12"/>
      <c r="E1053" s="23"/>
      <c r="F1053" s="9"/>
      <c r="G1053" s="5"/>
      <c r="H1053" s="16"/>
      <c r="I1053" s="69"/>
      <c r="J1053" s="70"/>
      <c r="K1053" s="71"/>
      <c r="L1053" s="71"/>
      <c r="M1053" s="5"/>
    </row>
    <row r="1054" spans="1:13" s="3" customFormat="1">
      <c r="A1054" s="1"/>
      <c r="B1054" s="8"/>
      <c r="C1054" s="5"/>
      <c r="D1054" s="12"/>
      <c r="E1054" s="23"/>
      <c r="F1054" s="9"/>
      <c r="G1054" s="5"/>
      <c r="H1054" s="16"/>
      <c r="I1054" s="69"/>
      <c r="J1054" s="70"/>
      <c r="K1054" s="71"/>
      <c r="L1054" s="71"/>
      <c r="M1054" s="5"/>
    </row>
    <row r="1055" spans="1:13" s="3" customFormat="1">
      <c r="A1055" s="1"/>
      <c r="B1055" s="8"/>
      <c r="C1055" s="5"/>
      <c r="D1055" s="12"/>
      <c r="E1055" s="23"/>
      <c r="F1055" s="9"/>
      <c r="G1055" s="5"/>
      <c r="H1055" s="16"/>
      <c r="I1055" s="69"/>
      <c r="J1055" s="70"/>
      <c r="K1055" s="71"/>
      <c r="L1055" s="71"/>
      <c r="M1055" s="5"/>
    </row>
    <row r="1056" spans="1:13" s="3" customFormat="1">
      <c r="A1056" s="1"/>
      <c r="B1056" s="8"/>
      <c r="C1056" s="5"/>
      <c r="D1056" s="12"/>
      <c r="E1056" s="23"/>
      <c r="F1056" s="9"/>
      <c r="G1056" s="5"/>
      <c r="H1056" s="16"/>
      <c r="I1056" s="69"/>
      <c r="J1056" s="70"/>
      <c r="K1056" s="71"/>
      <c r="L1056" s="71"/>
      <c r="M1056" s="5"/>
    </row>
    <row r="1057" spans="1:13" s="3" customFormat="1">
      <c r="A1057" s="1"/>
      <c r="B1057" s="8"/>
      <c r="C1057" s="5"/>
      <c r="D1057" s="12"/>
      <c r="E1057" s="23"/>
      <c r="F1057" s="9"/>
      <c r="G1057" s="5"/>
      <c r="H1057" s="16"/>
      <c r="I1057" s="69"/>
      <c r="J1057" s="70"/>
      <c r="K1057" s="71"/>
      <c r="L1057" s="71"/>
      <c r="M1057" s="5"/>
    </row>
    <row r="1058" spans="1:13" s="3" customFormat="1">
      <c r="A1058" s="1"/>
      <c r="B1058" s="8"/>
      <c r="C1058" s="5"/>
      <c r="D1058" s="12"/>
      <c r="E1058" s="23"/>
      <c r="F1058" s="9"/>
      <c r="G1058" s="5"/>
      <c r="H1058" s="16"/>
      <c r="I1058" s="69"/>
      <c r="J1058" s="70"/>
      <c r="K1058" s="71"/>
      <c r="L1058" s="71"/>
      <c r="M1058" s="5"/>
    </row>
    <row r="1059" spans="1:13" s="3" customFormat="1">
      <c r="A1059" s="1"/>
      <c r="B1059" s="8"/>
      <c r="C1059" s="5"/>
      <c r="D1059" s="12"/>
      <c r="E1059" s="23"/>
      <c r="F1059" s="9"/>
      <c r="G1059" s="5"/>
      <c r="H1059" s="16"/>
      <c r="I1059" s="69"/>
      <c r="J1059" s="70"/>
      <c r="K1059" s="71"/>
      <c r="L1059" s="71"/>
      <c r="M1059" s="5"/>
    </row>
    <row r="1060" spans="1:13" s="3" customFormat="1">
      <c r="A1060" s="1"/>
      <c r="B1060" s="8"/>
      <c r="C1060" s="5"/>
      <c r="D1060" s="12"/>
      <c r="E1060" s="23"/>
      <c r="F1060" s="9"/>
      <c r="G1060" s="5"/>
      <c r="H1060" s="16"/>
      <c r="I1060" s="69"/>
      <c r="J1060" s="70"/>
      <c r="K1060" s="71"/>
      <c r="L1060" s="71"/>
      <c r="M1060" s="5"/>
    </row>
    <row r="1061" spans="1:13" s="3" customFormat="1">
      <c r="A1061" s="1"/>
      <c r="B1061" s="8"/>
      <c r="C1061" s="5"/>
      <c r="D1061" s="12"/>
      <c r="E1061" s="23"/>
      <c r="F1061" s="9"/>
      <c r="G1061" s="5"/>
      <c r="H1061" s="16"/>
      <c r="I1061" s="69"/>
      <c r="J1061" s="70"/>
      <c r="K1061" s="71"/>
      <c r="L1061" s="71"/>
      <c r="M1061" s="5"/>
    </row>
    <row r="1062" spans="1:13" s="3" customFormat="1">
      <c r="A1062" s="1"/>
      <c r="B1062" s="8"/>
      <c r="C1062" s="5"/>
      <c r="D1062" s="12"/>
      <c r="E1062" s="23"/>
      <c r="F1062" s="9"/>
      <c r="G1062" s="5"/>
      <c r="H1062" s="16"/>
      <c r="I1062" s="69"/>
      <c r="J1062" s="70"/>
      <c r="K1062" s="71"/>
      <c r="L1062" s="71"/>
      <c r="M1062" s="5"/>
    </row>
    <row r="1063" spans="1:13" s="3" customFormat="1">
      <c r="A1063" s="1"/>
      <c r="B1063" s="8"/>
      <c r="C1063" s="5"/>
      <c r="D1063" s="12"/>
      <c r="E1063" s="23"/>
      <c r="F1063" s="9"/>
      <c r="G1063" s="5"/>
      <c r="H1063" s="16"/>
      <c r="I1063" s="69"/>
      <c r="J1063" s="70"/>
      <c r="K1063" s="71"/>
      <c r="L1063" s="71"/>
      <c r="M1063" s="5"/>
    </row>
    <row r="1064" spans="1:13" s="3" customFormat="1">
      <c r="A1064" s="1"/>
      <c r="B1064" s="8"/>
      <c r="C1064" s="5"/>
      <c r="D1064" s="12"/>
      <c r="E1064" s="23"/>
      <c r="F1064" s="9"/>
      <c r="G1064" s="5"/>
      <c r="H1064" s="16"/>
      <c r="I1064" s="69"/>
      <c r="J1064" s="70"/>
      <c r="K1064" s="71"/>
      <c r="L1064" s="71"/>
      <c r="M1064" s="5"/>
    </row>
    <row r="1065" spans="1:13" s="3" customFormat="1">
      <c r="A1065" s="1"/>
      <c r="B1065" s="8"/>
      <c r="C1065" s="5"/>
      <c r="D1065" s="12"/>
      <c r="E1065" s="23"/>
      <c r="F1065" s="9"/>
      <c r="G1065" s="5"/>
      <c r="H1065" s="16"/>
      <c r="I1065" s="69"/>
      <c r="J1065" s="70"/>
      <c r="K1065" s="71"/>
      <c r="L1065" s="71"/>
      <c r="M1065" s="5"/>
    </row>
    <row r="1066" spans="1:13" s="3" customFormat="1">
      <c r="A1066" s="1"/>
      <c r="B1066" s="8"/>
      <c r="C1066" s="5"/>
      <c r="D1066" s="12"/>
      <c r="E1066" s="23"/>
      <c r="F1066" s="9"/>
      <c r="G1066" s="5"/>
      <c r="H1066" s="16"/>
      <c r="I1066" s="69"/>
      <c r="J1066" s="70"/>
      <c r="K1066" s="71"/>
      <c r="L1066" s="71"/>
      <c r="M1066" s="5"/>
    </row>
    <row r="1067" spans="1:13" s="3" customFormat="1">
      <c r="A1067" s="1"/>
      <c r="B1067" s="8"/>
      <c r="C1067" s="5"/>
      <c r="D1067" s="12"/>
      <c r="E1067" s="23"/>
      <c r="F1067" s="9"/>
      <c r="G1067" s="5"/>
      <c r="H1067" s="16"/>
      <c r="I1067" s="69"/>
      <c r="J1067" s="70"/>
      <c r="K1067" s="71"/>
      <c r="L1067" s="71"/>
      <c r="M1067" s="5"/>
    </row>
    <row r="1068" spans="1:13" s="3" customFormat="1">
      <c r="A1068" s="1"/>
      <c r="B1068" s="8"/>
      <c r="C1068" s="5"/>
      <c r="D1068" s="12"/>
      <c r="E1068" s="23"/>
      <c r="F1068" s="9"/>
      <c r="G1068" s="5"/>
      <c r="H1068" s="16"/>
      <c r="I1068" s="69"/>
      <c r="J1068" s="70"/>
      <c r="K1068" s="71"/>
      <c r="L1068" s="71"/>
      <c r="M1068" s="5"/>
    </row>
    <row r="1069" spans="1:13" s="3" customFormat="1">
      <c r="A1069" s="1"/>
      <c r="B1069" s="8"/>
      <c r="C1069" s="5"/>
      <c r="D1069" s="12"/>
      <c r="E1069" s="23"/>
      <c r="F1069" s="9"/>
      <c r="G1069" s="5"/>
      <c r="H1069" s="16"/>
      <c r="I1069" s="69"/>
      <c r="J1069" s="70"/>
      <c r="K1069" s="71"/>
      <c r="L1069" s="71"/>
      <c r="M1069" s="5"/>
    </row>
    <row r="1070" spans="1:13" s="3" customFormat="1">
      <c r="A1070" s="1"/>
      <c r="B1070" s="8"/>
      <c r="C1070" s="5"/>
      <c r="D1070" s="12"/>
      <c r="E1070" s="23"/>
      <c r="F1070" s="9"/>
      <c r="G1070" s="5"/>
      <c r="H1070" s="16"/>
      <c r="I1070" s="69"/>
      <c r="J1070" s="70"/>
      <c r="K1070" s="71"/>
      <c r="L1070" s="71"/>
      <c r="M1070" s="5"/>
    </row>
    <row r="1071" spans="1:13" s="3" customFormat="1">
      <c r="A1071" s="1"/>
      <c r="B1071" s="8"/>
      <c r="C1071" s="5"/>
      <c r="D1071" s="12"/>
      <c r="E1071" s="23"/>
      <c r="F1071" s="9"/>
      <c r="G1071" s="5"/>
      <c r="H1071" s="16"/>
      <c r="I1071" s="69"/>
      <c r="J1071" s="70"/>
      <c r="K1071" s="71"/>
      <c r="L1071" s="71"/>
      <c r="M1071" s="5"/>
    </row>
    <row r="1072" spans="1:13" s="3" customFormat="1">
      <c r="A1072" s="1"/>
      <c r="B1072" s="8"/>
      <c r="C1072" s="5"/>
      <c r="D1072" s="12"/>
      <c r="E1072" s="23"/>
      <c r="F1072" s="9"/>
      <c r="G1072" s="5"/>
      <c r="H1072" s="16"/>
      <c r="I1072" s="69"/>
      <c r="J1072" s="70"/>
      <c r="K1072" s="71"/>
      <c r="L1072" s="71"/>
      <c r="M1072" s="5"/>
    </row>
    <row r="1073" spans="1:13" s="3" customFormat="1">
      <c r="A1073" s="1"/>
      <c r="B1073" s="8"/>
      <c r="C1073" s="5"/>
      <c r="D1073" s="12"/>
      <c r="E1073" s="23"/>
      <c r="F1073" s="9"/>
      <c r="G1073" s="5"/>
      <c r="H1073" s="16"/>
      <c r="I1073" s="69"/>
      <c r="J1073" s="70"/>
      <c r="K1073" s="71"/>
      <c r="L1073" s="71"/>
      <c r="M1073" s="5"/>
    </row>
    <row r="1074" spans="1:13" s="3" customFormat="1">
      <c r="A1074" s="1"/>
      <c r="B1074" s="8"/>
      <c r="C1074" s="5"/>
      <c r="D1074" s="12"/>
      <c r="E1074" s="23"/>
      <c r="F1074" s="9"/>
      <c r="G1074" s="5"/>
      <c r="H1074" s="16"/>
      <c r="I1074" s="69"/>
      <c r="J1074" s="70"/>
      <c r="K1074" s="71"/>
      <c r="L1074" s="71"/>
      <c r="M1074" s="5"/>
    </row>
    <row r="1075" spans="1:13" s="3" customFormat="1">
      <c r="A1075" s="1"/>
      <c r="B1075" s="8"/>
      <c r="C1075" s="5"/>
      <c r="D1075" s="12"/>
      <c r="E1075" s="23"/>
      <c r="F1075" s="9"/>
      <c r="G1075" s="5"/>
      <c r="H1075" s="16"/>
      <c r="I1075" s="69"/>
      <c r="J1075" s="70"/>
      <c r="K1075" s="71"/>
      <c r="L1075" s="71"/>
      <c r="M1075" s="5"/>
    </row>
    <row r="1076" spans="1:13" s="3" customFormat="1">
      <c r="A1076" s="1"/>
      <c r="B1076" s="8"/>
      <c r="C1076" s="5"/>
      <c r="D1076" s="12"/>
      <c r="E1076" s="23"/>
      <c r="F1076" s="9"/>
      <c r="G1076" s="5"/>
      <c r="H1076" s="16"/>
      <c r="I1076" s="69"/>
      <c r="J1076" s="70"/>
      <c r="K1076" s="71"/>
      <c r="L1076" s="71"/>
      <c r="M1076" s="5"/>
    </row>
    <row r="1077" spans="1:13" s="3" customFormat="1">
      <c r="A1077" s="1"/>
      <c r="B1077" s="8"/>
      <c r="C1077" s="5"/>
      <c r="D1077" s="12"/>
      <c r="E1077" s="23"/>
      <c r="F1077" s="9"/>
      <c r="G1077" s="5"/>
      <c r="H1077" s="16"/>
      <c r="I1077" s="69"/>
      <c r="J1077" s="70"/>
      <c r="K1077" s="71"/>
      <c r="L1077" s="71"/>
      <c r="M1077" s="5"/>
    </row>
    <row r="1078" spans="1:13" s="3" customFormat="1">
      <c r="A1078" s="1"/>
      <c r="B1078" s="8"/>
      <c r="C1078" s="5"/>
      <c r="D1078" s="12"/>
      <c r="E1078" s="23"/>
      <c r="F1078" s="9"/>
      <c r="G1078" s="5"/>
      <c r="H1078" s="16"/>
      <c r="I1078" s="69"/>
      <c r="J1078" s="70"/>
      <c r="K1078" s="71"/>
      <c r="L1078" s="71"/>
      <c r="M1078" s="5"/>
    </row>
    <row r="1079" spans="1:13" s="3" customFormat="1">
      <c r="A1079" s="1"/>
      <c r="B1079" s="8"/>
      <c r="C1079" s="5"/>
      <c r="D1079" s="12"/>
      <c r="E1079" s="23"/>
      <c r="F1079" s="9"/>
      <c r="G1079" s="5"/>
      <c r="H1079" s="16"/>
      <c r="I1079" s="69"/>
      <c r="J1079" s="70"/>
      <c r="K1079" s="71"/>
      <c r="L1079" s="71"/>
      <c r="M1079" s="5"/>
    </row>
    <row r="1080" spans="1:13" s="3" customFormat="1">
      <c r="A1080" s="1"/>
      <c r="B1080" s="8"/>
      <c r="C1080" s="5"/>
      <c r="D1080" s="12"/>
      <c r="E1080" s="23"/>
      <c r="F1080" s="9"/>
      <c r="G1080" s="5"/>
      <c r="H1080" s="16"/>
      <c r="I1080" s="69"/>
      <c r="J1080" s="70"/>
      <c r="K1080" s="71"/>
      <c r="L1080" s="71"/>
      <c r="M1080" s="5"/>
    </row>
    <row r="1081" spans="1:13" s="3" customFormat="1">
      <c r="A1081" s="1"/>
      <c r="B1081" s="8"/>
      <c r="C1081" s="5"/>
      <c r="D1081" s="12"/>
      <c r="E1081" s="23"/>
      <c r="F1081" s="9"/>
      <c r="G1081" s="5"/>
      <c r="H1081" s="16"/>
      <c r="I1081" s="69"/>
      <c r="J1081" s="70"/>
      <c r="K1081" s="71"/>
      <c r="L1081" s="71"/>
      <c r="M1081" s="5"/>
    </row>
    <row r="1082" spans="1:13" s="3" customFormat="1">
      <c r="A1082" s="1"/>
      <c r="B1082" s="8"/>
      <c r="C1082" s="5"/>
      <c r="D1082" s="12"/>
      <c r="E1082" s="23"/>
      <c r="F1082" s="9"/>
      <c r="G1082" s="5"/>
      <c r="H1082" s="16"/>
      <c r="I1082" s="69"/>
      <c r="J1082" s="70"/>
      <c r="K1082" s="71"/>
      <c r="L1082" s="71"/>
      <c r="M1082" s="5"/>
    </row>
    <row r="1083" spans="1:13" s="3" customFormat="1">
      <c r="A1083" s="1"/>
      <c r="B1083" s="8"/>
      <c r="C1083" s="5"/>
      <c r="D1083" s="12"/>
      <c r="E1083" s="23"/>
      <c r="F1083" s="9"/>
      <c r="G1083" s="5"/>
      <c r="H1083" s="16"/>
      <c r="I1083" s="69"/>
      <c r="J1083" s="70"/>
      <c r="K1083" s="71"/>
      <c r="L1083" s="71"/>
      <c r="M1083" s="5"/>
    </row>
    <row r="1084" spans="1:13" s="3" customFormat="1">
      <c r="A1084" s="1"/>
      <c r="B1084" s="8"/>
      <c r="C1084" s="5"/>
      <c r="D1084" s="12"/>
      <c r="E1084" s="23"/>
      <c r="F1084" s="9"/>
      <c r="G1084" s="5"/>
      <c r="H1084" s="16"/>
      <c r="I1084" s="69"/>
      <c r="J1084" s="70"/>
      <c r="K1084" s="71"/>
      <c r="L1084" s="71"/>
      <c r="M1084" s="5"/>
    </row>
    <row r="1085" spans="1:13" s="3" customFormat="1">
      <c r="A1085" s="1"/>
      <c r="B1085" s="8"/>
      <c r="C1085" s="5"/>
      <c r="D1085" s="12"/>
      <c r="E1085" s="23"/>
      <c r="F1085" s="9"/>
      <c r="G1085" s="5"/>
      <c r="H1085" s="16"/>
      <c r="I1085" s="69"/>
      <c r="J1085" s="70"/>
      <c r="K1085" s="71"/>
      <c r="L1085" s="71"/>
      <c r="M1085" s="5"/>
    </row>
    <row r="1086" spans="1:13" s="3" customFormat="1">
      <c r="A1086" s="1"/>
      <c r="B1086" s="8"/>
      <c r="C1086" s="5"/>
      <c r="D1086" s="12"/>
      <c r="E1086" s="23"/>
      <c r="F1086" s="9"/>
      <c r="G1086" s="5"/>
      <c r="H1086" s="16"/>
      <c r="I1086" s="69"/>
      <c r="J1086" s="70"/>
      <c r="K1086" s="71"/>
      <c r="L1086" s="71"/>
      <c r="M1086" s="5"/>
    </row>
    <row r="1087" spans="1:13" s="3" customFormat="1">
      <c r="A1087" s="1"/>
      <c r="B1087" s="8"/>
      <c r="C1087" s="5"/>
      <c r="D1087" s="12"/>
      <c r="E1087" s="23"/>
      <c r="F1087" s="9"/>
      <c r="G1087" s="5"/>
      <c r="H1087" s="16"/>
      <c r="I1087" s="69"/>
      <c r="J1087" s="70"/>
      <c r="K1087" s="71"/>
      <c r="L1087" s="71"/>
      <c r="M1087" s="5"/>
    </row>
    <row r="1088" spans="1:13" s="3" customFormat="1">
      <c r="A1088" s="1"/>
      <c r="B1088" s="8"/>
      <c r="C1088" s="5"/>
      <c r="D1088" s="12"/>
      <c r="E1088" s="23"/>
      <c r="F1088" s="9"/>
      <c r="G1088" s="5"/>
      <c r="H1088" s="16"/>
      <c r="I1088" s="69"/>
      <c r="J1088" s="70"/>
      <c r="K1088" s="71"/>
      <c r="L1088" s="71"/>
      <c r="M1088" s="5"/>
    </row>
    <row r="1089" spans="1:13" s="3" customFormat="1">
      <c r="A1089" s="1"/>
      <c r="B1089" s="8"/>
      <c r="C1089" s="5"/>
      <c r="D1089" s="12"/>
      <c r="E1089" s="23"/>
      <c r="F1089" s="9"/>
      <c r="G1089" s="5"/>
      <c r="H1089" s="16"/>
      <c r="I1089" s="69"/>
      <c r="J1089" s="70"/>
      <c r="K1089" s="71"/>
      <c r="L1089" s="71"/>
      <c r="M1089" s="5"/>
    </row>
    <row r="1090" spans="1:13" s="3" customFormat="1">
      <c r="A1090" s="1"/>
      <c r="B1090" s="8"/>
      <c r="C1090" s="5"/>
      <c r="D1090" s="12"/>
      <c r="E1090" s="23"/>
      <c r="F1090" s="9"/>
      <c r="G1090" s="5"/>
      <c r="H1090" s="16"/>
      <c r="I1090" s="69"/>
      <c r="J1090" s="70"/>
      <c r="K1090" s="71"/>
      <c r="L1090" s="71"/>
      <c r="M1090" s="5"/>
    </row>
    <row r="1091" spans="1:13" s="3" customFormat="1">
      <c r="A1091" s="1"/>
      <c r="B1091" s="8"/>
      <c r="C1091" s="5"/>
      <c r="D1091" s="12"/>
      <c r="E1091" s="23"/>
      <c r="F1091" s="9"/>
      <c r="G1091" s="5"/>
      <c r="H1091" s="16"/>
      <c r="I1091" s="69"/>
      <c r="J1091" s="70"/>
      <c r="K1091" s="71"/>
      <c r="L1091" s="71"/>
      <c r="M1091" s="5"/>
    </row>
    <row r="1092" spans="1:13" s="3" customFormat="1">
      <c r="A1092" s="1"/>
      <c r="B1092" s="8"/>
      <c r="C1092" s="5"/>
      <c r="D1092" s="12"/>
      <c r="E1092" s="23"/>
      <c r="F1092" s="9"/>
      <c r="G1092" s="5"/>
      <c r="H1092" s="16"/>
      <c r="I1092" s="69"/>
      <c r="J1092" s="70"/>
      <c r="K1092" s="71"/>
      <c r="L1092" s="71"/>
      <c r="M1092" s="5"/>
    </row>
    <row r="1093" spans="1:13" s="3" customFormat="1">
      <c r="A1093" s="1"/>
      <c r="B1093" s="8"/>
      <c r="C1093" s="5"/>
      <c r="D1093" s="12"/>
      <c r="E1093" s="23"/>
      <c r="F1093" s="9"/>
      <c r="G1093" s="5"/>
      <c r="H1093" s="16"/>
      <c r="I1093" s="69"/>
      <c r="J1093" s="70"/>
      <c r="K1093" s="71"/>
      <c r="L1093" s="71"/>
      <c r="M1093" s="5"/>
    </row>
    <row r="1094" spans="1:13" s="3" customFormat="1">
      <c r="A1094" s="1"/>
      <c r="B1094" s="8"/>
      <c r="C1094" s="5"/>
      <c r="D1094" s="12"/>
      <c r="E1094" s="23"/>
      <c r="F1094" s="9"/>
      <c r="G1094" s="5"/>
      <c r="H1094" s="16"/>
      <c r="I1094" s="69"/>
      <c r="J1094" s="70"/>
      <c r="K1094" s="71"/>
      <c r="L1094" s="71"/>
      <c r="M1094" s="5"/>
    </row>
    <row r="1095" spans="1:13" s="3" customFormat="1">
      <c r="A1095" s="1"/>
      <c r="B1095" s="8"/>
      <c r="C1095" s="5"/>
      <c r="D1095" s="12"/>
      <c r="E1095" s="23"/>
      <c r="F1095" s="9"/>
      <c r="G1095" s="5"/>
      <c r="H1095" s="16"/>
      <c r="I1095" s="69"/>
      <c r="J1095" s="70"/>
      <c r="K1095" s="71"/>
      <c r="L1095" s="71"/>
      <c r="M1095" s="5"/>
    </row>
    <row r="1096" spans="1:13" s="3" customFormat="1">
      <c r="A1096" s="1"/>
      <c r="B1096" s="8"/>
      <c r="C1096" s="5"/>
      <c r="D1096" s="12"/>
      <c r="E1096" s="23"/>
      <c r="F1096" s="9"/>
      <c r="G1096" s="5"/>
      <c r="H1096" s="16"/>
      <c r="I1096" s="69"/>
      <c r="J1096" s="70"/>
      <c r="K1096" s="71"/>
      <c r="L1096" s="71"/>
      <c r="M1096" s="5"/>
    </row>
    <row r="1097" spans="1:13" s="3" customFormat="1">
      <c r="A1097" s="1"/>
      <c r="B1097" s="8"/>
      <c r="C1097" s="5"/>
      <c r="D1097" s="12"/>
      <c r="E1097" s="23"/>
      <c r="F1097" s="9"/>
      <c r="G1097" s="5"/>
      <c r="H1097" s="16"/>
      <c r="I1097" s="69"/>
      <c r="J1097" s="70"/>
      <c r="K1097" s="71"/>
      <c r="L1097" s="71"/>
      <c r="M1097" s="5"/>
    </row>
    <row r="1098" spans="1:13" s="3" customFormat="1">
      <c r="A1098" s="1"/>
      <c r="B1098" s="8"/>
      <c r="C1098" s="5"/>
      <c r="D1098" s="12"/>
      <c r="E1098" s="23"/>
      <c r="F1098" s="9"/>
      <c r="G1098" s="5"/>
      <c r="H1098" s="16"/>
      <c r="I1098" s="69"/>
      <c r="J1098" s="70"/>
      <c r="K1098" s="71"/>
      <c r="L1098" s="71"/>
      <c r="M1098" s="5"/>
    </row>
    <row r="1099" spans="1:13" s="3" customFormat="1">
      <c r="A1099" s="1"/>
      <c r="B1099" s="8"/>
      <c r="C1099" s="5"/>
      <c r="D1099" s="12"/>
      <c r="E1099" s="23"/>
      <c r="F1099" s="9"/>
      <c r="G1099" s="5"/>
      <c r="H1099" s="16"/>
      <c r="I1099" s="69"/>
      <c r="J1099" s="70"/>
      <c r="K1099" s="71"/>
      <c r="L1099" s="71"/>
      <c r="M1099" s="5"/>
    </row>
    <row r="1100" spans="1:13" s="3" customFormat="1">
      <c r="A1100" s="1"/>
      <c r="B1100" s="8"/>
      <c r="C1100" s="5"/>
      <c r="D1100" s="12"/>
      <c r="E1100" s="23"/>
      <c r="F1100" s="9"/>
      <c r="G1100" s="5"/>
      <c r="H1100" s="16"/>
      <c r="I1100" s="69"/>
      <c r="J1100" s="70"/>
      <c r="K1100" s="71"/>
      <c r="L1100" s="71"/>
      <c r="M1100" s="5"/>
    </row>
    <row r="1101" spans="1:13" s="3" customFormat="1">
      <c r="A1101" s="1"/>
      <c r="B1101" s="8"/>
      <c r="C1101" s="5"/>
      <c r="D1101" s="12"/>
      <c r="E1101" s="23"/>
      <c r="F1101" s="9"/>
      <c r="G1101" s="5"/>
      <c r="H1101" s="16"/>
      <c r="I1101" s="69"/>
      <c r="J1101" s="70"/>
      <c r="K1101" s="71"/>
      <c r="L1101" s="71"/>
      <c r="M1101" s="5"/>
    </row>
    <row r="1102" spans="1:13" s="3" customFormat="1">
      <c r="A1102" s="1"/>
      <c r="B1102" s="8"/>
      <c r="C1102" s="5"/>
      <c r="D1102" s="12"/>
      <c r="E1102" s="23"/>
      <c r="F1102" s="9"/>
      <c r="G1102" s="5"/>
      <c r="H1102" s="16"/>
      <c r="I1102" s="69"/>
      <c r="J1102" s="70"/>
      <c r="K1102" s="71"/>
      <c r="L1102" s="71"/>
      <c r="M1102" s="5"/>
    </row>
    <row r="1103" spans="1:13" s="3" customFormat="1">
      <c r="A1103" s="1"/>
      <c r="B1103" s="8"/>
      <c r="C1103" s="5"/>
      <c r="D1103" s="12"/>
      <c r="E1103" s="23"/>
      <c r="F1103" s="9"/>
      <c r="G1103" s="5"/>
      <c r="H1103" s="16"/>
      <c r="I1103" s="69"/>
      <c r="J1103" s="70"/>
      <c r="K1103" s="71"/>
      <c r="L1103" s="71"/>
      <c r="M1103" s="5"/>
    </row>
    <row r="1104" spans="1:13" s="3" customFormat="1">
      <c r="A1104" s="1"/>
      <c r="B1104" s="8"/>
      <c r="C1104" s="5"/>
      <c r="D1104" s="12"/>
      <c r="E1104" s="23"/>
      <c r="F1104" s="9"/>
      <c r="G1104" s="5"/>
      <c r="H1104" s="16"/>
      <c r="I1104" s="69"/>
      <c r="J1104" s="70"/>
      <c r="K1104" s="71"/>
      <c r="L1104" s="71"/>
      <c r="M1104" s="5"/>
    </row>
    <row r="1105" spans="1:13" s="3" customFormat="1">
      <c r="A1105" s="1"/>
      <c r="B1105" s="8"/>
      <c r="C1105" s="5"/>
      <c r="D1105" s="12"/>
      <c r="E1105" s="23"/>
      <c r="F1105" s="9"/>
      <c r="G1105" s="5"/>
      <c r="H1105" s="16"/>
      <c r="I1105" s="69"/>
      <c r="J1105" s="70"/>
      <c r="K1105" s="71"/>
      <c r="L1105" s="71"/>
      <c r="M1105" s="5"/>
    </row>
    <row r="1106" spans="1:13" s="3" customFormat="1">
      <c r="A1106" s="1"/>
      <c r="B1106" s="8"/>
      <c r="C1106" s="5"/>
      <c r="D1106" s="12"/>
      <c r="E1106" s="23"/>
      <c r="F1106" s="9"/>
      <c r="G1106" s="5"/>
      <c r="H1106" s="16"/>
      <c r="I1106" s="69"/>
      <c r="J1106" s="70"/>
      <c r="K1106" s="71"/>
      <c r="L1106" s="71"/>
      <c r="M1106" s="5"/>
    </row>
    <row r="1107" spans="1:13" s="3" customFormat="1">
      <c r="A1107" s="1"/>
      <c r="B1107" s="8"/>
      <c r="C1107" s="5"/>
      <c r="D1107" s="12"/>
      <c r="E1107" s="23"/>
      <c r="F1107" s="9"/>
      <c r="G1107" s="5"/>
      <c r="H1107" s="16"/>
      <c r="I1107" s="69"/>
      <c r="J1107" s="70"/>
      <c r="K1107" s="71"/>
      <c r="L1107" s="71"/>
      <c r="M1107" s="5"/>
    </row>
    <row r="1108" spans="1:13" s="3" customFormat="1">
      <c r="A1108" s="1"/>
      <c r="B1108" s="8"/>
      <c r="C1108" s="5"/>
      <c r="D1108" s="12"/>
      <c r="E1108" s="23"/>
      <c r="F1108" s="9"/>
      <c r="G1108" s="5"/>
      <c r="H1108" s="16"/>
      <c r="I1108" s="69"/>
      <c r="J1108" s="70"/>
      <c r="K1108" s="71"/>
      <c r="L1108" s="71"/>
      <c r="M1108" s="5"/>
    </row>
    <row r="1109" spans="1:13" s="3" customFormat="1">
      <c r="A1109" s="1"/>
      <c r="B1109" s="8"/>
      <c r="C1109" s="5"/>
      <c r="D1109" s="12"/>
      <c r="E1109" s="23"/>
      <c r="F1109" s="9"/>
      <c r="G1109" s="5"/>
      <c r="H1109" s="16"/>
      <c r="I1109" s="69"/>
      <c r="J1109" s="70"/>
      <c r="K1109" s="71"/>
      <c r="L1109" s="71"/>
      <c r="M1109" s="5"/>
    </row>
    <row r="1110" spans="1:13" s="3" customFormat="1">
      <c r="A1110" s="1"/>
      <c r="B1110" s="8"/>
      <c r="C1110" s="5"/>
      <c r="D1110" s="12"/>
      <c r="E1110" s="23"/>
      <c r="F1110" s="9"/>
      <c r="G1110" s="5"/>
      <c r="H1110" s="16"/>
      <c r="I1110" s="69"/>
      <c r="J1110" s="70"/>
      <c r="K1110" s="71"/>
      <c r="L1110" s="71"/>
      <c r="M1110" s="5"/>
    </row>
    <row r="1111" spans="1:13" s="3" customFormat="1">
      <c r="A1111" s="1"/>
      <c r="B1111" s="8"/>
      <c r="C1111" s="5"/>
      <c r="D1111" s="12"/>
      <c r="E1111" s="23"/>
      <c r="F1111" s="9"/>
      <c r="G1111" s="5"/>
      <c r="H1111" s="16"/>
      <c r="I1111" s="69"/>
      <c r="J1111" s="70"/>
      <c r="K1111" s="71"/>
      <c r="L1111" s="71"/>
      <c r="M1111" s="5"/>
    </row>
    <row r="1112" spans="1:13" s="3" customFormat="1">
      <c r="A1112" s="1"/>
      <c r="B1112" s="8"/>
      <c r="C1112" s="5"/>
      <c r="D1112" s="12"/>
      <c r="E1112" s="23"/>
      <c r="F1112" s="9"/>
      <c r="G1112" s="5"/>
      <c r="H1112" s="16"/>
      <c r="I1112" s="69"/>
      <c r="J1112" s="70"/>
      <c r="K1112" s="71"/>
      <c r="L1112" s="71"/>
      <c r="M1112" s="5"/>
    </row>
    <row r="1113" spans="1:13" s="3" customFormat="1">
      <c r="A1113" s="1"/>
      <c r="B1113" s="8"/>
      <c r="C1113" s="5"/>
      <c r="D1113" s="12"/>
      <c r="E1113" s="23"/>
      <c r="F1113" s="9"/>
      <c r="G1113" s="5"/>
      <c r="H1113" s="16"/>
      <c r="I1113" s="69"/>
      <c r="J1113" s="70"/>
      <c r="K1113" s="71"/>
      <c r="L1113" s="71"/>
      <c r="M1113" s="5"/>
    </row>
    <row r="1114" spans="1:13" s="3" customFormat="1">
      <c r="A1114" s="1"/>
      <c r="B1114" s="8"/>
      <c r="C1114" s="5"/>
      <c r="D1114" s="12"/>
      <c r="E1114" s="23"/>
      <c r="F1114" s="9"/>
      <c r="G1114" s="5"/>
      <c r="H1114" s="16"/>
      <c r="I1114" s="69"/>
      <c r="J1114" s="70"/>
      <c r="K1114" s="71"/>
      <c r="L1114" s="71"/>
      <c r="M1114" s="5"/>
    </row>
    <row r="1115" spans="1:13" s="3" customFormat="1">
      <c r="A1115" s="1"/>
      <c r="B1115" s="8"/>
      <c r="C1115" s="5"/>
      <c r="D1115" s="12"/>
      <c r="E1115" s="23"/>
      <c r="F1115" s="9"/>
      <c r="G1115" s="5"/>
      <c r="H1115" s="16"/>
      <c r="I1115" s="69"/>
      <c r="J1115" s="70"/>
      <c r="K1115" s="71"/>
      <c r="L1115" s="71"/>
      <c r="M1115" s="5"/>
    </row>
    <row r="1116" spans="1:13" s="3" customFormat="1">
      <c r="A1116" s="1"/>
      <c r="B1116" s="8"/>
      <c r="C1116" s="5"/>
      <c r="D1116" s="12"/>
      <c r="E1116" s="23"/>
      <c r="F1116" s="9"/>
      <c r="G1116" s="5"/>
      <c r="H1116" s="16"/>
      <c r="I1116" s="69"/>
      <c r="J1116" s="70"/>
      <c r="K1116" s="71"/>
      <c r="L1116" s="71"/>
      <c r="M1116" s="5"/>
    </row>
    <row r="1117" spans="1:13" s="3" customFormat="1">
      <c r="A1117" s="1"/>
      <c r="B1117" s="8"/>
      <c r="C1117" s="5"/>
      <c r="D1117" s="12"/>
      <c r="E1117" s="23"/>
      <c r="F1117" s="9"/>
      <c r="G1117" s="5"/>
      <c r="H1117" s="16"/>
      <c r="I1117" s="69"/>
      <c r="J1117" s="70"/>
      <c r="K1117" s="71"/>
      <c r="L1117" s="71"/>
      <c r="M1117" s="5"/>
    </row>
    <row r="1118" spans="1:13" s="3" customFormat="1">
      <c r="A1118" s="1"/>
      <c r="B1118" s="8"/>
      <c r="C1118" s="5"/>
      <c r="D1118" s="12"/>
      <c r="E1118" s="23"/>
      <c r="F1118" s="9"/>
      <c r="G1118" s="5"/>
      <c r="H1118" s="16"/>
      <c r="I1118" s="69"/>
      <c r="J1118" s="70"/>
      <c r="K1118" s="71"/>
      <c r="L1118" s="71"/>
      <c r="M1118" s="5"/>
    </row>
    <row r="1119" spans="1:13" s="3" customFormat="1">
      <c r="A1119" s="1"/>
      <c r="B1119" s="8"/>
      <c r="C1119" s="5"/>
      <c r="D1119" s="12"/>
      <c r="E1119" s="23"/>
      <c r="F1119" s="9"/>
      <c r="G1119" s="5"/>
      <c r="H1119" s="16"/>
      <c r="I1119" s="69"/>
      <c r="J1119" s="70"/>
      <c r="K1119" s="71"/>
      <c r="L1119" s="71"/>
      <c r="M1119" s="5"/>
    </row>
    <row r="1120" spans="1:13" s="3" customFormat="1">
      <c r="A1120" s="1"/>
      <c r="B1120" s="8"/>
      <c r="C1120" s="5"/>
      <c r="D1120" s="12"/>
      <c r="E1120" s="23"/>
      <c r="F1120" s="9"/>
      <c r="G1120" s="5"/>
      <c r="H1120" s="16"/>
      <c r="I1120" s="69"/>
      <c r="J1120" s="70"/>
      <c r="K1120" s="71"/>
      <c r="L1120" s="71"/>
      <c r="M1120" s="5"/>
    </row>
    <row r="1121" spans="1:13" s="3" customFormat="1">
      <c r="A1121" s="1"/>
      <c r="B1121" s="8"/>
      <c r="C1121" s="5"/>
      <c r="D1121" s="12"/>
      <c r="E1121" s="23"/>
      <c r="F1121" s="9"/>
      <c r="G1121" s="5"/>
      <c r="H1121" s="16"/>
      <c r="I1121" s="69"/>
      <c r="J1121" s="70"/>
      <c r="K1121" s="71"/>
      <c r="L1121" s="71"/>
      <c r="M1121" s="5"/>
    </row>
    <row r="1122" spans="1:13" s="3" customFormat="1">
      <c r="A1122" s="1"/>
      <c r="B1122" s="8"/>
      <c r="C1122" s="5"/>
      <c r="D1122" s="12"/>
      <c r="E1122" s="23"/>
      <c r="F1122" s="9"/>
      <c r="G1122" s="5"/>
      <c r="H1122" s="16"/>
      <c r="I1122" s="69"/>
      <c r="J1122" s="70"/>
      <c r="K1122" s="71"/>
      <c r="L1122" s="71"/>
      <c r="M1122" s="5"/>
    </row>
    <row r="1123" spans="1:13" s="3" customFormat="1">
      <c r="A1123" s="1"/>
      <c r="B1123" s="8"/>
      <c r="C1123" s="5"/>
      <c r="D1123" s="12"/>
      <c r="E1123" s="23"/>
      <c r="F1123" s="9"/>
      <c r="G1123" s="5"/>
      <c r="H1123" s="16"/>
      <c r="I1123" s="69"/>
      <c r="J1123" s="70"/>
      <c r="K1123" s="71"/>
      <c r="L1123" s="71"/>
      <c r="M1123" s="5"/>
    </row>
    <row r="1124" spans="1:13" s="3" customFormat="1">
      <c r="A1124" s="1"/>
      <c r="B1124" s="8"/>
      <c r="C1124" s="5"/>
      <c r="D1124" s="12"/>
      <c r="E1124" s="23"/>
      <c r="F1124" s="9"/>
      <c r="G1124" s="5"/>
      <c r="H1124" s="16"/>
      <c r="I1124" s="69"/>
      <c r="J1124" s="70"/>
      <c r="K1124" s="71"/>
      <c r="L1124" s="71"/>
      <c r="M1124" s="5"/>
    </row>
    <row r="1125" spans="1:13" s="3" customFormat="1">
      <c r="A1125" s="1"/>
      <c r="B1125" s="8"/>
      <c r="C1125" s="5"/>
      <c r="D1125" s="12"/>
      <c r="E1125" s="23"/>
      <c r="F1125" s="9"/>
      <c r="G1125" s="5"/>
      <c r="H1125" s="16"/>
      <c r="I1125" s="69"/>
      <c r="J1125" s="70"/>
      <c r="K1125" s="71"/>
      <c r="L1125" s="71"/>
      <c r="M1125" s="5"/>
    </row>
    <row r="1126" spans="1:13" s="3" customFormat="1">
      <c r="A1126" s="1"/>
      <c r="B1126" s="8"/>
      <c r="C1126" s="5"/>
      <c r="D1126" s="12"/>
      <c r="E1126" s="23"/>
      <c r="F1126" s="9"/>
      <c r="G1126" s="5"/>
      <c r="H1126" s="16"/>
      <c r="I1126" s="69"/>
      <c r="J1126" s="70"/>
      <c r="K1126" s="71"/>
      <c r="L1126" s="71"/>
      <c r="M1126" s="5"/>
    </row>
    <row r="1127" spans="1:13" s="3" customFormat="1">
      <c r="A1127" s="1"/>
      <c r="B1127" s="8"/>
      <c r="C1127" s="5"/>
      <c r="D1127" s="12"/>
      <c r="E1127" s="23"/>
      <c r="F1127" s="9"/>
      <c r="G1127" s="5"/>
      <c r="H1127" s="16"/>
      <c r="I1127" s="69"/>
      <c r="J1127" s="70"/>
      <c r="K1127" s="71"/>
      <c r="L1127" s="71"/>
      <c r="M1127" s="5"/>
    </row>
    <row r="1128" spans="1:13" s="3" customFormat="1">
      <c r="A1128" s="1"/>
      <c r="B1128" s="8"/>
      <c r="C1128" s="5"/>
      <c r="D1128" s="12"/>
      <c r="E1128" s="23"/>
      <c r="F1128" s="9"/>
      <c r="G1128" s="5"/>
      <c r="H1128" s="16"/>
      <c r="I1128" s="69"/>
      <c r="J1128" s="70"/>
      <c r="K1128" s="71"/>
      <c r="L1128" s="71"/>
      <c r="M1128" s="5"/>
    </row>
    <row r="1129" spans="1:13" s="3" customFormat="1">
      <c r="A1129" s="1"/>
      <c r="B1129" s="8"/>
      <c r="C1129" s="5"/>
      <c r="D1129" s="12"/>
      <c r="E1129" s="23"/>
      <c r="F1129" s="9"/>
      <c r="G1129" s="5"/>
      <c r="H1129" s="16"/>
      <c r="I1129" s="69"/>
      <c r="J1129" s="70"/>
      <c r="K1129" s="71"/>
      <c r="L1129" s="71"/>
      <c r="M1129" s="5"/>
    </row>
    <row r="1130" spans="1:13" s="3" customFormat="1">
      <c r="A1130" s="1"/>
      <c r="B1130" s="8"/>
      <c r="C1130" s="5"/>
      <c r="D1130" s="12"/>
      <c r="E1130" s="23"/>
      <c r="F1130" s="9"/>
      <c r="G1130" s="5"/>
      <c r="H1130" s="16"/>
      <c r="I1130" s="69"/>
      <c r="J1130" s="70"/>
      <c r="K1130" s="71"/>
      <c r="L1130" s="71"/>
      <c r="M1130" s="5"/>
    </row>
    <row r="1131" spans="1:13" s="3" customFormat="1">
      <c r="A1131" s="1"/>
      <c r="B1131" s="8"/>
      <c r="C1131" s="5"/>
      <c r="D1131" s="12"/>
      <c r="E1131" s="23"/>
      <c r="F1131" s="9"/>
      <c r="G1131" s="5"/>
      <c r="H1131" s="16"/>
      <c r="I1131" s="69"/>
      <c r="J1131" s="70"/>
      <c r="K1131" s="71"/>
      <c r="L1131" s="71"/>
      <c r="M1131" s="5"/>
    </row>
    <row r="1132" spans="1:13" s="3" customFormat="1">
      <c r="A1132" s="1"/>
      <c r="B1132" s="8"/>
      <c r="C1132" s="5"/>
      <c r="D1132" s="12"/>
      <c r="E1132" s="23"/>
      <c r="F1132" s="9"/>
      <c r="G1132" s="5"/>
      <c r="H1132" s="16"/>
      <c r="I1132" s="69"/>
      <c r="J1132" s="70"/>
      <c r="K1132" s="71"/>
      <c r="L1132" s="71"/>
      <c r="M1132" s="5"/>
    </row>
    <row r="1133" spans="1:13" s="3" customFormat="1">
      <c r="A1133" s="1"/>
      <c r="B1133" s="8"/>
      <c r="C1133" s="5"/>
      <c r="D1133" s="12"/>
      <c r="E1133" s="23"/>
      <c r="F1133" s="9"/>
      <c r="G1133" s="5"/>
      <c r="H1133" s="16"/>
      <c r="I1133" s="69"/>
      <c r="J1133" s="70"/>
      <c r="K1133" s="71"/>
      <c r="L1133" s="71"/>
      <c r="M1133" s="5"/>
    </row>
    <row r="1134" spans="1:13" s="3" customFormat="1">
      <c r="A1134" s="1"/>
      <c r="B1134" s="8"/>
      <c r="C1134" s="5"/>
      <c r="D1134" s="12"/>
      <c r="E1134" s="23"/>
      <c r="F1134" s="9"/>
      <c r="G1134" s="5"/>
      <c r="H1134" s="16"/>
      <c r="I1134" s="69"/>
      <c r="J1134" s="70"/>
      <c r="K1134" s="71"/>
      <c r="L1134" s="71"/>
      <c r="M1134" s="5"/>
    </row>
    <row r="1135" spans="1:13" s="3" customFormat="1">
      <c r="A1135" s="1"/>
      <c r="B1135" s="8"/>
      <c r="C1135" s="5"/>
      <c r="D1135" s="12"/>
      <c r="E1135" s="23"/>
      <c r="F1135" s="9"/>
      <c r="G1135" s="5"/>
      <c r="H1135" s="16"/>
      <c r="I1135" s="69"/>
      <c r="J1135" s="70"/>
      <c r="K1135" s="71"/>
      <c r="L1135" s="71"/>
      <c r="M1135" s="5"/>
    </row>
    <row r="1136" spans="1:13" s="3" customFormat="1">
      <c r="A1136" s="1"/>
      <c r="B1136" s="8"/>
      <c r="C1136" s="5"/>
      <c r="D1136" s="12"/>
      <c r="E1136" s="23"/>
      <c r="F1136" s="9"/>
      <c r="G1136" s="5"/>
      <c r="H1136" s="16"/>
      <c r="I1136" s="69"/>
      <c r="J1136" s="70"/>
      <c r="K1136" s="71"/>
      <c r="L1136" s="71"/>
      <c r="M1136" s="5"/>
    </row>
    <row r="1137" spans="1:13" s="3" customFormat="1">
      <c r="A1137" s="1"/>
      <c r="B1137" s="8"/>
      <c r="C1137" s="5"/>
      <c r="D1137" s="12"/>
      <c r="E1137" s="23"/>
      <c r="F1137" s="9"/>
      <c r="G1137" s="5"/>
      <c r="H1137" s="16"/>
      <c r="I1137" s="69"/>
      <c r="J1137" s="70"/>
      <c r="K1137" s="71"/>
      <c r="L1137" s="71"/>
      <c r="M1137" s="5"/>
    </row>
    <row r="1138" spans="1:13" s="3" customFormat="1">
      <c r="A1138" s="1"/>
      <c r="B1138" s="8"/>
      <c r="C1138" s="5"/>
      <c r="D1138" s="12"/>
      <c r="E1138" s="23"/>
      <c r="F1138" s="9"/>
      <c r="G1138" s="5"/>
      <c r="H1138" s="16"/>
      <c r="I1138" s="69"/>
      <c r="J1138" s="70"/>
      <c r="K1138" s="71"/>
      <c r="L1138" s="71"/>
      <c r="M1138" s="5"/>
    </row>
    <row r="1139" spans="1:13" s="3" customFormat="1">
      <c r="A1139" s="1"/>
      <c r="B1139" s="8"/>
      <c r="C1139" s="5"/>
      <c r="D1139" s="12"/>
      <c r="E1139" s="23"/>
      <c r="F1139" s="9"/>
      <c r="G1139" s="5"/>
      <c r="H1139" s="16"/>
      <c r="I1139" s="69"/>
      <c r="J1139" s="70"/>
      <c r="K1139" s="71"/>
      <c r="L1139" s="71"/>
      <c r="M1139" s="5"/>
    </row>
    <row r="1140" spans="1:13" s="3" customFormat="1">
      <c r="A1140" s="1"/>
      <c r="B1140" s="8"/>
      <c r="C1140" s="5"/>
      <c r="D1140" s="12"/>
      <c r="E1140" s="23"/>
      <c r="F1140" s="9"/>
      <c r="G1140" s="5"/>
      <c r="H1140" s="16"/>
      <c r="I1140" s="69"/>
      <c r="J1140" s="70"/>
      <c r="K1140" s="71"/>
      <c r="L1140" s="71"/>
      <c r="M1140" s="5"/>
    </row>
    <row r="1141" spans="1:13" s="3" customFormat="1">
      <c r="A1141" s="1"/>
      <c r="B1141" s="8"/>
      <c r="C1141" s="5"/>
      <c r="D1141" s="12"/>
      <c r="E1141" s="23"/>
      <c r="F1141" s="9"/>
      <c r="G1141" s="5"/>
      <c r="H1141" s="16"/>
      <c r="I1141" s="69"/>
      <c r="J1141" s="70"/>
      <c r="K1141" s="71"/>
      <c r="L1141" s="71"/>
      <c r="M1141" s="5"/>
    </row>
    <row r="1142" spans="1:13" s="3" customFormat="1">
      <c r="A1142" s="1"/>
      <c r="B1142" s="8"/>
      <c r="C1142" s="5"/>
      <c r="D1142" s="12"/>
      <c r="E1142" s="23"/>
      <c r="F1142" s="9"/>
      <c r="G1142" s="5"/>
      <c r="H1142" s="16"/>
      <c r="I1142" s="69"/>
      <c r="J1142" s="70"/>
      <c r="K1142" s="71"/>
      <c r="L1142" s="71"/>
      <c r="M1142" s="5"/>
    </row>
    <row r="1143" spans="1:13" s="3" customFormat="1">
      <c r="A1143" s="1"/>
      <c r="B1143" s="8"/>
      <c r="C1143" s="5"/>
      <c r="D1143" s="12"/>
      <c r="E1143" s="23"/>
      <c r="F1143" s="9"/>
      <c r="G1143" s="5"/>
      <c r="H1143" s="16"/>
      <c r="I1143" s="69"/>
      <c r="J1143" s="70"/>
      <c r="K1143" s="71"/>
      <c r="L1143" s="71"/>
      <c r="M1143" s="5"/>
    </row>
    <row r="1144" spans="1:13" s="3" customFormat="1">
      <c r="A1144" s="1"/>
      <c r="B1144" s="8"/>
      <c r="C1144" s="5"/>
      <c r="D1144" s="12"/>
      <c r="E1144" s="23"/>
      <c r="F1144" s="9"/>
      <c r="G1144" s="5"/>
      <c r="H1144" s="16"/>
      <c r="I1144" s="69"/>
      <c r="J1144" s="70"/>
      <c r="K1144" s="71"/>
      <c r="L1144" s="71"/>
      <c r="M1144" s="5"/>
    </row>
    <row r="1145" spans="1:13" s="3" customFormat="1">
      <c r="A1145" s="1"/>
      <c r="B1145" s="8"/>
      <c r="C1145" s="5"/>
      <c r="D1145" s="12"/>
      <c r="E1145" s="23"/>
      <c r="F1145" s="9"/>
      <c r="G1145" s="5"/>
      <c r="H1145" s="16"/>
      <c r="I1145" s="69"/>
      <c r="J1145" s="70"/>
      <c r="K1145" s="71"/>
      <c r="L1145" s="71"/>
      <c r="M1145" s="5"/>
    </row>
    <row r="1146" spans="1:13" s="3" customFormat="1">
      <c r="A1146" s="1"/>
      <c r="B1146" s="8"/>
      <c r="C1146" s="5"/>
      <c r="D1146" s="12"/>
      <c r="E1146" s="23"/>
      <c r="F1146" s="9"/>
      <c r="G1146" s="5"/>
      <c r="H1146" s="16"/>
      <c r="I1146" s="69"/>
      <c r="J1146" s="70"/>
      <c r="K1146" s="71"/>
      <c r="L1146" s="71"/>
      <c r="M1146" s="5"/>
    </row>
    <row r="1147" spans="1:13" s="3" customFormat="1">
      <c r="A1147" s="1"/>
      <c r="B1147" s="8"/>
      <c r="C1147" s="5"/>
      <c r="D1147" s="12"/>
      <c r="E1147" s="23"/>
      <c r="F1147" s="9"/>
      <c r="G1147" s="5"/>
      <c r="H1147" s="16"/>
      <c r="I1147" s="69"/>
      <c r="J1147" s="70"/>
      <c r="K1147" s="71"/>
      <c r="L1147" s="71"/>
      <c r="M1147" s="5"/>
    </row>
    <row r="1148" spans="1:13" s="3" customFormat="1">
      <c r="A1148" s="1"/>
      <c r="B1148" s="8"/>
      <c r="C1148" s="5"/>
      <c r="D1148" s="12"/>
      <c r="E1148" s="23"/>
      <c r="F1148" s="9"/>
      <c r="G1148" s="5"/>
      <c r="H1148" s="16"/>
      <c r="I1148" s="69"/>
      <c r="J1148" s="70"/>
      <c r="K1148" s="71"/>
      <c r="L1148" s="71"/>
      <c r="M1148" s="5"/>
    </row>
    <row r="1149" spans="1:13" s="3" customFormat="1">
      <c r="A1149" s="1"/>
      <c r="B1149" s="8"/>
      <c r="C1149" s="5"/>
      <c r="D1149" s="12"/>
      <c r="E1149" s="23"/>
      <c r="F1149" s="9"/>
      <c r="G1149" s="5"/>
      <c r="H1149" s="16"/>
      <c r="I1149" s="69"/>
      <c r="J1149" s="70"/>
      <c r="K1149" s="71"/>
      <c r="L1149" s="71"/>
      <c r="M1149" s="5"/>
    </row>
    <row r="1150" spans="1:13" s="3" customFormat="1">
      <c r="A1150" s="1"/>
      <c r="B1150" s="8"/>
      <c r="C1150" s="5"/>
      <c r="D1150" s="12"/>
      <c r="E1150" s="23"/>
      <c r="F1150" s="9"/>
      <c r="G1150" s="5"/>
      <c r="H1150" s="16"/>
      <c r="I1150" s="69"/>
      <c r="J1150" s="70"/>
      <c r="K1150" s="71"/>
      <c r="L1150" s="71"/>
      <c r="M1150" s="5"/>
    </row>
    <row r="1151" spans="1:13" s="3" customFormat="1">
      <c r="A1151" s="1"/>
      <c r="B1151" s="8"/>
      <c r="C1151" s="5"/>
      <c r="D1151" s="12"/>
      <c r="E1151" s="23"/>
      <c r="F1151" s="9"/>
      <c r="G1151" s="5"/>
      <c r="H1151" s="16"/>
      <c r="I1151" s="69"/>
      <c r="J1151" s="70"/>
      <c r="K1151" s="71"/>
      <c r="L1151" s="71"/>
      <c r="M1151" s="5"/>
    </row>
    <row r="1152" spans="1:13" s="3" customFormat="1">
      <c r="A1152" s="1"/>
      <c r="B1152" s="8"/>
      <c r="C1152" s="5"/>
      <c r="D1152" s="12"/>
      <c r="E1152" s="23"/>
      <c r="F1152" s="9"/>
      <c r="G1152" s="5"/>
      <c r="H1152" s="16"/>
      <c r="I1152" s="69"/>
      <c r="J1152" s="70"/>
      <c r="K1152" s="71"/>
      <c r="L1152" s="71"/>
      <c r="M1152" s="5"/>
    </row>
    <row r="1153" spans="1:13" s="3" customFormat="1">
      <c r="A1153" s="1"/>
      <c r="B1153" s="8"/>
      <c r="C1153" s="5"/>
      <c r="D1153" s="12"/>
      <c r="E1153" s="23"/>
      <c r="F1153" s="9"/>
      <c r="G1153" s="5"/>
      <c r="H1153" s="16"/>
      <c r="I1153" s="69"/>
      <c r="J1153" s="70"/>
      <c r="K1153" s="71"/>
      <c r="L1153" s="71"/>
      <c r="M1153" s="5"/>
    </row>
    <row r="1154" spans="1:13" s="3" customFormat="1">
      <c r="A1154" s="1"/>
      <c r="B1154" s="8"/>
      <c r="C1154" s="5"/>
      <c r="D1154" s="12"/>
      <c r="E1154" s="23"/>
      <c r="F1154" s="9"/>
      <c r="G1154" s="5"/>
      <c r="H1154" s="16"/>
      <c r="I1154" s="69"/>
      <c r="J1154" s="70"/>
      <c r="K1154" s="71"/>
      <c r="L1154" s="71"/>
      <c r="M1154" s="5"/>
    </row>
    <row r="1155" spans="1:13" s="3" customFormat="1">
      <c r="A1155" s="1"/>
      <c r="B1155" s="8"/>
      <c r="C1155" s="5"/>
      <c r="D1155" s="12"/>
      <c r="E1155" s="23"/>
      <c r="F1155" s="9"/>
      <c r="G1155" s="5"/>
      <c r="H1155" s="16"/>
      <c r="I1155" s="69"/>
      <c r="J1155" s="70"/>
      <c r="K1155" s="71"/>
      <c r="L1155" s="71"/>
      <c r="M1155" s="5"/>
    </row>
    <row r="1156" spans="1:13" s="3" customFormat="1">
      <c r="A1156" s="1"/>
      <c r="B1156" s="8"/>
      <c r="C1156" s="5"/>
      <c r="D1156" s="12"/>
      <c r="E1156" s="23"/>
      <c r="F1156" s="9"/>
      <c r="G1156" s="5"/>
      <c r="H1156" s="16"/>
      <c r="I1156" s="69"/>
      <c r="J1156" s="70"/>
      <c r="K1156" s="71"/>
      <c r="L1156" s="71"/>
      <c r="M1156" s="5"/>
    </row>
    <row r="1157" spans="1:13" s="3" customFormat="1">
      <c r="A1157" s="1"/>
      <c r="B1157" s="8"/>
      <c r="C1157" s="5"/>
      <c r="D1157" s="12"/>
      <c r="E1157" s="23"/>
      <c r="F1157" s="9"/>
      <c r="G1157" s="5"/>
      <c r="H1157" s="16"/>
      <c r="I1157" s="69"/>
      <c r="J1157" s="70"/>
      <c r="K1157" s="71"/>
      <c r="L1157" s="71"/>
      <c r="M1157" s="5"/>
    </row>
    <row r="1158" spans="1:13" s="3" customFormat="1">
      <c r="A1158" s="1"/>
      <c r="B1158" s="8"/>
      <c r="C1158" s="5"/>
      <c r="D1158" s="12"/>
      <c r="E1158" s="23"/>
      <c r="F1158" s="9"/>
      <c r="G1158" s="5"/>
      <c r="H1158" s="16"/>
      <c r="I1158" s="69"/>
      <c r="J1158" s="70"/>
      <c r="K1158" s="71"/>
      <c r="L1158" s="71"/>
      <c r="M1158" s="5"/>
    </row>
    <row r="1159" spans="1:13" s="3" customFormat="1">
      <c r="A1159" s="1"/>
      <c r="B1159" s="8"/>
      <c r="C1159" s="5"/>
      <c r="D1159" s="12"/>
      <c r="E1159" s="23"/>
      <c r="F1159" s="9"/>
      <c r="G1159" s="5"/>
      <c r="H1159" s="16"/>
      <c r="I1159" s="69"/>
      <c r="J1159" s="70"/>
      <c r="K1159" s="71"/>
      <c r="L1159" s="71"/>
      <c r="M1159" s="5"/>
    </row>
    <row r="1160" spans="1:13" s="3" customFormat="1">
      <c r="A1160" s="1"/>
      <c r="B1160" s="8"/>
      <c r="C1160" s="5"/>
      <c r="D1160" s="12"/>
      <c r="E1160" s="23"/>
      <c r="F1160" s="9"/>
      <c r="G1160" s="5"/>
      <c r="H1160" s="16"/>
      <c r="I1160" s="69"/>
      <c r="J1160" s="70"/>
      <c r="K1160" s="71"/>
      <c r="L1160" s="71"/>
      <c r="M1160" s="5"/>
    </row>
    <row r="1161" spans="1:13" s="3" customFormat="1">
      <c r="A1161" s="1"/>
      <c r="B1161" s="8"/>
      <c r="C1161" s="5"/>
      <c r="D1161" s="12"/>
      <c r="E1161" s="23"/>
      <c r="F1161" s="9"/>
      <c r="G1161" s="5"/>
      <c r="H1161" s="16"/>
      <c r="I1161" s="69"/>
      <c r="J1161" s="70"/>
      <c r="K1161" s="71"/>
      <c r="L1161" s="71"/>
      <c r="M1161" s="5"/>
    </row>
    <row r="1162" spans="1:13" s="3" customFormat="1">
      <c r="A1162" s="1"/>
      <c r="B1162" s="8"/>
      <c r="C1162" s="5"/>
      <c r="D1162" s="12"/>
      <c r="E1162" s="23"/>
      <c r="F1162" s="9"/>
      <c r="G1162" s="5"/>
      <c r="H1162" s="16"/>
      <c r="I1162" s="69"/>
      <c r="J1162" s="70"/>
      <c r="K1162" s="71"/>
      <c r="L1162" s="71"/>
      <c r="M1162" s="5"/>
    </row>
    <row r="1163" spans="1:13" s="3" customFormat="1">
      <c r="A1163" s="1"/>
      <c r="B1163" s="8"/>
      <c r="C1163" s="5"/>
      <c r="D1163" s="12"/>
      <c r="E1163" s="23"/>
      <c r="F1163" s="9"/>
      <c r="G1163" s="5"/>
      <c r="H1163" s="16"/>
      <c r="I1163" s="69"/>
      <c r="J1163" s="70"/>
      <c r="K1163" s="71"/>
      <c r="L1163" s="71"/>
      <c r="M1163" s="5"/>
    </row>
    <row r="1164" spans="1:13" s="3" customFormat="1">
      <c r="A1164" s="1"/>
      <c r="B1164" s="8"/>
      <c r="C1164" s="5"/>
      <c r="D1164" s="12"/>
      <c r="E1164" s="23"/>
      <c r="F1164" s="9"/>
      <c r="G1164" s="5"/>
      <c r="H1164" s="16"/>
      <c r="I1164" s="69"/>
      <c r="J1164" s="70"/>
      <c r="K1164" s="71"/>
      <c r="L1164" s="71"/>
      <c r="M1164" s="5"/>
    </row>
    <row r="1165" spans="1:13" s="3" customFormat="1">
      <c r="A1165" s="1"/>
      <c r="B1165" s="8"/>
      <c r="C1165" s="5"/>
      <c r="D1165" s="12"/>
      <c r="E1165" s="23"/>
      <c r="F1165" s="9"/>
      <c r="G1165" s="5"/>
      <c r="H1165" s="16"/>
      <c r="I1165" s="69"/>
      <c r="J1165" s="70"/>
      <c r="K1165" s="71"/>
      <c r="L1165" s="71"/>
      <c r="M1165" s="5"/>
    </row>
    <row r="1166" spans="1:13" s="3" customFormat="1">
      <c r="A1166" s="1"/>
      <c r="B1166" s="8"/>
      <c r="C1166" s="5"/>
      <c r="D1166" s="12"/>
      <c r="E1166" s="23"/>
      <c r="F1166" s="9"/>
      <c r="G1166" s="5"/>
      <c r="H1166" s="16"/>
      <c r="I1166" s="69"/>
      <c r="J1166" s="70"/>
      <c r="K1166" s="71"/>
      <c r="L1166" s="71"/>
      <c r="M1166" s="5"/>
    </row>
    <row r="1167" spans="1:13" s="3" customFormat="1">
      <c r="A1167" s="1"/>
      <c r="B1167" s="8"/>
      <c r="C1167" s="5"/>
      <c r="D1167" s="12"/>
      <c r="E1167" s="23"/>
      <c r="F1167" s="9"/>
      <c r="G1167" s="5"/>
      <c r="H1167" s="16"/>
      <c r="I1167" s="69"/>
      <c r="J1167" s="70"/>
      <c r="K1167" s="71"/>
      <c r="L1167" s="71"/>
      <c r="M1167" s="5"/>
    </row>
    <row r="1168" spans="1:13" s="3" customFormat="1">
      <c r="A1168" s="1"/>
      <c r="B1168" s="8"/>
      <c r="C1168" s="5"/>
      <c r="D1168" s="12"/>
      <c r="E1168" s="23"/>
      <c r="F1168" s="9"/>
      <c r="G1168" s="5"/>
      <c r="H1168" s="16"/>
      <c r="I1168" s="69"/>
      <c r="J1168" s="70"/>
      <c r="K1168" s="71"/>
      <c r="L1168" s="71"/>
      <c r="M1168" s="5"/>
    </row>
    <row r="1169" spans="1:13" s="3" customFormat="1">
      <c r="A1169" s="1"/>
      <c r="B1169" s="8"/>
      <c r="C1169" s="5"/>
      <c r="D1169" s="12"/>
      <c r="E1169" s="23"/>
      <c r="F1169" s="9"/>
      <c r="G1169" s="5"/>
      <c r="H1169" s="16"/>
      <c r="I1169" s="69"/>
      <c r="J1169" s="70"/>
      <c r="K1169" s="71"/>
      <c r="L1169" s="71"/>
      <c r="M1169" s="5"/>
    </row>
    <row r="1170" spans="1:13" s="3" customFormat="1">
      <c r="A1170" s="1"/>
      <c r="B1170" s="8"/>
      <c r="C1170" s="5"/>
      <c r="D1170" s="12"/>
      <c r="E1170" s="23"/>
      <c r="F1170" s="9"/>
      <c r="G1170" s="5"/>
      <c r="H1170" s="16"/>
      <c r="I1170" s="69"/>
      <c r="J1170" s="70"/>
      <c r="K1170" s="71"/>
      <c r="L1170" s="71"/>
      <c r="M1170" s="5"/>
    </row>
    <row r="1171" spans="1:13" s="3" customFormat="1">
      <c r="A1171" s="1"/>
      <c r="B1171" s="8"/>
      <c r="C1171" s="5"/>
      <c r="D1171" s="12"/>
      <c r="E1171" s="23"/>
      <c r="F1171" s="9"/>
      <c r="G1171" s="5"/>
      <c r="H1171" s="16"/>
      <c r="I1171" s="69"/>
      <c r="J1171" s="70"/>
      <c r="K1171" s="71"/>
      <c r="L1171" s="71"/>
      <c r="M1171" s="5"/>
    </row>
    <row r="1172" spans="1:13" s="3" customFormat="1">
      <c r="A1172" s="1"/>
      <c r="B1172" s="8"/>
      <c r="C1172" s="5"/>
      <c r="D1172" s="12"/>
      <c r="E1172" s="23"/>
      <c r="F1172" s="9"/>
      <c r="G1172" s="5"/>
      <c r="H1172" s="16"/>
      <c r="I1172" s="69"/>
      <c r="J1172" s="70"/>
      <c r="K1172" s="71"/>
      <c r="L1172" s="71"/>
      <c r="M1172" s="5"/>
    </row>
    <row r="1173" spans="1:13" s="3" customFormat="1">
      <c r="A1173" s="1"/>
      <c r="B1173" s="8"/>
      <c r="C1173" s="5"/>
      <c r="D1173" s="12"/>
      <c r="E1173" s="23"/>
      <c r="F1173" s="9"/>
      <c r="G1173" s="5"/>
      <c r="H1173" s="16"/>
      <c r="I1173" s="69"/>
      <c r="J1173" s="70"/>
      <c r="K1173" s="71"/>
      <c r="L1173" s="71"/>
      <c r="M1173" s="5"/>
    </row>
    <row r="1174" spans="1:13" s="3" customFormat="1">
      <c r="A1174" s="1"/>
      <c r="B1174" s="8"/>
      <c r="C1174" s="5"/>
      <c r="D1174" s="12"/>
      <c r="E1174" s="23"/>
      <c r="F1174" s="9"/>
      <c r="G1174" s="5"/>
      <c r="H1174" s="16"/>
      <c r="I1174" s="69"/>
      <c r="J1174" s="70"/>
      <c r="K1174" s="71"/>
      <c r="L1174" s="71"/>
      <c r="M1174" s="5"/>
    </row>
    <row r="1175" spans="1:13" s="3" customFormat="1">
      <c r="A1175" s="1"/>
      <c r="B1175" s="8"/>
      <c r="C1175" s="5"/>
      <c r="D1175" s="12"/>
      <c r="E1175" s="23"/>
      <c r="F1175" s="9"/>
      <c r="G1175" s="5"/>
      <c r="H1175" s="16"/>
      <c r="I1175" s="69"/>
      <c r="J1175" s="70"/>
      <c r="K1175" s="71"/>
      <c r="L1175" s="71"/>
      <c r="M1175" s="5"/>
    </row>
    <row r="1176" spans="1:13" s="3" customFormat="1">
      <c r="A1176" s="1"/>
      <c r="B1176" s="8"/>
      <c r="C1176" s="5"/>
      <c r="D1176" s="12"/>
      <c r="E1176" s="23"/>
      <c r="F1176" s="9"/>
      <c r="G1176" s="5"/>
      <c r="H1176" s="16"/>
      <c r="I1176" s="69"/>
      <c r="J1176" s="70"/>
      <c r="K1176" s="71"/>
      <c r="L1176" s="71"/>
      <c r="M1176" s="5"/>
    </row>
    <row r="1177" spans="1:13" s="3" customFormat="1">
      <c r="A1177" s="1"/>
      <c r="B1177" s="8"/>
      <c r="C1177" s="5"/>
      <c r="D1177" s="12"/>
      <c r="E1177" s="23"/>
      <c r="F1177" s="9"/>
      <c r="G1177" s="5"/>
      <c r="H1177" s="16"/>
      <c r="I1177" s="69"/>
      <c r="J1177" s="70"/>
      <c r="K1177" s="71"/>
      <c r="L1177" s="71"/>
      <c r="M1177" s="5"/>
    </row>
    <row r="1178" spans="1:13" s="3" customFormat="1">
      <c r="A1178" s="1"/>
      <c r="B1178" s="8"/>
      <c r="C1178" s="5"/>
      <c r="D1178" s="12"/>
      <c r="E1178" s="23"/>
      <c r="F1178" s="9"/>
      <c r="G1178" s="5"/>
      <c r="H1178" s="16"/>
      <c r="I1178" s="69"/>
      <c r="J1178" s="70"/>
      <c r="K1178" s="71"/>
      <c r="L1178" s="71"/>
      <c r="M1178" s="5"/>
    </row>
    <row r="1179" spans="1:13" s="3" customFormat="1">
      <c r="A1179" s="1"/>
      <c r="B1179" s="8"/>
      <c r="C1179" s="5"/>
      <c r="D1179" s="12"/>
      <c r="E1179" s="23"/>
      <c r="F1179" s="9"/>
      <c r="G1179" s="5"/>
      <c r="H1179" s="16"/>
      <c r="I1179" s="69"/>
      <c r="J1179" s="70"/>
      <c r="K1179" s="71"/>
      <c r="L1179" s="71"/>
      <c r="M1179" s="5"/>
    </row>
    <row r="1180" spans="1:13" s="3" customFormat="1">
      <c r="A1180" s="1"/>
      <c r="B1180" s="8"/>
      <c r="C1180" s="5"/>
      <c r="D1180" s="12"/>
      <c r="E1180" s="23"/>
      <c r="F1180" s="9"/>
      <c r="G1180" s="5"/>
      <c r="H1180" s="16"/>
      <c r="I1180" s="69"/>
      <c r="J1180" s="70"/>
      <c r="K1180" s="71"/>
      <c r="L1180" s="71"/>
      <c r="M1180" s="5"/>
    </row>
    <row r="1181" spans="1:13" s="3" customFormat="1">
      <c r="A1181" s="1"/>
      <c r="B1181" s="8"/>
      <c r="C1181" s="5"/>
      <c r="D1181" s="12"/>
      <c r="E1181" s="23"/>
      <c r="F1181" s="9"/>
      <c r="G1181" s="5"/>
      <c r="H1181" s="16"/>
      <c r="I1181" s="69"/>
      <c r="J1181" s="70"/>
      <c r="K1181" s="71"/>
      <c r="L1181" s="71"/>
      <c r="M1181" s="5"/>
    </row>
    <row r="1182" spans="1:13" s="3" customFormat="1">
      <c r="A1182" s="1"/>
      <c r="B1182" s="8"/>
      <c r="C1182" s="5"/>
      <c r="D1182" s="12"/>
      <c r="E1182" s="23"/>
      <c r="F1182" s="9"/>
      <c r="G1182" s="5"/>
      <c r="H1182" s="16"/>
      <c r="I1182" s="69"/>
      <c r="J1182" s="70"/>
      <c r="K1182" s="71"/>
      <c r="L1182" s="71"/>
      <c r="M1182" s="5"/>
    </row>
    <row r="1183" spans="1:13" s="3" customFormat="1">
      <c r="A1183" s="1"/>
      <c r="B1183" s="8"/>
      <c r="C1183" s="5"/>
      <c r="D1183" s="12"/>
      <c r="E1183" s="23"/>
      <c r="F1183" s="9"/>
      <c r="G1183" s="5"/>
      <c r="H1183" s="16"/>
      <c r="I1183" s="69"/>
      <c r="J1183" s="70"/>
      <c r="K1183" s="71"/>
      <c r="L1183" s="71"/>
      <c r="M1183" s="5"/>
    </row>
    <row r="1184" spans="1:13" s="3" customFormat="1">
      <c r="A1184" s="1"/>
      <c r="B1184" s="8"/>
      <c r="C1184" s="5"/>
      <c r="D1184" s="12"/>
      <c r="E1184" s="23"/>
      <c r="F1184" s="9"/>
      <c r="G1184" s="5"/>
      <c r="H1184" s="16"/>
      <c r="I1184" s="69"/>
      <c r="J1184" s="70"/>
      <c r="K1184" s="71"/>
      <c r="L1184" s="71"/>
      <c r="M1184" s="5"/>
    </row>
    <row r="1185" spans="1:13" s="3" customFormat="1">
      <c r="A1185" s="1"/>
      <c r="B1185" s="8"/>
      <c r="C1185" s="5"/>
      <c r="D1185" s="12"/>
      <c r="E1185" s="23"/>
      <c r="F1185" s="9"/>
      <c r="G1185" s="5"/>
      <c r="H1185" s="16"/>
      <c r="I1185" s="69"/>
      <c r="J1185" s="70"/>
      <c r="K1185" s="71"/>
      <c r="L1185" s="71"/>
      <c r="M1185" s="5"/>
    </row>
    <row r="1186" spans="1:13" s="3" customFormat="1">
      <c r="A1186" s="1"/>
      <c r="B1186" s="8"/>
      <c r="C1186" s="5"/>
      <c r="D1186" s="12"/>
      <c r="E1186" s="23"/>
      <c r="F1186" s="9"/>
      <c r="G1186" s="5"/>
      <c r="H1186" s="16"/>
      <c r="I1186" s="69"/>
      <c r="J1186" s="70"/>
      <c r="K1186" s="71"/>
      <c r="L1186" s="71"/>
      <c r="M1186" s="5"/>
    </row>
    <row r="1187" spans="1:13" s="3" customFormat="1">
      <c r="A1187" s="1"/>
      <c r="B1187" s="8"/>
      <c r="C1187" s="5"/>
      <c r="D1187" s="12"/>
      <c r="E1187" s="23"/>
      <c r="F1187" s="9"/>
      <c r="G1187" s="5"/>
      <c r="H1187" s="16"/>
      <c r="I1187" s="69"/>
      <c r="J1187" s="70"/>
      <c r="K1187" s="71"/>
      <c r="L1187" s="71"/>
      <c r="M1187" s="5"/>
    </row>
    <row r="1188" spans="1:13" s="3" customFormat="1">
      <c r="A1188" s="1"/>
      <c r="B1188" s="8"/>
      <c r="C1188" s="5"/>
      <c r="D1188" s="12"/>
      <c r="E1188" s="23"/>
      <c r="F1188" s="9"/>
      <c r="G1188" s="5"/>
      <c r="H1188" s="16"/>
      <c r="I1188" s="69"/>
      <c r="J1188" s="70"/>
      <c r="K1188" s="71"/>
      <c r="L1188" s="71"/>
      <c r="M1188" s="5"/>
    </row>
    <row r="1189" spans="1:13" s="3" customFormat="1">
      <c r="A1189" s="1"/>
      <c r="B1189" s="8"/>
      <c r="C1189" s="5"/>
      <c r="D1189" s="12"/>
      <c r="E1189" s="23"/>
      <c r="F1189" s="9"/>
      <c r="G1189" s="5"/>
      <c r="H1189" s="16"/>
      <c r="I1189" s="69"/>
      <c r="J1189" s="70"/>
      <c r="K1189" s="71"/>
      <c r="L1189" s="71"/>
      <c r="M1189" s="5"/>
    </row>
    <row r="1190" spans="1:13" s="3" customFormat="1">
      <c r="A1190" s="1"/>
      <c r="B1190" s="8"/>
      <c r="C1190" s="5"/>
      <c r="D1190" s="12"/>
      <c r="E1190" s="23"/>
      <c r="F1190" s="9"/>
      <c r="G1190" s="5"/>
      <c r="H1190" s="16"/>
      <c r="I1190" s="69"/>
      <c r="J1190" s="70"/>
      <c r="K1190" s="71"/>
      <c r="L1190" s="71"/>
      <c r="M1190" s="5"/>
    </row>
    <row r="1191" spans="1:13" s="3" customFormat="1">
      <c r="A1191" s="1"/>
      <c r="B1191" s="8"/>
      <c r="C1191" s="5"/>
      <c r="D1191" s="12"/>
      <c r="E1191" s="23"/>
      <c r="F1191" s="9"/>
      <c r="G1191" s="5"/>
      <c r="H1191" s="16"/>
      <c r="I1191" s="69"/>
      <c r="J1191" s="70"/>
      <c r="K1191" s="71"/>
      <c r="L1191" s="71"/>
      <c r="M1191" s="5"/>
    </row>
    <row r="1192" spans="1:13" s="3" customFormat="1">
      <c r="A1192" s="1"/>
      <c r="B1192" s="8"/>
      <c r="C1192" s="5"/>
      <c r="D1192" s="12"/>
      <c r="E1192" s="23"/>
      <c r="F1192" s="9"/>
      <c r="G1192" s="5"/>
      <c r="H1192" s="16"/>
      <c r="I1192" s="69"/>
      <c r="J1192" s="70"/>
      <c r="K1192" s="71"/>
      <c r="L1192" s="71"/>
      <c r="M1192" s="5"/>
    </row>
    <row r="1193" spans="1:13" s="3" customFormat="1">
      <c r="A1193" s="1"/>
      <c r="B1193" s="8"/>
      <c r="C1193" s="5"/>
      <c r="D1193" s="12"/>
      <c r="E1193" s="23"/>
      <c r="F1193" s="9"/>
      <c r="G1193" s="5"/>
      <c r="H1193" s="16"/>
      <c r="I1193" s="69"/>
      <c r="J1193" s="70"/>
      <c r="K1193" s="71"/>
      <c r="L1193" s="71"/>
      <c r="M1193" s="5"/>
    </row>
    <row r="1194" spans="1:13" s="3" customFormat="1">
      <c r="A1194" s="1"/>
      <c r="B1194" s="8"/>
      <c r="C1194" s="5"/>
      <c r="D1194" s="12"/>
      <c r="E1194" s="23"/>
      <c r="F1194" s="9"/>
      <c r="G1194" s="5"/>
      <c r="H1194" s="16"/>
      <c r="I1194" s="69"/>
      <c r="J1194" s="70"/>
      <c r="K1194" s="71"/>
      <c r="L1194" s="71"/>
      <c r="M1194" s="5"/>
    </row>
    <row r="1195" spans="1:13" s="3" customFormat="1">
      <c r="A1195" s="1"/>
      <c r="B1195" s="8"/>
      <c r="C1195" s="5"/>
      <c r="D1195" s="12"/>
      <c r="E1195" s="23"/>
      <c r="F1195" s="9"/>
      <c r="G1195" s="5"/>
      <c r="H1195" s="16"/>
      <c r="I1195" s="69"/>
      <c r="J1195" s="70"/>
      <c r="K1195" s="71"/>
      <c r="L1195" s="71"/>
      <c r="M1195" s="5"/>
    </row>
    <row r="1196" spans="1:13" s="3" customFormat="1">
      <c r="A1196" s="1"/>
      <c r="B1196" s="8"/>
      <c r="C1196" s="5"/>
      <c r="D1196" s="12"/>
      <c r="E1196" s="23"/>
      <c r="F1196" s="9"/>
      <c r="G1196" s="5"/>
      <c r="H1196" s="16"/>
      <c r="I1196" s="69"/>
      <c r="J1196" s="70"/>
      <c r="K1196" s="71"/>
      <c r="L1196" s="71"/>
      <c r="M1196" s="5"/>
    </row>
    <row r="1197" spans="1:13" s="3" customFormat="1">
      <c r="A1197" s="1"/>
      <c r="B1197" s="8"/>
      <c r="C1197" s="5"/>
      <c r="D1197" s="12"/>
      <c r="E1197" s="23"/>
      <c r="F1197" s="9"/>
      <c r="G1197" s="5"/>
      <c r="H1197" s="16"/>
      <c r="I1197" s="69"/>
      <c r="J1197" s="70"/>
      <c r="K1197" s="71"/>
      <c r="L1197" s="71"/>
      <c r="M1197" s="5"/>
    </row>
    <row r="1198" spans="1:13" s="3" customFormat="1">
      <c r="A1198" s="1"/>
      <c r="B1198" s="8"/>
      <c r="C1198" s="5"/>
      <c r="D1198" s="12"/>
      <c r="E1198" s="23"/>
      <c r="F1198" s="9"/>
      <c r="G1198" s="5"/>
      <c r="H1198" s="16"/>
      <c r="I1198" s="69"/>
      <c r="J1198" s="70"/>
      <c r="K1198" s="71"/>
      <c r="L1198" s="71"/>
      <c r="M1198" s="5"/>
    </row>
    <row r="1199" spans="1:13" s="3" customFormat="1">
      <c r="A1199" s="1"/>
      <c r="B1199" s="8"/>
      <c r="C1199" s="5"/>
      <c r="D1199" s="12"/>
      <c r="E1199" s="23"/>
      <c r="F1199" s="9"/>
      <c r="G1199" s="5"/>
      <c r="H1199" s="16"/>
      <c r="I1199" s="69"/>
      <c r="J1199" s="70"/>
      <c r="K1199" s="71"/>
      <c r="L1199" s="71"/>
      <c r="M1199" s="5"/>
    </row>
    <row r="1200" spans="1:13" s="3" customFormat="1">
      <c r="A1200" s="1"/>
      <c r="B1200" s="8"/>
      <c r="C1200" s="5"/>
      <c r="D1200" s="12"/>
      <c r="E1200" s="23"/>
      <c r="F1200" s="9"/>
      <c r="G1200" s="5"/>
      <c r="H1200" s="16"/>
      <c r="I1200" s="69"/>
      <c r="J1200" s="70"/>
      <c r="K1200" s="71"/>
      <c r="L1200" s="71"/>
      <c r="M1200" s="5"/>
    </row>
    <row r="1201" spans="1:13" s="3" customFormat="1">
      <c r="A1201" s="1"/>
      <c r="B1201" s="8"/>
      <c r="C1201" s="5"/>
      <c r="D1201" s="12"/>
      <c r="E1201" s="23"/>
      <c r="F1201" s="9"/>
      <c r="G1201" s="5"/>
      <c r="H1201" s="16"/>
      <c r="I1201" s="69"/>
      <c r="J1201" s="70"/>
      <c r="K1201" s="71"/>
      <c r="L1201" s="71"/>
      <c r="M1201" s="5"/>
    </row>
    <row r="1202" spans="1:13" s="3" customFormat="1">
      <c r="A1202" s="1"/>
      <c r="B1202" s="8"/>
      <c r="C1202" s="5"/>
      <c r="D1202" s="12"/>
      <c r="E1202" s="23"/>
      <c r="F1202" s="9"/>
      <c r="G1202" s="5"/>
      <c r="H1202" s="16"/>
      <c r="I1202" s="69"/>
      <c r="J1202" s="70"/>
      <c r="K1202" s="71"/>
      <c r="L1202" s="71"/>
      <c r="M1202" s="5"/>
    </row>
    <row r="1203" spans="1:13" s="3" customFormat="1">
      <c r="A1203" s="1"/>
      <c r="B1203" s="8"/>
      <c r="C1203" s="5"/>
      <c r="D1203" s="12"/>
      <c r="E1203" s="23"/>
      <c r="F1203" s="9"/>
      <c r="G1203" s="5"/>
      <c r="H1203" s="16"/>
      <c r="I1203" s="69"/>
      <c r="J1203" s="70"/>
      <c r="K1203" s="71"/>
      <c r="L1203" s="71"/>
      <c r="M1203" s="5"/>
    </row>
    <row r="1204" spans="1:13" s="3" customFormat="1">
      <c r="A1204" s="1"/>
      <c r="B1204" s="8"/>
      <c r="C1204" s="5"/>
      <c r="D1204" s="12"/>
      <c r="E1204" s="23"/>
      <c r="F1204" s="9"/>
      <c r="G1204" s="5"/>
      <c r="H1204" s="16"/>
      <c r="I1204" s="69"/>
      <c r="J1204" s="70"/>
      <c r="K1204" s="71"/>
      <c r="L1204" s="71"/>
      <c r="M1204" s="5"/>
    </row>
    <row r="1205" spans="1:13" s="3" customFormat="1">
      <c r="A1205" s="1"/>
      <c r="B1205" s="8"/>
      <c r="C1205" s="5"/>
      <c r="D1205" s="12"/>
      <c r="E1205" s="23"/>
      <c r="F1205" s="9"/>
      <c r="G1205" s="5"/>
      <c r="H1205" s="16"/>
      <c r="I1205" s="69"/>
      <c r="J1205" s="70"/>
      <c r="K1205" s="71"/>
      <c r="L1205" s="71"/>
      <c r="M1205" s="5"/>
    </row>
    <row r="1206" spans="1:13" s="3" customFormat="1">
      <c r="A1206" s="1"/>
      <c r="B1206" s="8"/>
      <c r="C1206" s="5"/>
      <c r="D1206" s="12"/>
      <c r="E1206" s="23"/>
      <c r="F1206" s="9"/>
      <c r="G1206" s="5"/>
      <c r="H1206" s="16"/>
      <c r="I1206" s="69"/>
      <c r="J1206" s="70"/>
      <c r="K1206" s="71"/>
      <c r="L1206" s="71"/>
      <c r="M1206" s="5"/>
    </row>
    <row r="1207" spans="1:13" s="3" customFormat="1">
      <c r="A1207" s="1"/>
      <c r="B1207" s="8"/>
      <c r="C1207" s="5"/>
      <c r="D1207" s="12"/>
      <c r="E1207" s="23"/>
      <c r="F1207" s="9"/>
      <c r="G1207" s="5"/>
      <c r="H1207" s="16"/>
      <c r="I1207" s="69"/>
      <c r="J1207" s="70"/>
      <c r="K1207" s="71"/>
      <c r="L1207" s="71"/>
      <c r="M1207" s="5"/>
    </row>
    <row r="1208" spans="1:13" s="3" customFormat="1">
      <c r="A1208" s="1"/>
      <c r="B1208" s="8"/>
      <c r="C1208" s="5"/>
      <c r="D1208" s="12"/>
      <c r="E1208" s="23"/>
      <c r="F1208" s="9"/>
      <c r="G1208" s="5"/>
      <c r="H1208" s="16"/>
      <c r="I1208" s="69"/>
      <c r="J1208" s="70"/>
      <c r="K1208" s="71"/>
      <c r="L1208" s="71"/>
      <c r="M1208" s="5"/>
    </row>
    <row r="1209" spans="1:13" s="3" customFormat="1">
      <c r="A1209" s="1"/>
      <c r="B1209" s="8"/>
      <c r="C1209" s="5"/>
      <c r="D1209" s="12"/>
      <c r="E1209" s="23"/>
      <c r="F1209" s="9"/>
      <c r="G1209" s="5"/>
      <c r="H1209" s="16"/>
      <c r="I1209" s="69"/>
      <c r="J1209" s="70"/>
      <c r="K1209" s="71"/>
      <c r="L1209" s="71"/>
      <c r="M1209" s="5"/>
    </row>
    <row r="1210" spans="1:13" s="3" customFormat="1">
      <c r="A1210" s="1"/>
      <c r="B1210" s="8"/>
      <c r="C1210" s="5"/>
      <c r="D1210" s="12"/>
      <c r="E1210" s="23"/>
      <c r="F1210" s="9"/>
      <c r="G1210" s="5"/>
      <c r="H1210" s="16"/>
      <c r="I1210" s="69"/>
      <c r="J1210" s="70"/>
      <c r="K1210" s="71"/>
      <c r="L1210" s="71"/>
      <c r="M1210" s="5"/>
    </row>
    <row r="1211" spans="1:13" s="3" customFormat="1">
      <c r="A1211" s="1"/>
      <c r="B1211" s="8"/>
      <c r="C1211" s="5"/>
      <c r="D1211" s="12"/>
      <c r="E1211" s="23"/>
      <c r="F1211" s="9"/>
      <c r="G1211" s="5"/>
      <c r="H1211" s="16"/>
      <c r="I1211" s="69"/>
      <c r="J1211" s="70"/>
      <c r="K1211" s="71"/>
      <c r="L1211" s="71"/>
      <c r="M1211" s="5"/>
    </row>
    <row r="1212" spans="1:13" s="3" customFormat="1">
      <c r="A1212" s="1"/>
      <c r="B1212" s="8"/>
      <c r="C1212" s="5"/>
      <c r="D1212" s="12"/>
      <c r="E1212" s="23"/>
      <c r="F1212" s="9"/>
      <c r="G1212" s="5"/>
      <c r="H1212" s="16"/>
      <c r="I1212" s="69"/>
      <c r="J1212" s="70"/>
      <c r="K1212" s="71"/>
      <c r="L1212" s="71"/>
      <c r="M1212" s="5"/>
    </row>
    <row r="1213" spans="1:13" s="3" customFormat="1">
      <c r="A1213" s="1"/>
      <c r="B1213" s="8"/>
      <c r="C1213" s="5"/>
      <c r="D1213" s="12"/>
      <c r="E1213" s="23"/>
      <c r="F1213" s="9"/>
      <c r="G1213" s="5"/>
      <c r="H1213" s="16"/>
      <c r="I1213" s="69"/>
      <c r="J1213" s="70"/>
      <c r="K1213" s="71"/>
      <c r="L1213" s="71"/>
      <c r="M1213" s="5"/>
    </row>
    <row r="1214" spans="1:13" s="3" customFormat="1">
      <c r="A1214" s="1"/>
      <c r="B1214" s="8"/>
      <c r="C1214" s="5"/>
      <c r="D1214" s="12"/>
      <c r="E1214" s="23"/>
      <c r="F1214" s="9"/>
      <c r="G1214" s="5"/>
      <c r="H1214" s="16"/>
      <c r="I1214" s="69"/>
      <c r="J1214" s="70"/>
      <c r="K1214" s="71"/>
      <c r="L1214" s="71"/>
      <c r="M1214" s="5"/>
    </row>
    <row r="1215" spans="1:13" s="3" customFormat="1">
      <c r="A1215" s="1"/>
      <c r="B1215" s="8"/>
      <c r="C1215" s="5"/>
      <c r="D1215" s="12"/>
      <c r="E1215" s="23"/>
      <c r="F1215" s="9"/>
      <c r="G1215" s="5"/>
      <c r="H1215" s="16"/>
      <c r="I1215" s="69"/>
      <c r="J1215" s="70"/>
      <c r="K1215" s="71"/>
      <c r="L1215" s="71"/>
      <c r="M1215" s="5"/>
    </row>
    <row r="1216" spans="1:13" s="3" customFormat="1">
      <c r="A1216" s="1"/>
      <c r="B1216" s="8"/>
      <c r="C1216" s="5"/>
      <c r="D1216" s="12"/>
      <c r="E1216" s="23"/>
      <c r="F1216" s="9"/>
      <c r="G1216" s="5"/>
      <c r="H1216" s="16"/>
      <c r="I1216" s="69"/>
      <c r="J1216" s="70"/>
      <c r="K1216" s="71"/>
      <c r="L1216" s="71"/>
      <c r="M1216" s="5"/>
    </row>
    <row r="1217" spans="1:13" s="3" customFormat="1">
      <c r="A1217" s="1"/>
      <c r="B1217" s="8"/>
      <c r="C1217" s="5"/>
      <c r="D1217" s="12"/>
      <c r="E1217" s="23"/>
      <c r="F1217" s="9"/>
      <c r="G1217" s="5"/>
      <c r="H1217" s="16"/>
      <c r="I1217" s="69"/>
      <c r="J1217" s="70"/>
      <c r="K1217" s="71"/>
      <c r="L1217" s="71"/>
      <c r="M1217" s="5"/>
    </row>
    <row r="1218" spans="1:13" s="3" customFormat="1">
      <c r="A1218" s="1"/>
      <c r="B1218" s="8"/>
      <c r="C1218" s="5"/>
      <c r="D1218" s="12"/>
      <c r="E1218" s="23"/>
      <c r="F1218" s="9"/>
      <c r="G1218" s="5"/>
      <c r="H1218" s="16"/>
      <c r="I1218" s="69"/>
      <c r="J1218" s="70"/>
      <c r="K1218" s="71"/>
      <c r="L1218" s="71"/>
      <c r="M1218" s="5"/>
    </row>
    <row r="1219" spans="1:13" s="3" customFormat="1">
      <c r="A1219" s="1"/>
      <c r="B1219" s="8"/>
      <c r="C1219" s="5"/>
      <c r="D1219" s="12"/>
      <c r="E1219" s="23"/>
      <c r="F1219" s="9"/>
      <c r="G1219" s="5"/>
      <c r="H1219" s="16"/>
      <c r="I1219" s="69"/>
      <c r="J1219" s="70"/>
      <c r="K1219" s="71"/>
      <c r="L1219" s="71"/>
      <c r="M1219" s="5"/>
    </row>
    <row r="1220" spans="1:13" s="3" customFormat="1">
      <c r="A1220" s="1"/>
      <c r="B1220" s="8"/>
      <c r="C1220" s="5"/>
      <c r="D1220" s="12"/>
      <c r="E1220" s="23"/>
      <c r="F1220" s="9"/>
      <c r="G1220" s="5"/>
      <c r="H1220" s="16"/>
      <c r="I1220" s="69"/>
      <c r="J1220" s="70"/>
      <c r="K1220" s="71"/>
      <c r="L1220" s="71"/>
      <c r="M1220" s="5"/>
    </row>
    <row r="1221" spans="1:13" s="3" customFormat="1">
      <c r="A1221" s="1"/>
      <c r="B1221" s="8"/>
      <c r="C1221" s="5"/>
      <c r="D1221" s="12"/>
      <c r="E1221" s="23"/>
      <c r="F1221" s="9"/>
      <c r="G1221" s="5"/>
      <c r="H1221" s="16"/>
      <c r="I1221" s="69"/>
      <c r="J1221" s="70"/>
      <c r="K1221" s="71"/>
      <c r="L1221" s="71"/>
      <c r="M1221" s="5"/>
    </row>
    <row r="1222" spans="1:13" s="3" customFormat="1">
      <c r="A1222" s="1"/>
      <c r="B1222" s="8"/>
      <c r="C1222" s="5"/>
      <c r="D1222" s="12"/>
      <c r="E1222" s="23"/>
      <c r="F1222" s="9"/>
      <c r="G1222" s="5"/>
      <c r="H1222" s="16"/>
      <c r="I1222" s="69"/>
      <c r="J1222" s="70"/>
      <c r="K1222" s="71"/>
      <c r="L1222" s="71"/>
      <c r="M1222" s="5"/>
    </row>
    <row r="1223" spans="1:13" s="3" customFormat="1">
      <c r="A1223" s="1"/>
      <c r="B1223" s="8"/>
      <c r="C1223" s="5"/>
      <c r="D1223" s="12"/>
      <c r="E1223" s="23"/>
      <c r="F1223" s="9"/>
      <c r="G1223" s="5"/>
      <c r="H1223" s="16"/>
      <c r="I1223" s="69"/>
      <c r="J1223" s="70"/>
      <c r="K1223" s="71"/>
      <c r="L1223" s="71"/>
      <c r="M1223" s="5"/>
    </row>
    <row r="1224" spans="1:13" s="3" customFormat="1">
      <c r="A1224" s="1"/>
      <c r="B1224" s="8"/>
      <c r="C1224" s="5"/>
      <c r="D1224" s="12"/>
      <c r="E1224" s="23"/>
      <c r="F1224" s="9"/>
      <c r="G1224" s="5"/>
      <c r="H1224" s="16"/>
      <c r="I1224" s="69"/>
      <c r="J1224" s="70"/>
      <c r="K1224" s="71"/>
      <c r="L1224" s="71"/>
      <c r="M1224" s="5"/>
    </row>
    <row r="1225" spans="1:13" s="3" customFormat="1">
      <c r="A1225" s="1"/>
      <c r="B1225" s="8"/>
      <c r="C1225" s="5"/>
      <c r="D1225" s="12"/>
      <c r="E1225" s="23"/>
      <c r="F1225" s="9"/>
      <c r="G1225" s="5"/>
      <c r="H1225" s="16"/>
      <c r="I1225" s="69"/>
      <c r="J1225" s="70"/>
      <c r="K1225" s="71"/>
      <c r="L1225" s="71"/>
      <c r="M1225" s="5"/>
    </row>
    <row r="1226" spans="1:13" s="3" customFormat="1">
      <c r="A1226" s="1"/>
      <c r="B1226" s="8"/>
      <c r="C1226" s="5"/>
      <c r="D1226" s="12"/>
      <c r="E1226" s="23"/>
      <c r="F1226" s="9"/>
      <c r="G1226" s="5"/>
      <c r="H1226" s="16"/>
      <c r="I1226" s="69"/>
      <c r="J1226" s="70"/>
      <c r="K1226" s="71"/>
      <c r="L1226" s="71"/>
      <c r="M1226" s="5"/>
    </row>
    <row r="1227" spans="1:13" s="3" customFormat="1">
      <c r="A1227" s="1"/>
      <c r="B1227" s="8"/>
      <c r="C1227" s="5"/>
      <c r="D1227" s="12"/>
      <c r="E1227" s="23"/>
      <c r="F1227" s="9"/>
      <c r="G1227" s="5"/>
      <c r="H1227" s="16"/>
      <c r="I1227" s="69"/>
      <c r="J1227" s="70"/>
      <c r="K1227" s="71"/>
      <c r="L1227" s="71"/>
      <c r="M1227" s="5"/>
    </row>
    <row r="1228" spans="1:13" s="3" customFormat="1">
      <c r="A1228" s="1"/>
      <c r="B1228" s="8"/>
      <c r="C1228" s="5"/>
      <c r="D1228" s="12"/>
      <c r="E1228" s="23"/>
      <c r="F1228" s="9"/>
      <c r="G1228" s="5"/>
      <c r="H1228" s="16"/>
      <c r="I1228" s="69"/>
      <c r="J1228" s="70"/>
      <c r="K1228" s="71"/>
      <c r="L1228" s="71"/>
      <c r="M1228" s="5"/>
    </row>
    <row r="1229" spans="1:13" s="3" customFormat="1">
      <c r="A1229" s="1"/>
      <c r="B1229" s="8"/>
      <c r="C1229" s="5"/>
      <c r="D1229" s="12"/>
      <c r="E1229" s="23"/>
      <c r="F1229" s="9"/>
      <c r="G1229" s="5"/>
      <c r="H1229" s="16"/>
      <c r="I1229" s="69"/>
      <c r="J1229" s="70"/>
      <c r="K1229" s="71"/>
      <c r="L1229" s="71"/>
      <c r="M1229" s="5"/>
    </row>
    <row r="1230" spans="1:13" s="3" customFormat="1">
      <c r="A1230" s="1"/>
      <c r="B1230" s="8"/>
      <c r="C1230" s="5"/>
      <c r="D1230" s="12"/>
      <c r="E1230" s="23"/>
      <c r="F1230" s="9"/>
      <c r="G1230" s="5"/>
      <c r="H1230" s="16"/>
      <c r="I1230" s="69"/>
      <c r="J1230" s="70"/>
      <c r="K1230" s="71"/>
      <c r="L1230" s="71"/>
      <c r="M1230" s="5"/>
    </row>
    <row r="1231" spans="1:13" s="3" customFormat="1">
      <c r="A1231" s="1"/>
      <c r="B1231" s="8"/>
      <c r="C1231" s="5"/>
      <c r="D1231" s="12"/>
      <c r="E1231" s="23"/>
      <c r="F1231" s="9"/>
      <c r="G1231" s="5"/>
      <c r="H1231" s="16"/>
      <c r="I1231" s="69"/>
      <c r="J1231" s="70"/>
      <c r="K1231" s="71"/>
      <c r="L1231" s="71"/>
      <c r="M1231" s="5"/>
    </row>
    <row r="1232" spans="1:13" s="3" customFormat="1">
      <c r="A1232" s="1"/>
      <c r="B1232" s="8"/>
      <c r="C1232" s="5"/>
      <c r="D1232" s="12"/>
      <c r="E1232" s="23"/>
      <c r="F1232" s="9"/>
      <c r="G1232" s="5"/>
      <c r="H1232" s="16"/>
      <c r="I1232" s="69"/>
      <c r="J1232" s="70"/>
      <c r="K1232" s="71"/>
      <c r="L1232" s="71"/>
      <c r="M1232" s="5"/>
    </row>
    <row r="1233" spans="1:13" s="3" customFormat="1">
      <c r="A1233" s="1"/>
      <c r="B1233" s="8"/>
      <c r="C1233" s="5"/>
      <c r="D1233" s="12"/>
      <c r="E1233" s="23"/>
      <c r="F1233" s="9"/>
      <c r="G1233" s="5"/>
      <c r="H1233" s="16"/>
      <c r="I1233" s="69"/>
      <c r="J1233" s="70"/>
      <c r="K1233" s="71"/>
      <c r="L1233" s="71"/>
      <c r="M1233" s="5"/>
    </row>
    <row r="1234" spans="1:13" s="3" customFormat="1">
      <c r="A1234" s="1"/>
      <c r="B1234" s="8"/>
      <c r="C1234" s="5"/>
      <c r="D1234" s="12"/>
      <c r="E1234" s="23"/>
      <c r="F1234" s="9"/>
      <c r="G1234" s="5"/>
      <c r="H1234" s="16"/>
      <c r="I1234" s="69"/>
      <c r="J1234" s="70"/>
      <c r="K1234" s="71"/>
      <c r="L1234" s="71"/>
      <c r="M1234" s="5"/>
    </row>
    <row r="1235" spans="1:13" s="3" customFormat="1">
      <c r="A1235" s="1"/>
      <c r="B1235" s="8"/>
      <c r="C1235" s="5"/>
      <c r="D1235" s="12"/>
      <c r="E1235" s="23"/>
      <c r="F1235" s="9"/>
      <c r="G1235" s="5"/>
      <c r="H1235" s="16"/>
      <c r="I1235" s="69"/>
      <c r="J1235" s="70"/>
      <c r="K1235" s="71"/>
      <c r="L1235" s="71"/>
      <c r="M1235" s="5"/>
    </row>
    <row r="1236" spans="1:13" s="3" customFormat="1">
      <c r="A1236" s="1"/>
      <c r="B1236" s="8"/>
      <c r="C1236" s="5"/>
      <c r="D1236" s="12"/>
      <c r="E1236" s="23"/>
      <c r="F1236" s="9"/>
      <c r="G1236" s="5"/>
      <c r="H1236" s="16"/>
      <c r="I1236" s="69"/>
      <c r="J1236" s="70"/>
      <c r="K1236" s="71"/>
      <c r="L1236" s="71"/>
      <c r="M1236" s="5"/>
    </row>
    <row r="1237" spans="1:13" s="3" customFormat="1">
      <c r="A1237" s="1"/>
      <c r="B1237" s="8"/>
      <c r="C1237" s="5"/>
      <c r="D1237" s="12"/>
      <c r="E1237" s="23"/>
      <c r="F1237" s="9"/>
      <c r="G1237" s="5"/>
      <c r="H1237" s="16"/>
      <c r="I1237" s="69"/>
      <c r="J1237" s="70"/>
      <c r="K1237" s="71"/>
      <c r="L1237" s="71"/>
      <c r="M1237" s="5"/>
    </row>
    <row r="1238" spans="1:13" s="3" customFormat="1">
      <c r="A1238" s="1"/>
      <c r="B1238" s="8"/>
      <c r="C1238" s="5"/>
      <c r="D1238" s="12"/>
      <c r="E1238" s="23"/>
      <c r="F1238" s="9"/>
      <c r="G1238" s="5"/>
      <c r="H1238" s="16"/>
      <c r="I1238" s="69"/>
      <c r="J1238" s="70"/>
      <c r="K1238" s="71"/>
      <c r="L1238" s="71"/>
      <c r="M1238" s="5"/>
    </row>
    <row r="1239" spans="1:13" s="3" customFormat="1">
      <c r="A1239" s="1"/>
      <c r="B1239" s="8"/>
      <c r="C1239" s="5"/>
      <c r="D1239" s="12"/>
      <c r="E1239" s="23"/>
      <c r="F1239" s="9"/>
      <c r="G1239" s="5"/>
      <c r="H1239" s="16"/>
      <c r="I1239" s="69"/>
      <c r="J1239" s="70"/>
      <c r="K1239" s="71"/>
      <c r="L1239" s="71"/>
      <c r="M1239" s="5"/>
    </row>
    <row r="1240" spans="1:13" s="3" customFormat="1">
      <c r="A1240" s="1"/>
      <c r="B1240" s="8"/>
      <c r="C1240" s="5"/>
      <c r="D1240" s="12"/>
      <c r="E1240" s="23"/>
      <c r="F1240" s="9"/>
      <c r="G1240" s="5"/>
      <c r="H1240" s="16"/>
      <c r="I1240" s="69"/>
      <c r="J1240" s="70"/>
      <c r="K1240" s="71"/>
      <c r="L1240" s="71"/>
      <c r="M1240" s="5"/>
    </row>
    <row r="1241" spans="1:13" s="3" customFormat="1">
      <c r="A1241" s="1"/>
      <c r="B1241" s="8"/>
      <c r="C1241" s="5"/>
      <c r="D1241" s="12"/>
      <c r="E1241" s="23"/>
      <c r="F1241" s="9"/>
      <c r="G1241" s="5"/>
      <c r="H1241" s="16"/>
      <c r="I1241" s="69"/>
      <c r="J1241" s="70"/>
      <c r="K1241" s="71"/>
      <c r="L1241" s="71"/>
      <c r="M1241" s="5"/>
    </row>
    <row r="1242" spans="1:13" s="3" customFormat="1">
      <c r="A1242" s="1"/>
      <c r="B1242" s="8"/>
      <c r="C1242" s="5"/>
      <c r="D1242" s="12"/>
      <c r="E1242" s="23"/>
      <c r="F1242" s="9"/>
      <c r="G1242" s="5"/>
      <c r="H1242" s="16"/>
      <c r="I1242" s="69"/>
      <c r="J1242" s="70"/>
      <c r="K1242" s="71"/>
      <c r="L1242" s="71"/>
      <c r="M1242" s="5"/>
    </row>
    <row r="1243" spans="1:13" s="3" customFormat="1">
      <c r="A1243" s="1"/>
      <c r="B1243" s="8"/>
      <c r="C1243" s="5"/>
      <c r="D1243" s="12"/>
      <c r="E1243" s="23"/>
      <c r="F1243" s="9"/>
      <c r="G1243" s="5"/>
      <c r="H1243" s="16"/>
      <c r="I1243" s="69"/>
      <c r="J1243" s="70"/>
      <c r="K1243" s="71"/>
      <c r="L1243" s="71"/>
      <c r="M1243" s="5"/>
    </row>
    <row r="1244" spans="1:13" s="3" customFormat="1">
      <c r="A1244" s="1"/>
      <c r="B1244" s="8"/>
      <c r="C1244" s="5"/>
      <c r="D1244" s="12"/>
      <c r="E1244" s="23"/>
      <c r="F1244" s="9"/>
      <c r="G1244" s="5"/>
      <c r="H1244" s="16"/>
      <c r="I1244" s="69"/>
      <c r="J1244" s="70"/>
      <c r="K1244" s="71"/>
      <c r="L1244" s="71"/>
      <c r="M1244" s="5"/>
    </row>
    <row r="1245" spans="1:13" s="3" customFormat="1">
      <c r="A1245" s="1"/>
      <c r="B1245" s="8"/>
      <c r="C1245" s="5"/>
      <c r="D1245" s="12"/>
      <c r="E1245" s="23"/>
      <c r="F1245" s="9"/>
      <c r="G1245" s="5"/>
      <c r="H1245" s="16"/>
      <c r="I1245" s="69"/>
      <c r="J1245" s="70"/>
      <c r="K1245" s="71"/>
      <c r="L1245" s="71"/>
      <c r="M1245" s="5"/>
    </row>
    <row r="1246" spans="1:13" s="3" customFormat="1">
      <c r="A1246" s="1"/>
      <c r="B1246" s="8"/>
      <c r="C1246" s="5"/>
      <c r="D1246" s="12"/>
      <c r="E1246" s="23"/>
      <c r="F1246" s="9"/>
      <c r="G1246" s="5"/>
      <c r="H1246" s="16"/>
      <c r="I1246" s="69"/>
      <c r="J1246" s="70"/>
      <c r="K1246" s="71"/>
      <c r="L1246" s="71"/>
      <c r="M1246" s="5"/>
    </row>
    <row r="1247" spans="1:13" s="3" customFormat="1">
      <c r="A1247" s="1"/>
      <c r="B1247" s="8"/>
      <c r="C1247" s="5"/>
      <c r="D1247" s="12"/>
      <c r="E1247" s="23"/>
      <c r="F1247" s="9"/>
      <c r="G1247" s="5"/>
      <c r="H1247" s="16"/>
      <c r="I1247" s="69"/>
      <c r="J1247" s="70"/>
      <c r="K1247" s="71"/>
      <c r="L1247" s="71"/>
      <c r="M1247" s="5"/>
    </row>
    <row r="1248" spans="1:13" s="3" customFormat="1">
      <c r="A1248" s="1"/>
      <c r="B1248" s="8"/>
      <c r="C1248" s="5"/>
      <c r="D1248" s="12"/>
      <c r="E1248" s="23"/>
      <c r="F1248" s="9"/>
      <c r="G1248" s="5"/>
      <c r="H1248" s="16"/>
      <c r="I1248" s="69"/>
      <c r="J1248" s="70"/>
      <c r="K1248" s="71"/>
      <c r="L1248" s="71"/>
      <c r="M1248" s="5"/>
    </row>
    <row r="1249" spans="1:13" s="3" customFormat="1">
      <c r="A1249" s="1"/>
      <c r="B1249" s="8"/>
      <c r="C1249" s="5"/>
      <c r="D1249" s="12"/>
      <c r="E1249" s="23"/>
      <c r="F1249" s="9"/>
      <c r="G1249" s="5"/>
      <c r="H1249" s="16"/>
      <c r="I1249" s="69"/>
      <c r="J1249" s="70"/>
      <c r="K1249" s="71"/>
      <c r="L1249" s="71"/>
      <c r="M1249" s="5"/>
    </row>
    <row r="1250" spans="1:13" s="3" customFormat="1">
      <c r="A1250" s="1"/>
      <c r="B1250" s="8"/>
      <c r="C1250" s="5"/>
      <c r="D1250" s="12"/>
      <c r="E1250" s="23"/>
      <c r="F1250" s="9"/>
      <c r="G1250" s="5"/>
      <c r="H1250" s="16"/>
      <c r="I1250" s="69"/>
      <c r="J1250" s="70"/>
      <c r="K1250" s="71"/>
      <c r="L1250" s="71"/>
      <c r="M1250" s="5"/>
    </row>
    <row r="1251" spans="1:13" s="3" customFormat="1">
      <c r="A1251" s="1"/>
      <c r="B1251" s="8"/>
      <c r="C1251" s="5"/>
      <c r="D1251" s="12"/>
      <c r="E1251" s="23"/>
      <c r="F1251" s="9"/>
      <c r="G1251" s="5"/>
      <c r="H1251" s="16"/>
      <c r="I1251" s="69"/>
      <c r="J1251" s="70"/>
      <c r="K1251" s="71"/>
      <c r="L1251" s="71"/>
      <c r="M1251" s="5"/>
    </row>
    <row r="1252" spans="1:13" s="3" customFormat="1">
      <c r="A1252" s="1"/>
      <c r="B1252" s="8"/>
      <c r="C1252" s="5"/>
      <c r="D1252" s="12"/>
      <c r="E1252" s="23"/>
      <c r="F1252" s="9"/>
      <c r="G1252" s="5"/>
      <c r="H1252" s="16"/>
      <c r="I1252" s="69"/>
      <c r="J1252" s="70"/>
      <c r="K1252" s="71"/>
      <c r="L1252" s="71"/>
      <c r="M1252" s="5"/>
    </row>
    <row r="1253" spans="1:13" s="3" customFormat="1">
      <c r="A1253" s="1"/>
      <c r="B1253" s="8"/>
      <c r="C1253" s="5"/>
      <c r="D1253" s="12"/>
      <c r="E1253" s="23"/>
      <c r="F1253" s="9"/>
      <c r="G1253" s="5"/>
      <c r="H1253" s="16"/>
      <c r="I1253" s="69"/>
      <c r="J1253" s="70"/>
      <c r="K1253" s="71"/>
      <c r="L1253" s="71"/>
      <c r="M1253" s="5"/>
    </row>
    <row r="1254" spans="1:13" s="3" customFormat="1">
      <c r="A1254" s="1"/>
      <c r="B1254" s="8"/>
      <c r="C1254" s="5"/>
      <c r="D1254" s="12"/>
      <c r="E1254" s="23"/>
      <c r="F1254" s="9"/>
      <c r="G1254" s="5"/>
      <c r="H1254" s="16"/>
      <c r="I1254" s="69"/>
      <c r="J1254" s="70"/>
      <c r="K1254" s="71"/>
      <c r="L1254" s="71"/>
      <c r="M1254" s="5"/>
    </row>
    <row r="1255" spans="1:13" s="3" customFormat="1">
      <c r="A1255" s="1"/>
      <c r="B1255" s="8"/>
      <c r="C1255" s="5"/>
      <c r="D1255" s="12"/>
      <c r="E1255" s="23"/>
      <c r="F1255" s="9"/>
      <c r="G1255" s="5"/>
      <c r="H1255" s="16"/>
      <c r="I1255" s="69"/>
      <c r="J1255" s="70"/>
      <c r="K1255" s="71"/>
      <c r="L1255" s="71"/>
      <c r="M1255" s="5"/>
    </row>
    <row r="1256" spans="1:13" s="3" customFormat="1">
      <c r="A1256" s="1"/>
      <c r="B1256" s="8"/>
      <c r="C1256" s="5"/>
      <c r="D1256" s="12"/>
      <c r="E1256" s="23"/>
      <c r="F1256" s="9"/>
      <c r="G1256" s="5"/>
      <c r="H1256" s="16"/>
      <c r="I1256" s="69"/>
      <c r="J1256" s="70"/>
      <c r="K1256" s="71"/>
      <c r="L1256" s="71"/>
      <c r="M1256" s="5"/>
    </row>
    <row r="1257" spans="1:13" s="3" customFormat="1">
      <c r="A1257" s="1"/>
      <c r="B1257" s="8"/>
      <c r="C1257" s="5"/>
      <c r="D1257" s="12"/>
      <c r="E1257" s="23"/>
      <c r="F1257" s="9"/>
      <c r="G1257" s="5"/>
      <c r="H1257" s="16"/>
      <c r="I1257" s="69"/>
      <c r="J1257" s="70"/>
      <c r="K1257" s="71"/>
      <c r="L1257" s="71"/>
      <c r="M1257" s="5"/>
    </row>
    <row r="1258" spans="1:13" s="3" customFormat="1">
      <c r="A1258" s="1"/>
      <c r="B1258" s="8"/>
      <c r="C1258" s="5"/>
      <c r="D1258" s="12"/>
      <c r="E1258" s="23"/>
      <c r="F1258" s="9"/>
      <c r="G1258" s="5"/>
      <c r="H1258" s="16"/>
      <c r="I1258" s="69"/>
      <c r="J1258" s="70"/>
      <c r="K1258" s="71"/>
      <c r="L1258" s="71"/>
      <c r="M1258" s="5"/>
    </row>
    <row r="1259" spans="1:13" s="3" customFormat="1">
      <c r="A1259" s="1"/>
      <c r="B1259" s="8"/>
      <c r="C1259" s="5"/>
      <c r="D1259" s="12"/>
      <c r="E1259" s="23"/>
      <c r="F1259" s="9"/>
      <c r="G1259" s="5"/>
      <c r="H1259" s="16"/>
      <c r="I1259" s="69"/>
      <c r="J1259" s="70"/>
      <c r="K1259" s="71"/>
      <c r="L1259" s="71"/>
      <c r="M1259" s="5"/>
    </row>
    <row r="1260" spans="1:13" s="3" customFormat="1">
      <c r="A1260" s="1"/>
      <c r="B1260" s="8"/>
      <c r="C1260" s="5"/>
      <c r="D1260" s="12"/>
      <c r="E1260" s="23"/>
      <c r="F1260" s="9"/>
      <c r="G1260" s="5"/>
      <c r="H1260" s="16"/>
      <c r="I1260" s="69"/>
      <c r="J1260" s="70"/>
      <c r="K1260" s="71"/>
      <c r="L1260" s="71"/>
      <c r="M1260" s="5"/>
    </row>
    <row r="1261" spans="1:13" s="3" customFormat="1">
      <c r="A1261" s="1"/>
      <c r="B1261" s="8"/>
      <c r="C1261" s="5"/>
      <c r="D1261" s="12"/>
      <c r="E1261" s="23"/>
      <c r="F1261" s="9"/>
      <c r="G1261" s="5"/>
      <c r="H1261" s="16"/>
      <c r="I1261" s="69"/>
      <c r="J1261" s="70"/>
      <c r="K1261" s="71"/>
      <c r="L1261" s="71"/>
      <c r="M1261" s="5"/>
    </row>
    <row r="1262" spans="1:13" s="3" customFormat="1">
      <c r="A1262" s="1"/>
      <c r="B1262" s="8"/>
      <c r="C1262" s="5"/>
      <c r="D1262" s="12"/>
      <c r="E1262" s="23"/>
      <c r="F1262" s="9"/>
      <c r="G1262" s="5"/>
      <c r="H1262" s="16"/>
      <c r="I1262" s="69"/>
      <c r="J1262" s="70"/>
      <c r="K1262" s="71"/>
      <c r="L1262" s="71"/>
      <c r="M1262" s="5"/>
    </row>
    <row r="1263" spans="1:13" s="3" customFormat="1">
      <c r="A1263" s="1"/>
      <c r="B1263" s="8"/>
      <c r="C1263" s="5"/>
      <c r="D1263" s="12"/>
      <c r="E1263" s="23"/>
      <c r="F1263" s="9"/>
      <c r="G1263" s="5"/>
      <c r="H1263" s="16"/>
      <c r="I1263" s="69"/>
      <c r="J1263" s="70"/>
      <c r="K1263" s="71"/>
      <c r="L1263" s="71"/>
      <c r="M1263" s="5"/>
    </row>
    <row r="1264" spans="1:13" s="3" customFormat="1">
      <c r="A1264" s="1"/>
      <c r="B1264" s="8"/>
      <c r="C1264" s="5"/>
      <c r="D1264" s="12"/>
      <c r="E1264" s="23"/>
      <c r="F1264" s="9"/>
      <c r="G1264" s="5"/>
      <c r="H1264" s="16"/>
      <c r="I1264" s="69"/>
      <c r="J1264" s="70"/>
      <c r="K1264" s="71"/>
      <c r="L1264" s="71"/>
      <c r="M1264" s="5"/>
    </row>
    <row r="1265" spans="1:13" s="3" customFormat="1">
      <c r="A1265" s="1"/>
      <c r="B1265" s="8"/>
      <c r="C1265" s="5"/>
      <c r="D1265" s="12"/>
      <c r="E1265" s="23"/>
      <c r="F1265" s="9"/>
      <c r="G1265" s="5"/>
      <c r="H1265" s="16"/>
      <c r="I1265" s="69"/>
      <c r="J1265" s="70"/>
      <c r="K1265" s="71"/>
      <c r="L1265" s="71"/>
      <c r="M1265" s="5"/>
    </row>
    <row r="1266" spans="1:13" s="3" customFormat="1">
      <c r="A1266" s="1"/>
      <c r="B1266" s="8"/>
      <c r="C1266" s="5"/>
      <c r="D1266" s="12"/>
      <c r="E1266" s="23"/>
      <c r="F1266" s="9"/>
      <c r="G1266" s="5"/>
      <c r="H1266" s="16"/>
      <c r="I1266" s="69"/>
      <c r="J1266" s="70"/>
      <c r="K1266" s="71"/>
      <c r="L1266" s="71"/>
      <c r="M1266" s="5"/>
    </row>
    <row r="1267" spans="1:13" s="3" customFormat="1">
      <c r="A1267" s="1"/>
      <c r="B1267" s="8"/>
      <c r="C1267" s="5"/>
      <c r="D1267" s="12"/>
      <c r="E1267" s="23"/>
      <c r="F1267" s="9"/>
      <c r="G1267" s="5"/>
      <c r="H1267" s="16"/>
      <c r="I1267" s="69"/>
      <c r="J1267" s="70"/>
      <c r="K1267" s="71"/>
      <c r="L1267" s="71"/>
      <c r="M1267" s="5"/>
    </row>
    <row r="1268" spans="1:13" s="3" customFormat="1">
      <c r="A1268" s="1"/>
      <c r="B1268" s="8"/>
      <c r="C1268" s="5"/>
      <c r="D1268" s="12"/>
      <c r="E1268" s="23"/>
      <c r="F1268" s="9"/>
      <c r="G1268" s="5"/>
      <c r="H1268" s="16"/>
      <c r="I1268" s="69"/>
      <c r="J1268" s="70"/>
      <c r="K1268" s="71"/>
      <c r="L1268" s="71"/>
      <c r="M1268" s="5"/>
    </row>
    <row r="1269" spans="1:13" s="3" customFormat="1">
      <c r="A1269" s="1"/>
      <c r="B1269" s="8"/>
      <c r="C1269" s="5"/>
      <c r="D1269" s="12"/>
      <c r="E1269" s="23"/>
      <c r="F1269" s="9"/>
      <c r="G1269" s="5"/>
      <c r="H1269" s="16"/>
      <c r="I1269" s="69"/>
      <c r="J1269" s="70"/>
      <c r="K1269" s="71"/>
      <c r="L1269" s="71"/>
      <c r="M1269" s="5"/>
    </row>
    <row r="1270" spans="1:13" s="3" customFormat="1">
      <c r="A1270" s="1"/>
      <c r="B1270" s="8"/>
      <c r="C1270" s="5"/>
      <c r="D1270" s="12"/>
      <c r="E1270" s="23"/>
      <c r="F1270" s="9"/>
      <c r="G1270" s="5"/>
      <c r="H1270" s="16"/>
      <c r="I1270" s="69"/>
      <c r="J1270" s="70"/>
      <c r="K1270" s="71"/>
      <c r="L1270" s="71"/>
      <c r="M1270" s="5"/>
    </row>
    <row r="1271" spans="1:13" s="3" customFormat="1">
      <c r="A1271" s="1"/>
      <c r="B1271" s="8"/>
      <c r="C1271" s="5"/>
      <c r="D1271" s="12"/>
      <c r="E1271" s="23"/>
      <c r="F1271" s="9"/>
      <c r="G1271" s="5"/>
      <c r="H1271" s="16"/>
      <c r="I1271" s="69"/>
      <c r="J1271" s="70"/>
      <c r="K1271" s="71"/>
      <c r="L1271" s="71"/>
      <c r="M1271" s="5"/>
    </row>
    <row r="1272" spans="1:13" s="3" customFormat="1">
      <c r="A1272" s="1"/>
      <c r="B1272" s="8"/>
      <c r="C1272" s="5"/>
      <c r="D1272" s="12"/>
      <c r="E1272" s="23"/>
      <c r="F1272" s="9"/>
      <c r="G1272" s="5"/>
      <c r="H1272" s="16"/>
      <c r="I1272" s="69"/>
      <c r="J1272" s="70"/>
      <c r="K1272" s="71"/>
      <c r="L1272" s="71"/>
      <c r="M1272" s="5"/>
    </row>
    <row r="1273" spans="1:13" s="3" customFormat="1">
      <c r="A1273" s="1"/>
      <c r="B1273" s="8"/>
      <c r="C1273" s="5"/>
      <c r="D1273" s="12"/>
      <c r="E1273" s="23"/>
      <c r="F1273" s="9"/>
      <c r="G1273" s="5"/>
      <c r="H1273" s="16"/>
      <c r="I1273" s="69"/>
      <c r="J1273" s="70"/>
      <c r="K1273" s="71"/>
      <c r="L1273" s="71"/>
      <c r="M1273" s="5"/>
    </row>
    <row r="1274" spans="1:13" s="3" customFormat="1">
      <c r="A1274" s="1"/>
      <c r="B1274" s="8"/>
      <c r="C1274" s="5"/>
      <c r="D1274" s="12"/>
      <c r="E1274" s="23"/>
      <c r="F1274" s="9"/>
      <c r="G1274" s="5"/>
      <c r="H1274" s="16"/>
      <c r="I1274" s="69"/>
      <c r="J1274" s="70"/>
      <c r="K1274" s="71"/>
      <c r="L1274" s="71"/>
      <c r="M1274" s="5"/>
    </row>
    <row r="1275" spans="1:13" s="3" customFormat="1">
      <c r="A1275" s="1"/>
      <c r="B1275" s="8"/>
      <c r="C1275" s="5"/>
      <c r="D1275" s="12"/>
      <c r="E1275" s="23"/>
      <c r="F1275" s="9"/>
      <c r="G1275" s="5"/>
      <c r="H1275" s="16"/>
      <c r="I1275" s="69"/>
      <c r="J1275" s="70"/>
      <c r="K1275" s="71"/>
      <c r="L1275" s="71"/>
      <c r="M1275" s="5"/>
    </row>
    <row r="1276" spans="1:13" s="3" customFormat="1">
      <c r="A1276" s="1"/>
      <c r="B1276" s="8"/>
      <c r="C1276" s="5"/>
      <c r="D1276" s="12"/>
      <c r="E1276" s="23"/>
      <c r="F1276" s="9"/>
      <c r="G1276" s="5"/>
      <c r="H1276" s="16"/>
      <c r="I1276" s="69"/>
      <c r="J1276" s="70"/>
      <c r="K1276" s="71"/>
      <c r="L1276" s="71"/>
      <c r="M1276" s="5"/>
    </row>
    <row r="1277" spans="1:13" s="3" customFormat="1">
      <c r="A1277" s="1"/>
      <c r="B1277" s="8"/>
      <c r="C1277" s="5"/>
      <c r="D1277" s="12"/>
      <c r="E1277" s="23"/>
      <c r="F1277" s="9"/>
      <c r="G1277" s="5"/>
      <c r="H1277" s="16"/>
      <c r="I1277" s="69"/>
      <c r="J1277" s="70"/>
      <c r="K1277" s="71"/>
      <c r="L1277" s="71"/>
      <c r="M1277" s="5"/>
    </row>
    <row r="1278" spans="1:13" s="3" customFormat="1">
      <c r="A1278" s="1"/>
      <c r="B1278" s="8"/>
      <c r="C1278" s="5"/>
      <c r="D1278" s="12"/>
      <c r="E1278" s="23"/>
      <c r="F1278" s="9"/>
      <c r="G1278" s="5"/>
      <c r="H1278" s="16"/>
      <c r="I1278" s="69"/>
      <c r="J1278" s="70"/>
      <c r="K1278" s="71"/>
      <c r="L1278" s="71"/>
      <c r="M1278" s="5"/>
    </row>
    <row r="1279" spans="1:13" s="3" customFormat="1">
      <c r="A1279" s="1"/>
      <c r="B1279" s="8"/>
      <c r="C1279" s="5"/>
      <c r="D1279" s="12"/>
      <c r="E1279" s="23"/>
      <c r="F1279" s="9"/>
      <c r="G1279" s="5"/>
      <c r="H1279" s="16"/>
      <c r="I1279" s="69"/>
      <c r="J1279" s="70"/>
      <c r="K1279" s="71"/>
      <c r="L1279" s="71"/>
      <c r="M1279" s="5"/>
    </row>
    <row r="1280" spans="1:13" s="3" customFormat="1">
      <c r="A1280" s="1"/>
      <c r="B1280" s="8"/>
      <c r="C1280" s="5"/>
      <c r="D1280" s="12"/>
      <c r="E1280" s="23"/>
      <c r="F1280" s="9"/>
      <c r="G1280" s="5"/>
      <c r="H1280" s="16"/>
      <c r="I1280" s="69"/>
      <c r="J1280" s="70"/>
      <c r="K1280" s="71"/>
      <c r="L1280" s="71"/>
      <c r="M1280" s="5"/>
    </row>
    <row r="1281" spans="1:13" s="3" customFormat="1">
      <c r="A1281" s="1"/>
      <c r="B1281" s="8"/>
      <c r="C1281" s="5"/>
      <c r="D1281" s="12"/>
      <c r="E1281" s="23"/>
      <c r="F1281" s="9"/>
      <c r="G1281" s="5"/>
      <c r="H1281" s="16"/>
      <c r="I1281" s="69"/>
      <c r="J1281" s="70"/>
      <c r="K1281" s="71"/>
      <c r="L1281" s="71"/>
      <c r="M1281" s="5"/>
    </row>
    <row r="1282" spans="1:13" s="3" customFormat="1">
      <c r="A1282" s="1"/>
      <c r="B1282" s="8"/>
      <c r="C1282" s="5"/>
      <c r="D1282" s="12"/>
      <c r="E1282" s="23"/>
      <c r="F1282" s="9"/>
      <c r="G1282" s="5"/>
      <c r="H1282" s="16"/>
      <c r="I1282" s="69"/>
      <c r="J1282" s="70"/>
      <c r="K1282" s="71"/>
      <c r="L1282" s="71"/>
      <c r="M1282" s="5"/>
    </row>
    <row r="1283" spans="1:13" s="3" customFormat="1">
      <c r="A1283" s="1"/>
      <c r="B1283" s="8"/>
      <c r="C1283" s="5"/>
      <c r="D1283" s="12"/>
      <c r="E1283" s="23"/>
      <c r="F1283" s="9"/>
      <c r="G1283" s="5"/>
      <c r="H1283" s="16"/>
      <c r="I1283" s="69"/>
      <c r="J1283" s="70"/>
      <c r="K1283" s="71"/>
      <c r="L1283" s="71"/>
      <c r="M1283" s="5"/>
    </row>
    <row r="1284" spans="1:13" s="3" customFormat="1">
      <c r="A1284" s="1"/>
      <c r="B1284" s="8"/>
      <c r="C1284" s="5"/>
      <c r="D1284" s="12"/>
      <c r="E1284" s="23"/>
      <c r="F1284" s="9"/>
      <c r="G1284" s="5"/>
      <c r="H1284" s="16"/>
      <c r="I1284" s="69"/>
      <c r="J1284" s="70"/>
      <c r="K1284" s="71"/>
      <c r="L1284" s="71"/>
      <c r="M1284" s="5"/>
    </row>
    <row r="1285" spans="1:13" s="3" customFormat="1">
      <c r="A1285" s="1"/>
      <c r="B1285" s="8"/>
      <c r="C1285" s="5"/>
      <c r="D1285" s="12"/>
      <c r="E1285" s="23"/>
      <c r="F1285" s="9"/>
      <c r="G1285" s="5"/>
      <c r="H1285" s="16"/>
      <c r="I1285" s="69"/>
      <c r="J1285" s="70"/>
      <c r="K1285" s="71"/>
      <c r="L1285" s="71"/>
      <c r="M1285" s="5"/>
    </row>
    <row r="1286" spans="1:13" s="3" customFormat="1">
      <c r="A1286" s="1"/>
      <c r="B1286" s="8"/>
      <c r="C1286" s="5"/>
      <c r="D1286" s="12"/>
      <c r="E1286" s="23"/>
      <c r="F1286" s="9"/>
      <c r="G1286" s="5"/>
      <c r="H1286" s="16"/>
      <c r="I1286" s="69"/>
      <c r="J1286" s="70"/>
      <c r="K1286" s="71"/>
      <c r="L1286" s="71"/>
      <c r="M1286" s="5"/>
    </row>
    <row r="1287" spans="1:13" s="3" customFormat="1">
      <c r="A1287" s="1"/>
      <c r="B1287" s="8"/>
      <c r="C1287" s="5"/>
      <c r="D1287" s="12"/>
      <c r="E1287" s="23"/>
      <c r="F1287" s="9"/>
      <c r="G1287" s="5"/>
      <c r="H1287" s="16"/>
      <c r="I1287" s="69"/>
      <c r="J1287" s="70"/>
      <c r="K1287" s="71"/>
      <c r="L1287" s="71"/>
      <c r="M1287" s="5"/>
    </row>
    <row r="1288" spans="1:13" s="3" customFormat="1">
      <c r="A1288" s="1"/>
      <c r="B1288" s="8"/>
      <c r="C1288" s="5"/>
      <c r="D1288" s="12"/>
      <c r="E1288" s="23"/>
      <c r="F1288" s="9"/>
      <c r="G1288" s="5"/>
      <c r="H1288" s="16"/>
      <c r="I1288" s="69"/>
      <c r="J1288" s="70"/>
      <c r="K1288" s="71"/>
      <c r="L1288" s="71"/>
      <c r="M1288" s="5"/>
    </row>
    <row r="1289" spans="1:13" s="3" customFormat="1">
      <c r="A1289" s="1"/>
      <c r="B1289" s="8"/>
      <c r="C1289" s="5"/>
      <c r="D1289" s="12"/>
      <c r="E1289" s="23"/>
      <c r="F1289" s="9"/>
      <c r="G1289" s="5"/>
      <c r="H1289" s="16"/>
      <c r="I1289" s="69"/>
      <c r="J1289" s="70"/>
      <c r="K1289" s="71"/>
      <c r="L1289" s="71"/>
      <c r="M1289" s="5"/>
    </row>
    <row r="1290" spans="1:13" s="3" customFormat="1">
      <c r="A1290" s="1"/>
      <c r="B1290" s="8"/>
      <c r="C1290" s="5"/>
      <c r="D1290" s="12"/>
      <c r="E1290" s="23"/>
      <c r="F1290" s="9"/>
      <c r="G1290" s="5"/>
      <c r="H1290" s="16"/>
      <c r="I1290" s="69"/>
      <c r="J1290" s="70"/>
      <c r="K1290" s="71"/>
      <c r="L1290" s="71"/>
      <c r="M1290" s="5"/>
    </row>
    <row r="1291" spans="1:13" s="3" customFormat="1">
      <c r="A1291" s="1"/>
      <c r="B1291" s="8"/>
      <c r="C1291" s="5"/>
      <c r="D1291" s="12"/>
      <c r="E1291" s="23"/>
      <c r="F1291" s="9"/>
      <c r="G1291" s="5"/>
      <c r="H1291" s="16"/>
      <c r="I1291" s="69"/>
      <c r="J1291" s="70"/>
      <c r="K1291" s="71"/>
      <c r="L1291" s="71"/>
      <c r="M1291" s="5"/>
    </row>
    <row r="1292" spans="1:13" s="3" customFormat="1">
      <c r="A1292" s="1"/>
      <c r="B1292" s="8"/>
      <c r="C1292" s="5"/>
      <c r="D1292" s="12"/>
      <c r="E1292" s="23"/>
      <c r="F1292" s="9"/>
      <c r="G1292" s="5"/>
      <c r="H1292" s="16"/>
      <c r="I1292" s="69"/>
      <c r="J1292" s="70"/>
      <c r="K1292" s="71"/>
      <c r="L1292" s="71"/>
      <c r="M1292" s="5"/>
    </row>
    <row r="1293" spans="1:13" s="3" customFormat="1">
      <c r="A1293" s="1"/>
      <c r="B1293" s="8"/>
      <c r="C1293" s="5"/>
      <c r="D1293" s="12"/>
      <c r="E1293" s="23"/>
      <c r="F1293" s="9"/>
      <c r="G1293" s="5"/>
      <c r="H1293" s="16"/>
      <c r="I1293" s="69"/>
      <c r="J1293" s="70"/>
      <c r="K1293" s="71"/>
      <c r="L1293" s="71"/>
      <c r="M1293" s="5"/>
    </row>
    <row r="1294" spans="1:13" s="3" customFormat="1">
      <c r="A1294" s="1"/>
      <c r="B1294" s="8"/>
      <c r="C1294" s="5"/>
      <c r="D1294" s="12"/>
      <c r="E1294" s="23"/>
      <c r="F1294" s="9"/>
      <c r="G1294" s="5"/>
      <c r="H1294" s="16"/>
      <c r="I1294" s="69"/>
      <c r="J1294" s="70"/>
      <c r="K1294" s="71"/>
      <c r="L1294" s="71"/>
      <c r="M1294" s="5"/>
    </row>
    <row r="1295" spans="1:13" s="3" customFormat="1">
      <c r="A1295" s="1"/>
      <c r="B1295" s="8"/>
      <c r="C1295" s="5"/>
      <c r="D1295" s="12"/>
      <c r="E1295" s="23"/>
      <c r="F1295" s="9"/>
      <c r="G1295" s="5"/>
      <c r="H1295" s="16"/>
      <c r="I1295" s="69"/>
      <c r="J1295" s="70"/>
      <c r="K1295" s="71"/>
      <c r="L1295" s="71"/>
      <c r="M1295" s="5"/>
    </row>
    <row r="1296" spans="1:13" s="3" customFormat="1">
      <c r="A1296" s="1"/>
      <c r="B1296" s="8"/>
      <c r="C1296" s="5"/>
      <c r="D1296" s="12"/>
      <c r="E1296" s="23"/>
      <c r="F1296" s="9"/>
      <c r="G1296" s="5"/>
      <c r="H1296" s="16"/>
      <c r="I1296" s="69"/>
      <c r="J1296" s="70"/>
      <c r="K1296" s="71"/>
      <c r="L1296" s="71"/>
      <c r="M1296" s="5"/>
    </row>
    <row r="1297" spans="1:13" s="3" customFormat="1">
      <c r="A1297" s="1"/>
      <c r="B1297" s="8"/>
      <c r="C1297" s="5"/>
      <c r="D1297" s="12"/>
      <c r="E1297" s="23"/>
      <c r="F1297" s="9"/>
      <c r="G1297" s="5"/>
      <c r="H1297" s="16"/>
      <c r="I1297" s="69"/>
      <c r="J1297" s="70"/>
      <c r="K1297" s="71"/>
      <c r="L1297" s="71"/>
      <c r="M1297" s="5"/>
    </row>
    <row r="1298" spans="1:13" s="3" customFormat="1">
      <c r="A1298" s="1"/>
      <c r="B1298" s="8"/>
      <c r="C1298" s="5"/>
      <c r="D1298" s="12"/>
      <c r="E1298" s="23"/>
      <c r="F1298" s="9"/>
      <c r="G1298" s="5"/>
      <c r="H1298" s="16"/>
      <c r="I1298" s="69"/>
      <c r="J1298" s="70"/>
      <c r="K1298" s="71"/>
      <c r="L1298" s="71"/>
      <c r="M1298" s="5"/>
    </row>
    <row r="1299" spans="1:13" s="3" customFormat="1">
      <c r="A1299" s="1"/>
      <c r="B1299" s="8"/>
      <c r="C1299" s="5"/>
      <c r="D1299" s="12"/>
      <c r="E1299" s="23"/>
      <c r="F1299" s="9"/>
      <c r="G1299" s="5"/>
      <c r="H1299" s="16"/>
      <c r="I1299" s="69"/>
      <c r="J1299" s="70"/>
      <c r="K1299" s="71"/>
      <c r="L1299" s="71"/>
      <c r="M1299" s="5"/>
    </row>
    <row r="1300" spans="1:13" s="3" customFormat="1">
      <c r="A1300" s="1"/>
      <c r="B1300" s="8"/>
      <c r="C1300" s="5"/>
      <c r="D1300" s="12"/>
      <c r="E1300" s="23"/>
      <c r="F1300" s="9"/>
      <c r="G1300" s="5"/>
      <c r="H1300" s="16"/>
      <c r="I1300" s="69"/>
      <c r="J1300" s="70"/>
      <c r="K1300" s="71"/>
      <c r="L1300" s="71"/>
      <c r="M1300" s="5"/>
    </row>
    <row r="1301" spans="1:13" s="3" customFormat="1">
      <c r="A1301" s="1"/>
      <c r="B1301" s="8"/>
      <c r="C1301" s="5"/>
      <c r="D1301" s="12"/>
      <c r="E1301" s="23"/>
      <c r="F1301" s="9"/>
      <c r="G1301" s="5"/>
      <c r="H1301" s="16"/>
      <c r="I1301" s="69"/>
      <c r="J1301" s="70"/>
      <c r="K1301" s="71"/>
      <c r="L1301" s="71"/>
      <c r="M1301" s="5"/>
    </row>
    <row r="1302" spans="1:13" s="3" customFormat="1">
      <c r="A1302" s="1"/>
      <c r="B1302" s="8"/>
      <c r="C1302" s="5"/>
      <c r="D1302" s="12"/>
      <c r="E1302" s="23"/>
      <c r="F1302" s="9"/>
      <c r="G1302" s="5"/>
      <c r="H1302" s="16"/>
      <c r="I1302" s="69"/>
      <c r="J1302" s="70"/>
      <c r="K1302" s="71"/>
      <c r="L1302" s="71"/>
      <c r="M1302" s="5"/>
    </row>
    <row r="1303" spans="1:13" s="3" customFormat="1">
      <c r="A1303" s="1"/>
      <c r="B1303" s="8"/>
      <c r="C1303" s="5"/>
      <c r="D1303" s="12"/>
      <c r="E1303" s="23"/>
      <c r="F1303" s="9"/>
      <c r="G1303" s="5"/>
      <c r="H1303" s="16"/>
      <c r="I1303" s="69"/>
      <c r="J1303" s="70"/>
      <c r="K1303" s="71"/>
      <c r="L1303" s="71"/>
      <c r="M1303" s="5"/>
    </row>
    <row r="1304" spans="1:13" s="3" customFormat="1">
      <c r="A1304" s="1"/>
      <c r="B1304" s="8"/>
      <c r="C1304" s="5"/>
      <c r="D1304" s="12"/>
      <c r="E1304" s="23"/>
      <c r="F1304" s="9"/>
      <c r="G1304" s="5"/>
      <c r="H1304" s="16"/>
      <c r="I1304" s="69"/>
      <c r="J1304" s="70"/>
      <c r="K1304" s="71"/>
      <c r="L1304" s="71"/>
      <c r="M1304" s="5"/>
    </row>
    <row r="1305" spans="1:13" s="3" customFormat="1">
      <c r="A1305" s="1"/>
      <c r="B1305" s="8"/>
      <c r="C1305" s="5"/>
      <c r="D1305" s="12"/>
      <c r="E1305" s="23"/>
      <c r="F1305" s="9"/>
      <c r="G1305" s="5"/>
      <c r="H1305" s="16"/>
      <c r="I1305" s="69"/>
      <c r="J1305" s="70"/>
      <c r="K1305" s="71"/>
      <c r="L1305" s="71"/>
      <c r="M1305" s="5"/>
    </row>
    <row r="1306" spans="1:13" s="3" customFormat="1">
      <c r="A1306" s="1"/>
      <c r="B1306" s="8"/>
      <c r="C1306" s="5"/>
      <c r="D1306" s="12"/>
      <c r="E1306" s="23"/>
      <c r="F1306" s="9"/>
      <c r="G1306" s="5"/>
      <c r="H1306" s="16"/>
      <c r="I1306" s="69"/>
      <c r="J1306" s="70"/>
      <c r="K1306" s="71"/>
      <c r="L1306" s="71"/>
      <c r="M1306" s="5"/>
    </row>
    <row r="1307" spans="1:13" s="3" customFormat="1">
      <c r="A1307" s="1"/>
      <c r="B1307" s="8"/>
      <c r="C1307" s="5"/>
      <c r="D1307" s="12"/>
      <c r="E1307" s="23"/>
      <c r="F1307" s="9"/>
      <c r="G1307" s="5"/>
      <c r="H1307" s="16"/>
      <c r="I1307" s="69"/>
      <c r="J1307" s="70"/>
      <c r="K1307" s="71"/>
      <c r="L1307" s="71"/>
      <c r="M1307" s="5"/>
    </row>
    <row r="1308" spans="1:13" s="3" customFormat="1">
      <c r="A1308" s="1"/>
      <c r="B1308" s="8"/>
      <c r="C1308" s="5"/>
      <c r="D1308" s="12"/>
      <c r="E1308" s="23"/>
      <c r="F1308" s="9"/>
      <c r="G1308" s="5"/>
      <c r="H1308" s="16"/>
      <c r="I1308" s="69"/>
      <c r="J1308" s="70"/>
      <c r="K1308" s="71"/>
      <c r="L1308" s="71"/>
      <c r="M1308" s="5"/>
    </row>
    <row r="1309" spans="1:13" s="3" customFormat="1">
      <c r="A1309" s="1"/>
      <c r="B1309" s="8"/>
      <c r="C1309" s="5"/>
      <c r="D1309" s="12"/>
      <c r="E1309" s="23"/>
      <c r="F1309" s="9"/>
      <c r="G1309" s="5"/>
      <c r="H1309" s="16"/>
      <c r="I1309" s="69"/>
      <c r="J1309" s="70"/>
      <c r="K1309" s="71"/>
      <c r="L1309" s="71"/>
      <c r="M1309" s="5"/>
    </row>
    <row r="1310" spans="1:13" s="3" customFormat="1">
      <c r="A1310" s="1"/>
      <c r="B1310" s="8"/>
      <c r="C1310" s="5"/>
      <c r="D1310" s="12"/>
      <c r="E1310" s="23"/>
      <c r="F1310" s="9"/>
      <c r="G1310" s="5"/>
      <c r="H1310" s="16"/>
      <c r="I1310" s="69"/>
      <c r="J1310" s="70"/>
      <c r="K1310" s="71"/>
      <c r="L1310" s="71"/>
      <c r="M1310" s="5"/>
    </row>
    <row r="1311" spans="1:13" s="3" customFormat="1">
      <c r="A1311" s="1"/>
      <c r="B1311" s="8"/>
      <c r="C1311" s="5"/>
      <c r="D1311" s="12"/>
      <c r="E1311" s="23"/>
      <c r="F1311" s="9"/>
      <c r="G1311" s="5"/>
      <c r="H1311" s="16"/>
      <c r="I1311" s="69"/>
      <c r="J1311" s="70"/>
      <c r="K1311" s="71"/>
      <c r="L1311" s="71"/>
      <c r="M1311" s="5"/>
    </row>
    <row r="1312" spans="1:13" s="3" customFormat="1">
      <c r="A1312" s="1"/>
      <c r="B1312" s="8"/>
      <c r="C1312" s="5"/>
      <c r="D1312" s="12"/>
      <c r="E1312" s="23"/>
      <c r="F1312" s="9"/>
      <c r="G1312" s="5"/>
      <c r="H1312" s="16"/>
      <c r="I1312" s="69"/>
      <c r="J1312" s="70"/>
      <c r="K1312" s="71"/>
      <c r="L1312" s="71"/>
      <c r="M1312" s="5"/>
    </row>
    <row r="1313" spans="1:13" s="3" customFormat="1">
      <c r="A1313" s="1"/>
      <c r="B1313" s="8"/>
      <c r="C1313" s="5"/>
      <c r="D1313" s="12"/>
      <c r="E1313" s="23"/>
      <c r="F1313" s="9"/>
      <c r="G1313" s="5"/>
      <c r="H1313" s="16"/>
      <c r="I1313" s="69"/>
      <c r="J1313" s="70"/>
      <c r="K1313" s="71"/>
      <c r="L1313" s="71"/>
      <c r="M1313" s="5"/>
    </row>
    <row r="1314" spans="1:13" s="3" customFormat="1">
      <c r="A1314" s="1"/>
      <c r="B1314" s="8"/>
      <c r="C1314" s="5"/>
      <c r="D1314" s="12"/>
      <c r="E1314" s="23"/>
      <c r="F1314" s="9"/>
      <c r="G1314" s="5"/>
      <c r="H1314" s="16"/>
      <c r="I1314" s="69"/>
      <c r="J1314" s="70"/>
      <c r="K1314" s="71"/>
      <c r="L1314" s="71"/>
      <c r="M1314" s="5"/>
    </row>
    <row r="1315" spans="1:13" s="3" customFormat="1">
      <c r="A1315" s="1"/>
      <c r="B1315" s="8"/>
      <c r="C1315" s="5"/>
      <c r="D1315" s="12"/>
      <c r="E1315" s="23"/>
      <c r="F1315" s="9"/>
      <c r="G1315" s="5"/>
      <c r="H1315" s="16"/>
      <c r="I1315" s="69"/>
      <c r="J1315" s="70"/>
      <c r="K1315" s="71"/>
      <c r="L1315" s="71"/>
      <c r="M1315" s="5"/>
    </row>
    <row r="1316" spans="1:13" s="3" customFormat="1">
      <c r="A1316" s="1"/>
      <c r="B1316" s="8"/>
      <c r="C1316" s="5"/>
      <c r="D1316" s="12"/>
      <c r="E1316" s="23"/>
      <c r="F1316" s="9"/>
      <c r="G1316" s="5"/>
      <c r="H1316" s="16"/>
      <c r="I1316" s="69"/>
      <c r="J1316" s="70"/>
      <c r="K1316" s="71"/>
      <c r="L1316" s="71"/>
      <c r="M1316" s="5"/>
    </row>
    <row r="1317" spans="1:13" s="3" customFormat="1">
      <c r="A1317" s="1"/>
      <c r="B1317" s="8"/>
      <c r="C1317" s="5"/>
      <c r="D1317" s="12"/>
      <c r="E1317" s="23"/>
      <c r="F1317" s="9"/>
      <c r="G1317" s="5"/>
      <c r="H1317" s="16"/>
      <c r="I1317" s="69"/>
      <c r="J1317" s="70"/>
      <c r="K1317" s="71"/>
      <c r="L1317" s="71"/>
      <c r="M1317" s="5"/>
    </row>
    <row r="1318" spans="1:13" s="3" customFormat="1">
      <c r="A1318" s="1"/>
      <c r="B1318" s="8"/>
      <c r="C1318" s="5"/>
      <c r="D1318" s="12"/>
      <c r="E1318" s="23"/>
      <c r="F1318" s="9"/>
      <c r="G1318" s="5"/>
      <c r="H1318" s="16"/>
      <c r="I1318" s="69"/>
      <c r="J1318" s="70"/>
      <c r="K1318" s="71"/>
      <c r="L1318" s="71"/>
      <c r="M1318" s="5"/>
    </row>
    <row r="1319" spans="1:13" s="3" customFormat="1">
      <c r="A1319" s="1"/>
      <c r="B1319" s="8"/>
      <c r="C1319" s="5"/>
      <c r="D1319" s="12"/>
      <c r="E1319" s="23"/>
      <c r="F1319" s="9"/>
      <c r="G1319" s="5"/>
      <c r="H1319" s="16"/>
      <c r="I1319" s="69"/>
      <c r="J1319" s="70"/>
      <c r="K1319" s="71"/>
      <c r="L1319" s="71"/>
      <c r="M1319" s="5"/>
    </row>
    <row r="1320" spans="1:13" s="3" customFormat="1">
      <c r="A1320" s="1"/>
      <c r="B1320" s="8"/>
      <c r="C1320" s="5"/>
      <c r="D1320" s="12"/>
      <c r="E1320" s="23"/>
      <c r="F1320" s="9"/>
      <c r="G1320" s="5"/>
      <c r="H1320" s="16"/>
      <c r="I1320" s="69"/>
      <c r="J1320" s="70"/>
      <c r="K1320" s="71"/>
      <c r="L1320" s="71"/>
      <c r="M1320" s="5"/>
    </row>
    <row r="1321" spans="1:13" s="3" customFormat="1">
      <c r="A1321" s="1"/>
      <c r="B1321" s="8"/>
      <c r="C1321" s="5"/>
      <c r="D1321" s="12"/>
      <c r="E1321" s="23"/>
      <c r="F1321" s="9"/>
      <c r="G1321" s="5"/>
      <c r="H1321" s="16"/>
      <c r="I1321" s="69"/>
      <c r="J1321" s="70"/>
      <c r="K1321" s="71"/>
      <c r="L1321" s="71"/>
      <c r="M1321" s="5"/>
    </row>
    <row r="1322" spans="1:13" s="3" customFormat="1">
      <c r="A1322" s="1"/>
      <c r="B1322" s="8"/>
      <c r="C1322" s="5"/>
      <c r="D1322" s="12"/>
      <c r="E1322" s="23"/>
      <c r="F1322" s="9"/>
      <c r="G1322" s="5"/>
      <c r="H1322" s="16"/>
      <c r="I1322" s="69"/>
      <c r="J1322" s="70"/>
      <c r="K1322" s="71"/>
      <c r="L1322" s="71"/>
      <c r="M1322" s="5"/>
    </row>
    <row r="1323" spans="1:13" s="3" customFormat="1">
      <c r="A1323" s="1"/>
      <c r="B1323" s="8"/>
      <c r="C1323" s="5"/>
      <c r="D1323" s="12"/>
      <c r="E1323" s="23"/>
      <c r="F1323" s="9"/>
      <c r="G1323" s="5"/>
      <c r="H1323" s="16"/>
      <c r="I1323" s="69"/>
      <c r="J1323" s="70"/>
      <c r="K1323" s="71"/>
      <c r="L1323" s="71"/>
      <c r="M1323" s="5"/>
    </row>
    <row r="1324" spans="1:13" s="3" customFormat="1">
      <c r="A1324" s="1"/>
      <c r="B1324" s="8"/>
      <c r="C1324" s="5"/>
      <c r="D1324" s="12"/>
      <c r="E1324" s="23"/>
      <c r="F1324" s="9"/>
      <c r="G1324" s="5"/>
      <c r="H1324" s="16"/>
      <c r="I1324" s="69"/>
      <c r="J1324" s="70"/>
      <c r="K1324" s="71"/>
      <c r="L1324" s="71"/>
      <c r="M1324" s="5"/>
    </row>
    <row r="1325" spans="1:13" s="3" customFormat="1">
      <c r="A1325" s="1"/>
      <c r="B1325" s="8"/>
      <c r="C1325" s="5"/>
      <c r="D1325" s="12"/>
      <c r="E1325" s="23"/>
      <c r="F1325" s="9"/>
      <c r="G1325" s="5"/>
      <c r="H1325" s="16"/>
      <c r="I1325" s="69"/>
      <c r="J1325" s="70"/>
      <c r="K1325" s="71"/>
      <c r="L1325" s="71"/>
      <c r="M1325" s="5"/>
    </row>
    <row r="1326" spans="1:13" s="3" customFormat="1">
      <c r="A1326" s="1"/>
      <c r="B1326" s="8"/>
      <c r="C1326" s="5"/>
      <c r="D1326" s="12"/>
      <c r="E1326" s="23"/>
      <c r="F1326" s="9"/>
      <c r="G1326" s="5"/>
      <c r="H1326" s="16"/>
      <c r="I1326" s="69"/>
      <c r="J1326" s="70"/>
      <c r="K1326" s="71"/>
      <c r="L1326" s="71"/>
      <c r="M1326" s="5"/>
    </row>
    <row r="1327" spans="1:13" s="3" customFormat="1">
      <c r="A1327" s="1"/>
      <c r="B1327" s="8"/>
      <c r="C1327" s="5"/>
      <c r="D1327" s="12"/>
      <c r="E1327" s="23"/>
      <c r="F1327" s="9"/>
      <c r="G1327" s="5"/>
      <c r="H1327" s="16"/>
      <c r="I1327" s="69"/>
      <c r="J1327" s="70"/>
      <c r="K1327" s="71"/>
      <c r="L1327" s="71"/>
      <c r="M1327" s="5"/>
    </row>
    <row r="1328" spans="1:13" s="3" customFormat="1">
      <c r="A1328" s="1"/>
      <c r="B1328" s="8"/>
      <c r="C1328" s="5"/>
      <c r="D1328" s="12"/>
      <c r="E1328" s="23"/>
      <c r="F1328" s="9"/>
      <c r="G1328" s="5"/>
      <c r="H1328" s="16"/>
      <c r="I1328" s="69"/>
      <c r="J1328" s="70"/>
      <c r="K1328" s="71"/>
      <c r="L1328" s="71"/>
      <c r="M1328" s="5"/>
    </row>
    <row r="1329" spans="1:13" s="3" customFormat="1">
      <c r="A1329" s="1"/>
      <c r="B1329" s="8"/>
      <c r="C1329" s="5"/>
      <c r="D1329" s="12"/>
      <c r="E1329" s="23"/>
      <c r="F1329" s="9"/>
      <c r="G1329" s="5"/>
      <c r="H1329" s="16"/>
      <c r="I1329" s="69"/>
      <c r="J1329" s="70"/>
      <c r="K1329" s="71"/>
      <c r="L1329" s="71"/>
      <c r="M1329" s="5"/>
    </row>
    <row r="1330" spans="1:13" s="3" customFormat="1">
      <c r="A1330" s="1"/>
      <c r="B1330" s="8"/>
      <c r="C1330" s="5"/>
      <c r="D1330" s="12"/>
      <c r="E1330" s="23"/>
      <c r="F1330" s="9"/>
      <c r="G1330" s="5"/>
      <c r="H1330" s="16"/>
      <c r="I1330" s="69"/>
      <c r="J1330" s="70"/>
      <c r="K1330" s="71"/>
      <c r="L1330" s="71"/>
      <c r="M1330" s="5"/>
    </row>
    <row r="1331" spans="1:13" s="3" customFormat="1">
      <c r="A1331" s="1"/>
      <c r="B1331" s="8"/>
      <c r="C1331" s="5"/>
      <c r="D1331" s="12"/>
      <c r="E1331" s="23"/>
      <c r="F1331" s="9"/>
      <c r="G1331" s="5"/>
      <c r="H1331" s="16"/>
      <c r="I1331" s="69"/>
      <c r="J1331" s="70"/>
      <c r="K1331" s="71"/>
      <c r="L1331" s="71"/>
      <c r="M1331" s="5"/>
    </row>
    <row r="1332" spans="1:13" s="3" customFormat="1">
      <c r="A1332" s="1"/>
      <c r="B1332" s="8"/>
      <c r="C1332" s="5"/>
      <c r="D1332" s="12"/>
      <c r="E1332" s="23"/>
      <c r="F1332" s="9"/>
      <c r="G1332" s="5"/>
      <c r="H1332" s="16"/>
      <c r="I1332" s="69"/>
      <c r="J1332" s="70"/>
      <c r="K1332" s="71"/>
      <c r="L1332" s="71"/>
      <c r="M1332" s="5"/>
    </row>
    <row r="1333" spans="1:13" s="3" customFormat="1">
      <c r="A1333" s="1"/>
      <c r="B1333" s="8"/>
      <c r="C1333" s="5"/>
      <c r="D1333" s="12"/>
      <c r="E1333" s="23"/>
      <c r="F1333" s="9"/>
      <c r="G1333" s="5"/>
      <c r="H1333" s="16"/>
      <c r="I1333" s="69"/>
      <c r="J1333" s="70"/>
      <c r="K1333" s="71"/>
      <c r="L1333" s="71"/>
      <c r="M1333" s="5"/>
    </row>
    <row r="1334" spans="1:13" s="3" customFormat="1">
      <c r="A1334" s="1"/>
      <c r="B1334" s="8"/>
      <c r="C1334" s="5"/>
      <c r="D1334" s="12"/>
      <c r="E1334" s="23"/>
      <c r="F1334" s="9"/>
      <c r="G1334" s="5"/>
      <c r="H1334" s="16"/>
      <c r="I1334" s="69"/>
      <c r="J1334" s="70"/>
      <c r="K1334" s="71"/>
      <c r="L1334" s="71"/>
      <c r="M1334" s="5"/>
    </row>
    <row r="1335" spans="1:13" s="3" customFormat="1">
      <c r="A1335" s="1"/>
      <c r="B1335" s="8"/>
      <c r="C1335" s="5"/>
      <c r="D1335" s="12"/>
      <c r="E1335" s="23"/>
      <c r="F1335" s="9"/>
      <c r="G1335" s="5"/>
      <c r="H1335" s="16"/>
      <c r="I1335" s="69"/>
      <c r="J1335" s="70"/>
      <c r="K1335" s="71"/>
      <c r="L1335" s="71"/>
      <c r="M1335" s="5"/>
    </row>
    <row r="1336" spans="1:13" s="3" customFormat="1">
      <c r="A1336" s="1"/>
      <c r="B1336" s="8"/>
      <c r="C1336" s="5"/>
      <c r="D1336" s="12"/>
      <c r="E1336" s="23"/>
      <c r="F1336" s="9"/>
      <c r="G1336" s="5"/>
      <c r="H1336" s="16"/>
      <c r="I1336" s="69"/>
      <c r="J1336" s="70"/>
      <c r="K1336" s="71"/>
      <c r="L1336" s="71"/>
      <c r="M1336" s="5"/>
    </row>
    <row r="1337" spans="1:13" s="3" customFormat="1">
      <c r="A1337" s="1"/>
      <c r="B1337" s="8"/>
      <c r="C1337" s="5"/>
      <c r="D1337" s="12"/>
      <c r="E1337" s="23"/>
      <c r="F1337" s="9"/>
      <c r="G1337" s="5"/>
      <c r="H1337" s="16"/>
      <c r="I1337" s="69"/>
      <c r="J1337" s="70"/>
      <c r="K1337" s="71"/>
      <c r="L1337" s="71"/>
      <c r="M1337" s="5"/>
    </row>
    <row r="1338" spans="1:13" s="3" customFormat="1">
      <c r="A1338" s="1"/>
      <c r="B1338" s="8"/>
      <c r="C1338" s="5"/>
      <c r="D1338" s="12"/>
      <c r="E1338" s="23"/>
      <c r="F1338" s="9"/>
      <c r="G1338" s="5"/>
      <c r="H1338" s="16"/>
      <c r="I1338" s="69"/>
      <c r="J1338" s="70"/>
      <c r="K1338" s="71"/>
      <c r="L1338" s="71"/>
      <c r="M1338" s="5"/>
    </row>
    <row r="1339" spans="1:13" s="3" customFormat="1">
      <c r="A1339" s="1"/>
      <c r="B1339" s="8"/>
      <c r="C1339" s="5"/>
      <c r="D1339" s="12"/>
      <c r="E1339" s="23"/>
      <c r="F1339" s="9"/>
      <c r="G1339" s="5"/>
      <c r="H1339" s="16"/>
      <c r="I1339" s="69"/>
      <c r="J1339" s="70"/>
      <c r="K1339" s="71"/>
      <c r="L1339" s="71"/>
      <c r="M1339" s="5"/>
    </row>
    <row r="1340" spans="1:13" s="3" customFormat="1">
      <c r="A1340" s="1"/>
      <c r="B1340" s="8"/>
      <c r="C1340" s="5"/>
      <c r="D1340" s="12"/>
      <c r="E1340" s="23"/>
      <c r="F1340" s="9"/>
      <c r="G1340" s="5"/>
      <c r="H1340" s="16"/>
      <c r="I1340" s="69"/>
      <c r="J1340" s="70"/>
      <c r="K1340" s="71"/>
      <c r="L1340" s="71"/>
      <c r="M1340" s="5"/>
    </row>
    <row r="1341" spans="1:13" s="3" customFormat="1">
      <c r="A1341" s="1"/>
      <c r="B1341" s="8"/>
      <c r="C1341" s="5"/>
      <c r="D1341" s="12"/>
      <c r="E1341" s="23"/>
      <c r="F1341" s="9"/>
      <c r="G1341" s="5"/>
      <c r="H1341" s="16"/>
      <c r="I1341" s="69"/>
      <c r="J1341" s="70"/>
      <c r="K1341" s="71"/>
      <c r="L1341" s="71"/>
      <c r="M1341" s="5"/>
    </row>
    <row r="1342" spans="1:13" s="3" customFormat="1">
      <c r="A1342" s="1"/>
      <c r="B1342" s="8"/>
      <c r="C1342" s="5"/>
      <c r="D1342" s="12"/>
      <c r="E1342" s="23"/>
      <c r="F1342" s="9"/>
      <c r="G1342" s="5"/>
      <c r="H1342" s="16"/>
      <c r="I1342" s="69"/>
      <c r="J1342" s="70"/>
      <c r="K1342" s="71"/>
      <c r="L1342" s="71"/>
      <c r="M1342" s="5"/>
    </row>
    <row r="1343" spans="1:13" s="3" customFormat="1">
      <c r="A1343" s="1"/>
      <c r="B1343" s="8"/>
      <c r="C1343" s="5"/>
      <c r="D1343" s="12"/>
      <c r="E1343" s="23"/>
      <c r="F1343" s="9"/>
      <c r="G1343" s="5"/>
      <c r="H1343" s="16"/>
      <c r="I1343" s="69"/>
      <c r="J1343" s="70"/>
      <c r="K1343" s="71"/>
      <c r="L1343" s="71"/>
      <c r="M1343" s="5"/>
    </row>
    <row r="1344" spans="1:13" s="3" customFormat="1">
      <c r="A1344" s="1"/>
      <c r="B1344" s="8"/>
      <c r="C1344" s="5"/>
      <c r="D1344" s="12"/>
      <c r="E1344" s="23"/>
      <c r="F1344" s="9"/>
      <c r="G1344" s="5"/>
      <c r="H1344" s="16"/>
      <c r="I1344" s="69"/>
      <c r="J1344" s="70"/>
      <c r="K1344" s="71"/>
      <c r="L1344" s="71"/>
      <c r="M1344" s="5"/>
    </row>
    <row r="1345" spans="1:13" s="3" customFormat="1">
      <c r="A1345" s="1"/>
      <c r="B1345" s="8"/>
      <c r="C1345" s="5"/>
      <c r="D1345" s="12"/>
      <c r="E1345" s="23"/>
      <c r="F1345" s="9"/>
      <c r="G1345" s="5"/>
      <c r="H1345" s="16"/>
      <c r="I1345" s="69"/>
      <c r="J1345" s="70"/>
      <c r="K1345" s="71"/>
      <c r="L1345" s="71"/>
      <c r="M1345" s="5"/>
    </row>
    <row r="1346" spans="1:13" s="3" customFormat="1">
      <c r="A1346" s="1"/>
      <c r="B1346" s="8"/>
      <c r="C1346" s="5"/>
      <c r="D1346" s="12"/>
      <c r="E1346" s="23"/>
      <c r="F1346" s="9"/>
      <c r="G1346" s="5"/>
      <c r="H1346" s="16"/>
      <c r="I1346" s="69"/>
      <c r="J1346" s="70"/>
      <c r="K1346" s="71"/>
      <c r="L1346" s="71"/>
      <c r="M1346" s="5"/>
    </row>
    <row r="1347" spans="1:13" s="3" customFormat="1">
      <c r="A1347" s="1"/>
      <c r="B1347" s="8"/>
      <c r="C1347" s="5"/>
      <c r="D1347" s="12"/>
      <c r="E1347" s="23"/>
      <c r="F1347" s="9"/>
      <c r="G1347" s="5"/>
      <c r="H1347" s="16"/>
      <c r="I1347" s="69"/>
      <c r="J1347" s="70"/>
      <c r="K1347" s="71"/>
      <c r="L1347" s="71"/>
      <c r="M1347" s="5"/>
    </row>
    <row r="1348" spans="1:13" s="3" customFormat="1">
      <c r="A1348" s="1"/>
      <c r="B1348" s="8"/>
      <c r="C1348" s="5"/>
      <c r="D1348" s="12"/>
      <c r="E1348" s="23"/>
      <c r="F1348" s="9"/>
      <c r="G1348" s="5"/>
      <c r="H1348" s="16"/>
      <c r="I1348" s="69"/>
      <c r="J1348" s="70"/>
      <c r="K1348" s="71"/>
      <c r="L1348" s="71"/>
      <c r="M1348" s="5"/>
    </row>
    <row r="1349" spans="1:13" s="3" customFormat="1">
      <c r="A1349" s="1"/>
      <c r="B1349" s="8"/>
      <c r="C1349" s="5"/>
      <c r="D1349" s="12"/>
      <c r="E1349" s="23"/>
      <c r="F1349" s="9"/>
      <c r="G1349" s="5"/>
      <c r="H1349" s="16"/>
      <c r="I1349" s="69"/>
      <c r="J1349" s="70"/>
      <c r="K1349" s="71"/>
      <c r="L1349" s="71"/>
      <c r="M1349" s="5"/>
    </row>
    <row r="1350" spans="1:13" s="3" customFormat="1">
      <c r="A1350" s="1"/>
      <c r="B1350" s="8"/>
      <c r="C1350" s="5"/>
      <c r="D1350" s="12"/>
      <c r="E1350" s="23"/>
      <c r="F1350" s="9"/>
      <c r="G1350" s="5"/>
      <c r="H1350" s="16"/>
      <c r="I1350" s="69"/>
      <c r="J1350" s="70"/>
      <c r="K1350" s="71"/>
      <c r="L1350" s="71"/>
      <c r="M1350" s="5"/>
    </row>
    <row r="1351" spans="1:13" s="3" customFormat="1">
      <c r="A1351" s="1"/>
      <c r="B1351" s="8"/>
      <c r="C1351" s="5"/>
      <c r="D1351" s="12"/>
      <c r="E1351" s="23"/>
      <c r="F1351" s="9"/>
      <c r="G1351" s="5"/>
      <c r="H1351" s="16"/>
      <c r="I1351" s="69"/>
      <c r="J1351" s="70"/>
      <c r="K1351" s="71"/>
      <c r="L1351" s="71"/>
      <c r="M1351" s="5"/>
    </row>
    <row r="1352" spans="1:13" s="3" customFormat="1">
      <c r="A1352" s="1"/>
      <c r="B1352" s="8"/>
      <c r="C1352" s="5"/>
      <c r="D1352" s="12"/>
      <c r="E1352" s="23"/>
      <c r="F1352" s="9"/>
      <c r="G1352" s="5"/>
      <c r="H1352" s="16"/>
      <c r="I1352" s="69"/>
      <c r="J1352" s="70"/>
      <c r="K1352" s="71"/>
      <c r="L1352" s="71"/>
      <c r="M1352" s="5"/>
    </row>
    <row r="1353" spans="1:13" s="3" customFormat="1">
      <c r="A1353" s="1"/>
      <c r="B1353" s="8"/>
      <c r="C1353" s="5"/>
      <c r="D1353" s="12"/>
      <c r="E1353" s="23"/>
      <c r="F1353" s="9"/>
      <c r="G1353" s="5"/>
      <c r="H1353" s="16"/>
      <c r="I1353" s="69"/>
      <c r="J1353" s="70"/>
      <c r="K1353" s="71"/>
      <c r="L1353" s="71"/>
      <c r="M1353" s="5"/>
    </row>
    <row r="1354" spans="1:13" s="3" customFormat="1">
      <c r="A1354" s="1"/>
      <c r="B1354" s="8"/>
      <c r="C1354" s="5"/>
      <c r="D1354" s="12"/>
      <c r="E1354" s="23"/>
      <c r="F1354" s="9"/>
      <c r="G1354" s="5"/>
      <c r="H1354" s="16"/>
      <c r="I1354" s="69"/>
      <c r="J1354" s="70"/>
      <c r="K1354" s="71"/>
      <c r="L1354" s="71"/>
      <c r="M1354" s="5"/>
    </row>
    <row r="1355" spans="1:13" s="3" customFormat="1">
      <c r="A1355" s="1"/>
      <c r="B1355" s="8"/>
      <c r="C1355" s="5"/>
      <c r="D1355" s="12"/>
      <c r="E1355" s="23"/>
      <c r="F1355" s="9"/>
      <c r="G1355" s="5"/>
      <c r="H1355" s="16"/>
      <c r="I1355" s="69"/>
      <c r="J1355" s="70"/>
      <c r="K1355" s="71"/>
      <c r="L1355" s="71"/>
      <c r="M1355" s="5"/>
    </row>
    <row r="1356" spans="1:13" s="3" customFormat="1">
      <c r="A1356" s="1"/>
      <c r="B1356" s="8"/>
      <c r="C1356" s="5"/>
      <c r="D1356" s="12"/>
      <c r="E1356" s="23"/>
      <c r="F1356" s="9"/>
      <c r="G1356" s="5"/>
      <c r="H1356" s="16"/>
      <c r="I1356" s="69"/>
      <c r="J1356" s="70"/>
      <c r="K1356" s="71"/>
      <c r="L1356" s="71"/>
      <c r="M1356" s="5"/>
    </row>
    <row r="1357" spans="1:13" s="3" customFormat="1">
      <c r="A1357" s="1"/>
      <c r="B1357" s="8"/>
      <c r="C1357" s="5"/>
      <c r="D1357" s="12"/>
      <c r="E1357" s="23"/>
      <c r="F1357" s="9"/>
      <c r="G1357" s="5"/>
      <c r="H1357" s="16"/>
      <c r="I1357" s="69"/>
      <c r="J1357" s="70"/>
      <c r="K1357" s="71"/>
      <c r="L1357" s="71"/>
      <c r="M1357" s="5"/>
    </row>
    <row r="1358" spans="1:13" s="3" customFormat="1">
      <c r="A1358" s="1"/>
      <c r="B1358" s="8"/>
      <c r="C1358" s="5"/>
      <c r="D1358" s="12"/>
      <c r="E1358" s="23"/>
      <c r="F1358" s="9"/>
      <c r="G1358" s="5"/>
      <c r="H1358" s="16"/>
      <c r="I1358" s="69"/>
      <c r="J1358" s="70"/>
      <c r="K1358" s="71"/>
      <c r="L1358" s="71"/>
      <c r="M1358" s="5"/>
    </row>
    <row r="1359" spans="1:13" s="3" customFormat="1">
      <c r="A1359" s="1"/>
      <c r="B1359" s="8"/>
      <c r="C1359" s="5"/>
      <c r="D1359" s="12"/>
      <c r="E1359" s="23"/>
      <c r="F1359" s="9"/>
      <c r="G1359" s="5"/>
      <c r="H1359" s="16"/>
      <c r="I1359" s="69"/>
      <c r="J1359" s="70"/>
      <c r="K1359" s="71"/>
      <c r="L1359" s="71"/>
      <c r="M1359" s="5"/>
    </row>
    <row r="1360" spans="1:13" s="3" customFormat="1">
      <c r="A1360" s="1"/>
      <c r="B1360" s="8"/>
      <c r="C1360" s="5"/>
      <c r="D1360" s="12"/>
      <c r="E1360" s="23"/>
      <c r="F1360" s="9"/>
      <c r="G1360" s="5"/>
      <c r="H1360" s="16"/>
      <c r="I1360" s="69"/>
      <c r="J1360" s="70"/>
      <c r="K1360" s="71"/>
      <c r="L1360" s="71"/>
      <c r="M1360" s="5"/>
    </row>
    <row r="1361" spans="1:13" s="3" customFormat="1">
      <c r="A1361" s="1"/>
      <c r="B1361" s="8"/>
      <c r="C1361" s="5"/>
      <c r="D1361" s="12"/>
      <c r="E1361" s="23"/>
      <c r="F1361" s="9"/>
      <c r="G1361" s="5"/>
      <c r="H1361" s="16"/>
      <c r="I1361" s="69"/>
      <c r="J1361" s="70"/>
      <c r="K1361" s="71"/>
      <c r="L1361" s="71"/>
      <c r="M1361" s="5"/>
    </row>
    <row r="1362" spans="1:13" s="3" customFormat="1">
      <c r="A1362" s="1"/>
      <c r="B1362" s="8"/>
      <c r="C1362" s="5"/>
      <c r="D1362" s="12"/>
      <c r="E1362" s="23"/>
      <c r="F1362" s="9"/>
      <c r="G1362" s="5"/>
      <c r="H1362" s="16"/>
      <c r="I1362" s="69"/>
      <c r="J1362" s="70"/>
      <c r="K1362" s="71"/>
      <c r="L1362" s="71"/>
      <c r="M1362" s="5"/>
    </row>
    <row r="1363" spans="1:13" s="3" customFormat="1">
      <c r="A1363" s="1"/>
      <c r="B1363" s="8"/>
      <c r="C1363" s="5"/>
      <c r="D1363" s="12"/>
      <c r="E1363" s="23"/>
      <c r="F1363" s="9"/>
      <c r="G1363" s="5"/>
      <c r="H1363" s="16"/>
      <c r="I1363" s="69"/>
      <c r="J1363" s="70"/>
      <c r="K1363" s="71"/>
      <c r="L1363" s="71"/>
      <c r="M1363" s="5"/>
    </row>
    <row r="1364" spans="1:13" s="3" customFormat="1">
      <c r="A1364" s="1"/>
      <c r="B1364" s="8"/>
      <c r="C1364" s="5"/>
      <c r="D1364" s="12"/>
      <c r="E1364" s="23"/>
      <c r="F1364" s="9"/>
      <c r="G1364" s="5"/>
      <c r="H1364" s="16"/>
      <c r="I1364" s="69"/>
      <c r="J1364" s="70"/>
      <c r="K1364" s="71"/>
      <c r="L1364" s="71"/>
      <c r="M1364" s="5"/>
    </row>
    <row r="1365" spans="1:13" s="3" customFormat="1">
      <c r="A1365" s="1"/>
      <c r="B1365" s="8"/>
      <c r="C1365" s="5"/>
      <c r="D1365" s="12"/>
      <c r="E1365" s="23"/>
      <c r="F1365" s="9"/>
      <c r="G1365" s="5"/>
      <c r="H1365" s="16"/>
      <c r="I1365" s="69"/>
      <c r="J1365" s="70"/>
      <c r="K1365" s="71"/>
      <c r="L1365" s="71"/>
      <c r="M1365" s="5"/>
    </row>
    <row r="1366" spans="1:13" s="3" customFormat="1">
      <c r="A1366" s="1"/>
      <c r="B1366" s="8"/>
      <c r="C1366" s="5"/>
      <c r="D1366" s="12"/>
      <c r="E1366" s="23"/>
      <c r="F1366" s="9"/>
      <c r="G1366" s="5"/>
      <c r="H1366" s="16"/>
      <c r="I1366" s="69"/>
      <c r="J1366" s="70"/>
      <c r="K1366" s="71"/>
      <c r="L1366" s="71"/>
      <c r="M1366" s="5"/>
    </row>
    <row r="1367" spans="1:13" s="3" customFormat="1">
      <c r="A1367" s="1"/>
      <c r="B1367" s="8"/>
      <c r="C1367" s="5"/>
      <c r="D1367" s="12"/>
      <c r="E1367" s="23"/>
      <c r="F1367" s="9"/>
      <c r="G1367" s="5"/>
      <c r="H1367" s="16"/>
      <c r="I1367" s="69"/>
      <c r="J1367" s="70"/>
      <c r="K1367" s="71"/>
      <c r="L1367" s="71"/>
      <c r="M1367" s="5"/>
    </row>
    <row r="1368" spans="1:13" s="3" customFormat="1">
      <c r="A1368" s="1"/>
      <c r="B1368" s="8"/>
      <c r="C1368" s="5"/>
      <c r="D1368" s="12"/>
      <c r="E1368" s="23"/>
      <c r="F1368" s="9"/>
      <c r="G1368" s="5"/>
      <c r="H1368" s="16"/>
      <c r="I1368" s="69"/>
      <c r="J1368" s="70"/>
      <c r="K1368" s="71"/>
      <c r="L1368" s="71"/>
      <c r="M1368" s="5"/>
    </row>
    <row r="1369" spans="1:13" s="3" customFormat="1">
      <c r="A1369" s="1"/>
      <c r="B1369" s="8"/>
      <c r="C1369" s="5"/>
      <c r="D1369" s="12"/>
      <c r="E1369" s="23"/>
      <c r="F1369" s="9"/>
      <c r="G1369" s="5"/>
      <c r="H1369" s="16"/>
      <c r="I1369" s="69"/>
      <c r="J1369" s="70"/>
      <c r="K1369" s="71"/>
      <c r="L1369" s="71"/>
      <c r="M1369" s="5"/>
    </row>
    <row r="1370" spans="1:13" s="3" customFormat="1">
      <c r="A1370" s="1"/>
      <c r="B1370" s="8"/>
      <c r="C1370" s="5"/>
      <c r="D1370" s="12"/>
      <c r="E1370" s="23"/>
      <c r="F1370" s="9"/>
      <c r="G1370" s="5"/>
      <c r="H1370" s="16"/>
      <c r="I1370" s="69"/>
      <c r="J1370" s="70"/>
      <c r="K1370" s="71"/>
      <c r="L1370" s="71"/>
      <c r="M1370" s="5"/>
    </row>
    <row r="1371" spans="1:13" s="3" customFormat="1">
      <c r="A1371" s="1"/>
      <c r="B1371" s="8"/>
      <c r="C1371" s="5"/>
      <c r="D1371" s="12"/>
      <c r="E1371" s="23"/>
      <c r="F1371" s="9"/>
      <c r="G1371" s="5"/>
      <c r="H1371" s="16"/>
      <c r="I1371" s="69"/>
      <c r="J1371" s="70"/>
      <c r="K1371" s="71"/>
      <c r="L1371" s="71"/>
      <c r="M1371" s="5"/>
    </row>
    <row r="1372" spans="1:13" s="3" customFormat="1">
      <c r="A1372" s="1"/>
      <c r="B1372" s="8"/>
      <c r="C1372" s="5"/>
      <c r="D1372" s="12"/>
      <c r="E1372" s="23"/>
      <c r="F1372" s="9"/>
      <c r="G1372" s="5"/>
      <c r="H1372" s="16"/>
      <c r="I1372" s="69"/>
      <c r="J1372" s="70"/>
      <c r="K1372" s="71"/>
      <c r="L1372" s="71"/>
      <c r="M1372" s="5"/>
    </row>
    <row r="1373" spans="1:13" s="3" customFormat="1">
      <c r="A1373" s="1"/>
      <c r="B1373" s="8"/>
      <c r="C1373" s="5"/>
      <c r="D1373" s="12"/>
      <c r="E1373" s="23"/>
      <c r="F1373" s="9"/>
      <c r="G1373" s="5"/>
      <c r="H1373" s="16"/>
      <c r="I1373" s="69"/>
      <c r="J1373" s="70"/>
      <c r="K1373" s="71"/>
      <c r="L1373" s="71"/>
      <c r="M1373" s="5"/>
    </row>
    <row r="1374" spans="1:13" s="3" customFormat="1">
      <c r="A1374" s="1"/>
      <c r="B1374" s="8"/>
      <c r="C1374" s="5"/>
      <c r="D1374" s="12"/>
      <c r="E1374" s="23"/>
      <c r="F1374" s="9"/>
      <c r="G1374" s="5"/>
      <c r="H1374" s="16"/>
      <c r="I1374" s="69"/>
      <c r="J1374" s="70"/>
      <c r="K1374" s="71"/>
      <c r="L1374" s="71"/>
      <c r="M1374" s="5"/>
    </row>
    <row r="1375" spans="1:13" s="3" customFormat="1">
      <c r="A1375" s="1"/>
      <c r="B1375" s="8"/>
      <c r="C1375" s="5"/>
      <c r="D1375" s="12"/>
      <c r="E1375" s="23"/>
      <c r="F1375" s="9"/>
      <c r="G1375" s="5"/>
      <c r="H1375" s="16"/>
      <c r="I1375" s="69"/>
      <c r="J1375" s="70"/>
      <c r="K1375" s="71"/>
      <c r="L1375" s="71"/>
      <c r="M1375" s="5"/>
    </row>
    <row r="1376" spans="1:13" s="3" customFormat="1">
      <c r="A1376" s="1"/>
      <c r="B1376" s="8"/>
      <c r="C1376" s="5"/>
      <c r="D1376" s="12"/>
      <c r="E1376" s="23"/>
      <c r="F1376" s="9"/>
      <c r="G1376" s="5"/>
      <c r="H1376" s="16"/>
      <c r="I1376" s="69"/>
      <c r="J1376" s="70"/>
      <c r="K1376" s="71"/>
      <c r="L1376" s="71"/>
      <c r="M1376" s="5"/>
    </row>
    <row r="1377" spans="1:13" s="3" customFormat="1">
      <c r="A1377" s="1"/>
      <c r="B1377" s="8"/>
      <c r="C1377" s="5"/>
      <c r="D1377" s="12"/>
      <c r="E1377" s="23"/>
      <c r="F1377" s="9"/>
      <c r="G1377" s="5"/>
      <c r="H1377" s="16"/>
      <c r="I1377" s="69"/>
      <c r="J1377" s="70"/>
      <c r="K1377" s="71"/>
      <c r="L1377" s="71"/>
      <c r="M1377" s="5"/>
    </row>
    <row r="1378" spans="1:13" s="3" customFormat="1">
      <c r="A1378" s="1"/>
      <c r="B1378" s="8"/>
      <c r="C1378" s="5"/>
      <c r="D1378" s="12"/>
      <c r="E1378" s="23"/>
      <c r="F1378" s="9"/>
      <c r="G1378" s="5"/>
      <c r="H1378" s="16"/>
      <c r="I1378" s="69"/>
      <c r="J1378" s="70"/>
      <c r="K1378" s="71"/>
      <c r="L1378" s="71"/>
      <c r="M1378" s="5"/>
    </row>
    <row r="1379" spans="1:13" s="3" customFormat="1">
      <c r="A1379" s="1"/>
      <c r="B1379" s="8"/>
      <c r="C1379" s="5"/>
      <c r="D1379" s="12"/>
      <c r="E1379" s="23"/>
      <c r="F1379" s="9"/>
      <c r="G1379" s="5"/>
      <c r="H1379" s="16"/>
      <c r="I1379" s="69"/>
      <c r="J1379" s="70"/>
      <c r="K1379" s="71"/>
      <c r="L1379" s="71"/>
      <c r="M1379" s="5"/>
    </row>
    <row r="1380" spans="1:13" s="3" customFormat="1">
      <c r="A1380" s="1"/>
      <c r="B1380" s="8"/>
      <c r="C1380" s="5"/>
      <c r="D1380" s="12"/>
      <c r="E1380" s="23"/>
      <c r="F1380" s="9"/>
      <c r="G1380" s="5"/>
      <c r="H1380" s="16"/>
      <c r="I1380" s="69"/>
      <c r="J1380" s="70"/>
      <c r="K1380" s="71"/>
      <c r="L1380" s="71"/>
      <c r="M1380" s="5"/>
    </row>
    <row r="1381" spans="1:13" s="3" customFormat="1">
      <c r="A1381" s="1"/>
      <c r="B1381" s="8"/>
      <c r="C1381" s="5"/>
      <c r="D1381" s="12"/>
      <c r="E1381" s="23"/>
      <c r="F1381" s="9"/>
      <c r="G1381" s="5"/>
      <c r="H1381" s="16"/>
      <c r="I1381" s="69"/>
      <c r="J1381" s="70"/>
      <c r="K1381" s="71"/>
      <c r="L1381" s="71"/>
      <c r="M1381" s="5"/>
    </row>
    <row r="1382" spans="1:13" s="3" customFormat="1">
      <c r="A1382" s="1"/>
      <c r="B1382" s="8"/>
      <c r="C1382" s="5"/>
      <c r="D1382" s="12"/>
      <c r="E1382" s="23"/>
      <c r="F1382" s="9"/>
      <c r="G1382" s="5"/>
      <c r="H1382" s="16"/>
      <c r="I1382" s="69"/>
      <c r="J1382" s="70"/>
      <c r="K1382" s="71"/>
      <c r="L1382" s="71"/>
      <c r="M1382" s="5"/>
    </row>
    <row r="1383" spans="1:13" s="3" customFormat="1">
      <c r="A1383" s="1"/>
      <c r="B1383" s="8"/>
      <c r="C1383" s="5"/>
      <c r="D1383" s="12"/>
      <c r="E1383" s="23"/>
      <c r="F1383" s="9"/>
      <c r="G1383" s="5"/>
      <c r="H1383" s="16"/>
      <c r="I1383" s="69"/>
      <c r="J1383" s="70"/>
      <c r="K1383" s="71"/>
      <c r="L1383" s="71"/>
      <c r="M1383" s="5"/>
    </row>
    <row r="1384" spans="1:13" s="3" customFormat="1">
      <c r="A1384" s="1"/>
      <c r="B1384" s="8"/>
      <c r="C1384" s="5"/>
      <c r="D1384" s="12"/>
      <c r="E1384" s="23"/>
      <c r="F1384" s="9"/>
      <c r="G1384" s="5"/>
      <c r="H1384" s="16"/>
      <c r="I1384" s="69"/>
      <c r="J1384" s="70"/>
      <c r="K1384" s="71"/>
      <c r="L1384" s="71"/>
      <c r="M1384" s="5"/>
    </row>
    <row r="1385" spans="1:13" s="3" customFormat="1">
      <c r="A1385" s="1"/>
      <c r="B1385" s="8"/>
      <c r="C1385" s="5"/>
      <c r="D1385" s="12"/>
      <c r="E1385" s="23"/>
      <c r="F1385" s="9"/>
      <c r="G1385" s="5"/>
      <c r="H1385" s="16"/>
      <c r="I1385" s="69"/>
      <c r="J1385" s="70"/>
      <c r="K1385" s="71"/>
      <c r="L1385" s="71"/>
      <c r="M1385" s="5"/>
    </row>
    <row r="1386" spans="1:13" s="3" customFormat="1">
      <c r="A1386" s="1"/>
      <c r="B1386" s="8"/>
      <c r="C1386" s="5"/>
      <c r="D1386" s="12"/>
      <c r="E1386" s="23"/>
      <c r="F1386" s="9"/>
      <c r="G1386" s="5"/>
      <c r="H1386" s="16"/>
      <c r="I1386" s="69"/>
      <c r="J1386" s="70"/>
      <c r="K1386" s="71"/>
      <c r="L1386" s="71"/>
      <c r="M1386" s="5"/>
    </row>
    <row r="1387" spans="1:13" s="3" customFormat="1">
      <c r="A1387" s="1"/>
      <c r="B1387" s="8"/>
      <c r="C1387" s="5"/>
      <c r="D1387" s="12"/>
      <c r="E1387" s="23"/>
      <c r="F1387" s="9"/>
      <c r="G1387" s="5"/>
      <c r="H1387" s="16"/>
      <c r="I1387" s="69"/>
      <c r="J1387" s="70"/>
      <c r="K1387" s="71"/>
      <c r="L1387" s="71"/>
      <c r="M1387" s="5"/>
    </row>
    <row r="1388" spans="1:13" s="3" customFormat="1">
      <c r="A1388" s="1"/>
      <c r="B1388" s="8"/>
      <c r="C1388" s="5"/>
      <c r="D1388" s="12"/>
      <c r="E1388" s="23"/>
      <c r="F1388" s="9"/>
      <c r="G1388" s="5"/>
      <c r="H1388" s="16"/>
      <c r="I1388" s="69"/>
      <c r="J1388" s="70"/>
      <c r="K1388" s="71"/>
      <c r="L1388" s="71"/>
      <c r="M1388" s="5"/>
    </row>
    <row r="1389" spans="1:13" s="3" customFormat="1">
      <c r="A1389" s="1"/>
      <c r="B1389" s="8"/>
      <c r="C1389" s="5"/>
      <c r="D1389" s="12"/>
      <c r="E1389" s="23"/>
      <c r="F1389" s="9"/>
      <c r="G1389" s="5"/>
      <c r="H1389" s="16"/>
      <c r="I1389" s="69"/>
      <c r="J1389" s="70"/>
      <c r="K1389" s="71"/>
      <c r="L1389" s="71"/>
      <c r="M1389" s="5"/>
    </row>
    <row r="1390" spans="1:13" s="3" customFormat="1">
      <c r="A1390" s="1"/>
      <c r="B1390" s="8"/>
      <c r="C1390" s="5"/>
      <c r="D1390" s="12"/>
      <c r="E1390" s="23"/>
      <c r="F1390" s="9"/>
      <c r="G1390" s="5"/>
      <c r="H1390" s="16"/>
      <c r="I1390" s="69"/>
      <c r="J1390" s="70"/>
      <c r="K1390" s="71"/>
      <c r="L1390" s="71"/>
      <c r="M1390" s="5"/>
    </row>
    <row r="1391" spans="1:13" s="3" customFormat="1">
      <c r="A1391" s="1"/>
      <c r="B1391" s="8"/>
      <c r="C1391" s="5"/>
      <c r="D1391" s="12"/>
      <c r="E1391" s="23"/>
      <c r="F1391" s="9"/>
      <c r="G1391" s="5"/>
      <c r="H1391" s="16"/>
      <c r="I1391" s="69"/>
      <c r="J1391" s="70"/>
      <c r="K1391" s="71"/>
      <c r="L1391" s="71"/>
      <c r="M1391" s="5"/>
    </row>
    <row r="1392" spans="1:13" s="3" customFormat="1">
      <c r="A1392" s="1"/>
      <c r="B1392" s="8"/>
      <c r="C1392" s="5"/>
      <c r="D1392" s="12"/>
      <c r="E1392" s="23"/>
      <c r="F1392" s="9"/>
      <c r="G1392" s="5"/>
      <c r="H1392" s="16"/>
      <c r="I1392" s="69"/>
      <c r="J1392" s="70"/>
      <c r="K1392" s="71"/>
      <c r="L1392" s="71"/>
      <c r="M1392" s="5"/>
    </row>
    <row r="1393" spans="1:13" s="3" customFormat="1">
      <c r="A1393" s="1"/>
      <c r="B1393" s="8"/>
      <c r="C1393" s="5"/>
      <c r="D1393" s="12"/>
      <c r="E1393" s="23"/>
      <c r="F1393" s="9"/>
      <c r="G1393" s="5"/>
      <c r="H1393" s="16"/>
      <c r="I1393" s="69"/>
      <c r="J1393" s="70"/>
      <c r="K1393" s="71"/>
      <c r="L1393" s="71"/>
      <c r="M1393" s="5"/>
    </row>
    <row r="1394" spans="1:13" s="3" customFormat="1">
      <c r="A1394" s="1"/>
      <c r="B1394" s="8"/>
      <c r="C1394" s="5"/>
      <c r="D1394" s="12"/>
      <c r="E1394" s="23"/>
      <c r="F1394" s="9"/>
      <c r="G1394" s="5"/>
      <c r="H1394" s="16"/>
      <c r="I1394" s="69"/>
      <c r="J1394" s="70"/>
      <c r="K1394" s="71"/>
      <c r="L1394" s="71"/>
      <c r="M1394" s="5"/>
    </row>
    <row r="1395" spans="1:13" s="3" customFormat="1">
      <c r="A1395" s="1"/>
      <c r="B1395" s="8"/>
      <c r="C1395" s="5"/>
      <c r="D1395" s="12"/>
      <c r="E1395" s="23"/>
      <c r="F1395" s="9"/>
      <c r="G1395" s="5"/>
      <c r="H1395" s="16"/>
      <c r="I1395" s="69"/>
      <c r="J1395" s="70"/>
      <c r="K1395" s="71"/>
      <c r="L1395" s="71"/>
      <c r="M1395" s="5"/>
    </row>
    <row r="1396" spans="1:13" s="3" customFormat="1">
      <c r="A1396" s="1"/>
      <c r="B1396" s="8"/>
      <c r="C1396" s="5"/>
      <c r="D1396" s="12"/>
      <c r="E1396" s="23"/>
      <c r="F1396" s="9"/>
      <c r="G1396" s="5"/>
      <c r="H1396" s="16"/>
      <c r="I1396" s="69"/>
      <c r="J1396" s="70"/>
      <c r="K1396" s="71"/>
      <c r="L1396" s="71"/>
      <c r="M1396" s="5"/>
    </row>
    <row r="1397" spans="1:13" s="3" customFormat="1">
      <c r="A1397" s="1"/>
      <c r="B1397" s="8"/>
      <c r="C1397" s="5"/>
      <c r="D1397" s="12"/>
      <c r="E1397" s="23"/>
      <c r="F1397" s="9"/>
      <c r="G1397" s="5"/>
      <c r="H1397" s="16"/>
      <c r="I1397" s="69"/>
      <c r="J1397" s="70"/>
      <c r="K1397" s="71"/>
      <c r="L1397" s="71"/>
      <c r="M1397" s="5"/>
    </row>
    <row r="1398" spans="1:13" s="3" customFormat="1">
      <c r="A1398" s="1"/>
      <c r="B1398" s="8"/>
      <c r="C1398" s="5"/>
      <c r="D1398" s="12"/>
      <c r="E1398" s="23"/>
      <c r="F1398" s="9"/>
      <c r="G1398" s="5"/>
      <c r="H1398" s="16"/>
      <c r="I1398" s="69"/>
      <c r="J1398" s="70"/>
      <c r="K1398" s="71"/>
      <c r="L1398" s="71"/>
      <c r="M1398" s="5"/>
    </row>
    <row r="1399" spans="1:13" s="3" customFormat="1">
      <c r="A1399" s="1"/>
      <c r="B1399" s="8"/>
      <c r="C1399" s="5"/>
      <c r="D1399" s="12"/>
      <c r="E1399" s="23"/>
      <c r="F1399" s="9"/>
      <c r="G1399" s="5"/>
      <c r="H1399" s="16"/>
      <c r="I1399" s="69"/>
      <c r="J1399" s="70"/>
      <c r="K1399" s="71"/>
      <c r="L1399" s="71"/>
      <c r="M1399" s="5"/>
    </row>
    <row r="1400" spans="1:13" s="3" customFormat="1">
      <c r="A1400" s="1"/>
      <c r="B1400" s="8"/>
      <c r="C1400" s="5"/>
      <c r="D1400" s="12"/>
      <c r="E1400" s="23"/>
      <c r="F1400" s="9"/>
      <c r="G1400" s="5"/>
      <c r="H1400" s="16"/>
      <c r="I1400" s="69"/>
      <c r="J1400" s="70"/>
      <c r="K1400" s="71"/>
      <c r="L1400" s="71"/>
      <c r="M1400" s="5"/>
    </row>
    <row r="1401" spans="1:13" s="3" customFormat="1">
      <c r="A1401" s="1"/>
      <c r="B1401" s="8"/>
      <c r="C1401" s="5"/>
      <c r="D1401" s="12"/>
      <c r="E1401" s="23"/>
      <c r="F1401" s="9"/>
      <c r="G1401" s="5"/>
      <c r="H1401" s="16"/>
      <c r="I1401" s="69"/>
      <c r="J1401" s="70"/>
      <c r="K1401" s="71"/>
      <c r="L1401" s="71"/>
      <c r="M1401" s="5"/>
    </row>
    <row r="1402" spans="1:13" s="3" customFormat="1">
      <c r="A1402" s="1"/>
      <c r="B1402" s="8"/>
      <c r="C1402" s="5"/>
      <c r="D1402" s="12"/>
      <c r="E1402" s="23"/>
      <c r="F1402" s="9"/>
      <c r="G1402" s="5"/>
      <c r="H1402" s="16"/>
      <c r="I1402" s="69"/>
      <c r="J1402" s="70"/>
      <c r="K1402" s="71"/>
      <c r="L1402" s="71"/>
      <c r="M1402" s="5"/>
    </row>
    <row r="1403" spans="1:13" s="3" customFormat="1">
      <c r="A1403" s="1"/>
      <c r="B1403" s="8"/>
      <c r="C1403" s="5"/>
      <c r="D1403" s="12"/>
      <c r="E1403" s="23"/>
      <c r="F1403" s="9"/>
      <c r="G1403" s="5"/>
      <c r="H1403" s="16"/>
      <c r="I1403" s="69"/>
      <c r="J1403" s="70"/>
      <c r="K1403" s="71"/>
      <c r="L1403" s="71"/>
      <c r="M1403" s="5"/>
    </row>
    <row r="1404" spans="1:13" s="3" customFormat="1">
      <c r="A1404" s="1"/>
      <c r="B1404" s="8"/>
      <c r="C1404" s="5"/>
      <c r="D1404" s="12"/>
      <c r="E1404" s="23"/>
      <c r="F1404" s="9"/>
      <c r="G1404" s="5"/>
      <c r="H1404" s="16"/>
      <c r="I1404" s="69"/>
      <c r="J1404" s="70"/>
      <c r="K1404" s="71"/>
      <c r="L1404" s="71"/>
      <c r="M1404" s="5"/>
    </row>
    <row r="1405" spans="1:13" s="3" customFormat="1">
      <c r="A1405" s="1"/>
      <c r="B1405" s="8"/>
      <c r="C1405" s="5"/>
      <c r="D1405" s="12"/>
      <c r="E1405" s="23"/>
      <c r="F1405" s="9"/>
      <c r="G1405" s="5"/>
      <c r="H1405" s="16"/>
      <c r="I1405" s="69"/>
      <c r="J1405" s="70"/>
      <c r="K1405" s="71"/>
      <c r="L1405" s="71"/>
      <c r="M1405" s="5"/>
    </row>
    <row r="1406" spans="1:13" s="3" customFormat="1">
      <c r="A1406" s="1"/>
      <c r="B1406" s="8"/>
      <c r="C1406" s="5"/>
      <c r="D1406" s="12"/>
      <c r="E1406" s="23"/>
      <c r="F1406" s="9"/>
      <c r="G1406" s="5"/>
      <c r="H1406" s="16"/>
      <c r="I1406" s="69"/>
      <c r="J1406" s="70"/>
      <c r="K1406" s="71"/>
      <c r="L1406" s="71"/>
      <c r="M1406" s="5"/>
    </row>
    <row r="1407" spans="1:13" s="3" customFormat="1">
      <c r="A1407" s="1"/>
      <c r="B1407" s="8"/>
      <c r="C1407" s="5"/>
      <c r="D1407" s="12"/>
      <c r="E1407" s="23"/>
      <c r="F1407" s="9"/>
      <c r="G1407" s="5"/>
      <c r="H1407" s="16"/>
      <c r="I1407" s="69"/>
      <c r="J1407" s="70"/>
      <c r="K1407" s="71"/>
      <c r="L1407" s="71"/>
      <c r="M1407" s="5"/>
    </row>
    <row r="1408" spans="1:13" s="3" customFormat="1">
      <c r="A1408" s="1"/>
      <c r="B1408" s="8"/>
      <c r="C1408" s="5"/>
      <c r="D1408" s="12"/>
      <c r="E1408" s="23"/>
      <c r="F1408" s="9"/>
      <c r="G1408" s="5"/>
      <c r="H1408" s="16"/>
      <c r="I1408" s="69"/>
      <c r="J1408" s="70"/>
      <c r="K1408" s="71"/>
      <c r="L1408" s="71"/>
      <c r="M1408" s="5"/>
    </row>
    <row r="1409" spans="1:13" s="3" customFormat="1">
      <c r="A1409" s="1"/>
      <c r="B1409" s="8"/>
      <c r="C1409" s="5"/>
      <c r="D1409" s="12"/>
      <c r="E1409" s="23"/>
      <c r="F1409" s="9"/>
      <c r="G1409" s="5"/>
      <c r="H1409" s="16"/>
      <c r="I1409" s="69"/>
      <c r="J1409" s="70"/>
      <c r="K1409" s="71"/>
      <c r="L1409" s="71"/>
      <c r="M1409" s="5"/>
    </row>
    <row r="1410" spans="1:13" s="3" customFormat="1">
      <c r="A1410" s="1"/>
      <c r="B1410" s="8"/>
      <c r="C1410" s="5"/>
      <c r="D1410" s="12"/>
      <c r="E1410" s="23"/>
      <c r="F1410" s="9"/>
      <c r="G1410" s="5"/>
      <c r="H1410" s="16"/>
      <c r="I1410" s="69"/>
      <c r="J1410" s="70"/>
      <c r="K1410" s="71"/>
      <c r="L1410" s="71"/>
      <c r="M1410" s="5"/>
    </row>
    <row r="1411" spans="1:13" s="3" customFormat="1">
      <c r="A1411" s="1"/>
      <c r="B1411" s="8"/>
      <c r="C1411" s="5"/>
      <c r="D1411" s="12"/>
      <c r="E1411" s="23"/>
      <c r="F1411" s="9"/>
      <c r="G1411" s="5"/>
      <c r="H1411" s="16"/>
      <c r="I1411" s="69"/>
      <c r="J1411" s="70"/>
      <c r="K1411" s="71"/>
      <c r="L1411" s="71"/>
      <c r="M1411" s="5"/>
    </row>
    <row r="1412" spans="1:13" s="3" customFormat="1">
      <c r="A1412" s="1"/>
      <c r="B1412" s="8"/>
      <c r="C1412" s="5"/>
      <c r="D1412" s="12"/>
      <c r="E1412" s="23"/>
      <c r="F1412" s="9"/>
      <c r="G1412" s="5"/>
      <c r="H1412" s="16"/>
      <c r="I1412" s="69"/>
      <c r="J1412" s="70"/>
      <c r="K1412" s="71"/>
      <c r="L1412" s="71"/>
      <c r="M1412" s="5"/>
    </row>
    <row r="1413" spans="1:13" s="3" customFormat="1">
      <c r="A1413" s="1"/>
      <c r="B1413" s="8"/>
      <c r="C1413" s="5"/>
      <c r="D1413" s="12"/>
      <c r="E1413" s="23"/>
      <c r="F1413" s="9"/>
      <c r="G1413" s="5"/>
      <c r="H1413" s="16"/>
      <c r="I1413" s="69"/>
      <c r="J1413" s="70"/>
      <c r="K1413" s="71"/>
      <c r="L1413" s="71"/>
      <c r="M1413" s="5"/>
    </row>
    <row r="1414" spans="1:13" s="3" customFormat="1">
      <c r="A1414" s="1"/>
      <c r="B1414" s="8"/>
      <c r="C1414" s="5"/>
      <c r="D1414" s="12"/>
      <c r="E1414" s="23"/>
      <c r="F1414" s="9"/>
      <c r="G1414" s="5"/>
      <c r="H1414" s="16"/>
      <c r="I1414" s="69"/>
      <c r="J1414" s="70"/>
      <c r="K1414" s="71"/>
      <c r="L1414" s="71"/>
      <c r="M1414" s="5"/>
    </row>
    <row r="1415" spans="1:13" s="3" customFormat="1">
      <c r="A1415" s="1"/>
      <c r="B1415" s="8"/>
      <c r="C1415" s="5"/>
      <c r="D1415" s="12"/>
      <c r="E1415" s="23"/>
      <c r="F1415" s="9"/>
      <c r="G1415" s="5"/>
      <c r="H1415" s="16"/>
      <c r="I1415" s="69"/>
      <c r="J1415" s="70"/>
      <c r="K1415" s="71"/>
      <c r="L1415" s="71"/>
      <c r="M1415" s="5"/>
    </row>
    <row r="1416" spans="1:13" s="3" customFormat="1">
      <c r="A1416" s="1"/>
      <c r="B1416" s="8"/>
      <c r="C1416" s="5"/>
      <c r="D1416" s="12"/>
      <c r="E1416" s="23"/>
      <c r="F1416" s="9"/>
      <c r="G1416" s="5"/>
      <c r="H1416" s="16"/>
      <c r="I1416" s="69"/>
      <c r="J1416" s="70"/>
      <c r="K1416" s="71"/>
      <c r="L1416" s="71"/>
      <c r="M1416" s="5"/>
    </row>
    <row r="1417" spans="1:13" s="3" customFormat="1">
      <c r="A1417" s="1"/>
      <c r="B1417" s="8"/>
      <c r="C1417" s="5"/>
      <c r="D1417" s="12"/>
      <c r="E1417" s="23"/>
      <c r="F1417" s="9"/>
      <c r="G1417" s="5"/>
      <c r="H1417" s="16"/>
      <c r="I1417" s="69"/>
      <c r="J1417" s="70"/>
      <c r="K1417" s="71"/>
      <c r="L1417" s="71"/>
      <c r="M1417" s="5"/>
    </row>
    <row r="1418" spans="1:13" s="3" customFormat="1">
      <c r="A1418" s="1"/>
      <c r="B1418" s="8"/>
      <c r="C1418" s="5"/>
      <c r="D1418" s="12"/>
      <c r="E1418" s="23"/>
      <c r="F1418" s="9"/>
      <c r="G1418" s="5"/>
      <c r="H1418" s="16"/>
      <c r="I1418" s="69"/>
      <c r="J1418" s="70"/>
      <c r="K1418" s="71"/>
      <c r="L1418" s="71"/>
      <c r="M1418" s="5"/>
    </row>
    <row r="1419" spans="1:13" s="3" customFormat="1">
      <c r="A1419" s="1"/>
      <c r="B1419" s="8"/>
      <c r="C1419" s="5"/>
      <c r="D1419" s="12"/>
      <c r="E1419" s="23"/>
      <c r="F1419" s="9"/>
      <c r="G1419" s="5"/>
      <c r="H1419" s="16"/>
      <c r="I1419" s="69"/>
      <c r="J1419" s="70"/>
      <c r="K1419" s="71"/>
      <c r="L1419" s="71"/>
      <c r="M1419" s="5"/>
    </row>
    <row r="1420" spans="1:13" s="3" customFormat="1">
      <c r="A1420" s="1"/>
      <c r="B1420" s="8"/>
      <c r="C1420" s="5"/>
      <c r="D1420" s="12"/>
      <c r="E1420" s="23"/>
      <c r="F1420" s="9"/>
      <c r="G1420" s="5"/>
      <c r="H1420" s="16"/>
      <c r="I1420" s="69"/>
      <c r="J1420" s="70"/>
      <c r="K1420" s="71"/>
      <c r="L1420" s="71"/>
      <c r="M1420" s="5"/>
    </row>
    <row r="1421" spans="1:13" s="3" customFormat="1">
      <c r="A1421" s="1"/>
      <c r="B1421" s="8"/>
      <c r="C1421" s="5"/>
      <c r="D1421" s="12"/>
      <c r="E1421" s="23"/>
      <c r="F1421" s="9"/>
      <c r="G1421" s="5"/>
      <c r="H1421" s="16"/>
      <c r="I1421" s="69"/>
      <c r="J1421" s="70"/>
      <c r="K1421" s="71"/>
      <c r="L1421" s="71"/>
      <c r="M1421" s="5"/>
    </row>
    <row r="1422" spans="1:13" s="3" customFormat="1">
      <c r="A1422" s="1"/>
      <c r="B1422" s="8"/>
      <c r="C1422" s="5"/>
      <c r="D1422" s="12"/>
      <c r="E1422" s="23"/>
      <c r="F1422" s="9"/>
      <c r="G1422" s="5"/>
      <c r="H1422" s="16"/>
      <c r="I1422" s="69"/>
      <c r="J1422" s="70"/>
      <c r="K1422" s="71"/>
      <c r="L1422" s="71"/>
      <c r="M1422" s="5"/>
    </row>
    <row r="1423" spans="1:13" s="3" customFormat="1">
      <c r="A1423" s="1"/>
      <c r="B1423" s="8"/>
      <c r="C1423" s="5"/>
      <c r="D1423" s="12"/>
      <c r="E1423" s="23"/>
      <c r="F1423" s="9"/>
      <c r="G1423" s="5"/>
      <c r="H1423" s="16"/>
      <c r="I1423" s="69"/>
      <c r="J1423" s="70"/>
      <c r="K1423" s="71"/>
      <c r="L1423" s="71"/>
      <c r="M1423" s="5"/>
    </row>
    <row r="1424" spans="1:13" s="3" customFormat="1">
      <c r="A1424" s="1"/>
      <c r="B1424" s="8"/>
      <c r="C1424" s="5"/>
      <c r="D1424" s="12"/>
      <c r="E1424" s="23"/>
      <c r="F1424" s="9"/>
      <c r="G1424" s="5"/>
      <c r="H1424" s="16"/>
      <c r="I1424" s="69"/>
      <c r="J1424" s="70"/>
      <c r="K1424" s="71"/>
      <c r="L1424" s="71"/>
      <c r="M1424" s="5"/>
    </row>
    <row r="1425" spans="1:13" s="3" customFormat="1">
      <c r="A1425" s="1"/>
      <c r="B1425" s="8"/>
      <c r="C1425" s="5"/>
      <c r="D1425" s="12"/>
      <c r="E1425" s="23"/>
      <c r="F1425" s="9"/>
      <c r="G1425" s="5"/>
      <c r="H1425" s="16"/>
      <c r="I1425" s="69"/>
      <c r="J1425" s="70"/>
      <c r="K1425" s="71"/>
      <c r="L1425" s="71"/>
      <c r="M1425" s="5"/>
    </row>
    <row r="1426" spans="1:13" s="3" customFormat="1">
      <c r="A1426" s="1"/>
      <c r="B1426" s="8"/>
      <c r="C1426" s="5"/>
      <c r="D1426" s="12"/>
      <c r="E1426" s="23"/>
      <c r="F1426" s="9"/>
      <c r="G1426" s="5"/>
      <c r="H1426" s="16"/>
      <c r="I1426" s="69"/>
      <c r="J1426" s="70"/>
      <c r="K1426" s="71"/>
      <c r="L1426" s="71"/>
      <c r="M1426" s="5"/>
    </row>
    <row r="1427" spans="1:13" s="3" customFormat="1">
      <c r="A1427" s="1"/>
      <c r="B1427" s="8"/>
      <c r="C1427" s="5"/>
      <c r="D1427" s="12"/>
      <c r="E1427" s="23"/>
      <c r="F1427" s="9"/>
      <c r="G1427" s="5"/>
      <c r="H1427" s="16"/>
      <c r="I1427" s="69"/>
      <c r="J1427" s="70"/>
      <c r="K1427" s="71"/>
      <c r="L1427" s="71"/>
      <c r="M1427" s="5"/>
    </row>
    <row r="1428" spans="1:13" s="3" customFormat="1">
      <c r="A1428" s="1"/>
      <c r="B1428" s="8"/>
      <c r="C1428" s="5"/>
      <c r="D1428" s="12"/>
      <c r="E1428" s="23"/>
      <c r="F1428" s="9"/>
      <c r="G1428" s="5"/>
      <c r="H1428" s="16"/>
      <c r="I1428" s="69"/>
      <c r="J1428" s="70"/>
      <c r="K1428" s="71"/>
      <c r="L1428" s="71"/>
      <c r="M1428" s="5"/>
    </row>
    <row r="1429" spans="1:13" s="3" customFormat="1">
      <c r="A1429" s="1"/>
      <c r="B1429" s="8"/>
      <c r="C1429" s="5"/>
      <c r="D1429" s="12"/>
      <c r="E1429" s="23"/>
      <c r="F1429" s="9"/>
      <c r="G1429" s="5"/>
      <c r="H1429" s="16"/>
      <c r="I1429" s="69"/>
      <c r="J1429" s="70"/>
      <c r="K1429" s="71"/>
      <c r="L1429" s="71"/>
      <c r="M1429" s="5"/>
    </row>
    <row r="1430" spans="1:13" s="3" customFormat="1">
      <c r="A1430" s="1"/>
      <c r="B1430" s="8"/>
      <c r="C1430" s="5"/>
      <c r="D1430" s="12"/>
      <c r="E1430" s="23"/>
      <c r="F1430" s="9"/>
      <c r="G1430" s="5"/>
      <c r="H1430" s="16"/>
      <c r="I1430" s="69"/>
      <c r="J1430" s="70"/>
      <c r="K1430" s="71"/>
      <c r="L1430" s="71"/>
      <c r="M1430" s="5"/>
    </row>
    <row r="1431" spans="1:13" s="3" customFormat="1">
      <c r="A1431" s="1"/>
      <c r="B1431" s="8"/>
      <c r="C1431" s="5"/>
      <c r="D1431" s="12"/>
      <c r="E1431" s="23"/>
      <c r="F1431" s="9"/>
      <c r="G1431" s="5"/>
      <c r="H1431" s="16"/>
      <c r="I1431" s="69"/>
      <c r="J1431" s="70"/>
      <c r="K1431" s="71"/>
      <c r="L1431" s="71"/>
      <c r="M1431" s="5"/>
    </row>
    <row r="1432" spans="1:13" s="3" customFormat="1">
      <c r="A1432" s="1"/>
      <c r="B1432" s="8"/>
      <c r="C1432" s="5"/>
      <c r="D1432" s="12"/>
      <c r="E1432" s="23"/>
      <c r="F1432" s="9"/>
      <c r="G1432" s="5"/>
      <c r="H1432" s="16"/>
      <c r="I1432" s="69"/>
      <c r="J1432" s="70"/>
      <c r="K1432" s="71"/>
      <c r="L1432" s="71"/>
      <c r="M1432" s="5"/>
    </row>
    <row r="1433" spans="1:13" s="3" customFormat="1">
      <c r="A1433" s="1"/>
      <c r="B1433" s="8"/>
      <c r="C1433" s="5"/>
      <c r="D1433" s="12"/>
      <c r="E1433" s="23"/>
      <c r="F1433" s="9"/>
      <c r="G1433" s="5"/>
      <c r="H1433" s="16"/>
      <c r="I1433" s="69"/>
      <c r="J1433" s="70"/>
      <c r="K1433" s="71"/>
      <c r="L1433" s="71"/>
      <c r="M1433" s="5"/>
    </row>
    <row r="1434" spans="1:13" s="3" customFormat="1">
      <c r="A1434" s="1"/>
      <c r="B1434" s="8"/>
      <c r="C1434" s="5"/>
      <c r="D1434" s="12"/>
      <c r="E1434" s="23"/>
      <c r="F1434" s="9"/>
      <c r="G1434" s="5"/>
      <c r="H1434" s="16"/>
      <c r="I1434" s="69"/>
      <c r="J1434" s="70"/>
      <c r="K1434" s="71"/>
      <c r="L1434" s="71"/>
      <c r="M1434" s="5"/>
    </row>
    <row r="1435" spans="1:13" s="3" customFormat="1">
      <c r="A1435" s="1"/>
      <c r="B1435" s="8"/>
      <c r="C1435" s="5"/>
      <c r="D1435" s="12"/>
      <c r="E1435" s="23"/>
      <c r="F1435" s="9"/>
      <c r="G1435" s="5"/>
      <c r="H1435" s="16"/>
      <c r="I1435" s="69"/>
      <c r="J1435" s="70"/>
      <c r="K1435" s="71"/>
      <c r="L1435" s="71"/>
      <c r="M1435" s="5"/>
    </row>
    <row r="1436" spans="1:13" s="3" customFormat="1">
      <c r="A1436" s="1"/>
      <c r="B1436" s="8"/>
      <c r="C1436" s="5"/>
      <c r="D1436" s="12"/>
      <c r="E1436" s="23"/>
      <c r="F1436" s="9"/>
      <c r="G1436" s="5"/>
      <c r="H1436" s="16"/>
      <c r="I1436" s="69"/>
      <c r="J1436" s="70"/>
      <c r="K1436" s="71"/>
      <c r="L1436" s="71"/>
      <c r="M1436" s="5"/>
    </row>
    <row r="1437" spans="1:13" s="3" customFormat="1">
      <c r="A1437" s="1"/>
      <c r="B1437" s="8"/>
      <c r="C1437" s="5"/>
      <c r="D1437" s="12"/>
      <c r="E1437" s="23"/>
      <c r="F1437" s="9"/>
      <c r="G1437" s="5"/>
      <c r="H1437" s="16"/>
      <c r="I1437" s="69"/>
      <c r="J1437" s="70"/>
      <c r="K1437" s="71"/>
      <c r="L1437" s="71"/>
      <c r="M1437" s="5"/>
    </row>
    <row r="1438" spans="1:13" s="3" customFormat="1">
      <c r="A1438" s="1"/>
      <c r="B1438" s="8"/>
      <c r="C1438" s="5"/>
      <c r="D1438" s="12"/>
      <c r="E1438" s="23"/>
      <c r="F1438" s="9"/>
      <c r="G1438" s="5"/>
      <c r="H1438" s="16"/>
      <c r="I1438" s="69"/>
      <c r="J1438" s="70"/>
      <c r="K1438" s="71"/>
      <c r="L1438" s="71"/>
      <c r="M1438" s="5"/>
    </row>
    <row r="1439" spans="1:13" s="3" customFormat="1">
      <c r="A1439" s="1"/>
      <c r="B1439" s="8"/>
      <c r="C1439" s="5"/>
      <c r="D1439" s="12"/>
      <c r="E1439" s="23"/>
      <c r="F1439" s="9"/>
      <c r="G1439" s="5"/>
      <c r="H1439" s="16"/>
      <c r="I1439" s="69"/>
      <c r="J1439" s="70"/>
      <c r="K1439" s="71"/>
      <c r="L1439" s="71"/>
      <c r="M1439" s="5"/>
    </row>
    <row r="1440" spans="1:13" s="3" customFormat="1">
      <c r="A1440" s="1"/>
      <c r="B1440" s="8"/>
      <c r="C1440" s="5"/>
      <c r="D1440" s="12"/>
      <c r="E1440" s="23"/>
      <c r="F1440" s="9"/>
      <c r="G1440" s="5"/>
      <c r="H1440" s="16"/>
      <c r="I1440" s="69"/>
      <c r="J1440" s="70"/>
      <c r="K1440" s="71"/>
      <c r="L1440" s="71"/>
      <c r="M1440" s="5"/>
    </row>
    <row r="1441" spans="1:13" s="3" customFormat="1">
      <c r="A1441" s="1"/>
      <c r="B1441" s="8"/>
      <c r="C1441" s="5"/>
      <c r="D1441" s="12"/>
      <c r="E1441" s="23"/>
      <c r="F1441" s="9"/>
      <c r="G1441" s="5"/>
      <c r="H1441" s="16"/>
      <c r="I1441" s="69"/>
      <c r="J1441" s="70"/>
      <c r="K1441" s="71"/>
      <c r="L1441" s="71"/>
      <c r="M1441" s="5"/>
    </row>
    <row r="1442" spans="1:13" s="3" customFormat="1">
      <c r="A1442" s="1"/>
      <c r="B1442" s="8"/>
      <c r="C1442" s="5"/>
      <c r="D1442" s="12"/>
      <c r="E1442" s="23"/>
      <c r="F1442" s="9"/>
      <c r="G1442" s="5"/>
      <c r="H1442" s="16"/>
      <c r="I1442" s="69"/>
      <c r="J1442" s="70"/>
      <c r="K1442" s="71"/>
      <c r="L1442" s="71"/>
      <c r="M1442" s="5"/>
    </row>
    <row r="1443" spans="1:13" s="3" customFormat="1">
      <c r="A1443" s="1"/>
      <c r="B1443" s="8"/>
      <c r="C1443" s="5"/>
      <c r="D1443" s="12"/>
      <c r="E1443" s="23"/>
      <c r="F1443" s="9"/>
      <c r="G1443" s="5"/>
      <c r="H1443" s="16"/>
      <c r="I1443" s="69"/>
      <c r="J1443" s="70"/>
      <c r="K1443" s="71"/>
      <c r="L1443" s="71"/>
      <c r="M1443" s="5"/>
    </row>
    <row r="1444" spans="1:13" s="3" customFormat="1">
      <c r="A1444" s="1"/>
      <c r="B1444" s="8"/>
      <c r="C1444" s="5"/>
      <c r="D1444" s="12"/>
      <c r="E1444" s="23"/>
      <c r="F1444" s="9"/>
      <c r="G1444" s="5"/>
      <c r="H1444" s="16"/>
      <c r="I1444" s="69"/>
      <c r="J1444" s="70"/>
      <c r="K1444" s="71"/>
      <c r="L1444" s="71"/>
      <c r="M1444" s="5"/>
    </row>
    <row r="1445" spans="1:13" s="3" customFormat="1">
      <c r="A1445" s="1"/>
      <c r="B1445" s="8"/>
      <c r="C1445" s="5"/>
      <c r="D1445" s="12"/>
      <c r="E1445" s="23"/>
      <c r="F1445" s="9"/>
      <c r="G1445" s="5"/>
      <c r="H1445" s="16"/>
      <c r="I1445" s="69"/>
      <c r="J1445" s="70"/>
      <c r="K1445" s="71"/>
      <c r="L1445" s="71"/>
      <c r="M1445" s="5"/>
    </row>
    <row r="1446" spans="1:13" s="3" customFormat="1">
      <c r="A1446" s="1"/>
      <c r="B1446" s="8"/>
      <c r="C1446" s="5"/>
      <c r="D1446" s="12"/>
      <c r="E1446" s="23"/>
      <c r="F1446" s="9"/>
      <c r="G1446" s="5"/>
      <c r="H1446" s="16"/>
      <c r="I1446" s="69"/>
      <c r="J1446" s="70"/>
      <c r="K1446" s="71"/>
      <c r="L1446" s="71"/>
      <c r="M1446" s="5"/>
    </row>
    <row r="1447" spans="1:13" s="3" customFormat="1">
      <c r="A1447" s="1"/>
      <c r="B1447" s="8"/>
      <c r="C1447" s="5"/>
      <c r="D1447" s="12"/>
      <c r="E1447" s="23"/>
      <c r="F1447" s="9"/>
      <c r="G1447" s="5"/>
      <c r="H1447" s="16"/>
      <c r="I1447" s="69"/>
      <c r="J1447" s="70"/>
      <c r="K1447" s="71"/>
      <c r="L1447" s="71"/>
      <c r="M1447" s="5"/>
    </row>
    <row r="1448" spans="1:13" s="3" customFormat="1">
      <c r="A1448" s="1"/>
      <c r="B1448" s="8"/>
      <c r="C1448" s="5"/>
      <c r="D1448" s="12"/>
      <c r="E1448" s="23"/>
      <c r="F1448" s="9"/>
      <c r="G1448" s="5"/>
      <c r="H1448" s="16"/>
      <c r="I1448" s="69"/>
      <c r="J1448" s="70"/>
      <c r="K1448" s="71"/>
      <c r="L1448" s="71"/>
      <c r="M1448" s="5"/>
    </row>
    <row r="1449" spans="1:13" s="3" customFormat="1">
      <c r="A1449" s="1"/>
      <c r="B1449" s="8"/>
      <c r="C1449" s="5"/>
      <c r="D1449" s="12"/>
      <c r="E1449" s="23"/>
      <c r="F1449" s="9"/>
      <c r="G1449" s="5"/>
      <c r="H1449" s="16"/>
      <c r="I1449" s="69"/>
      <c r="J1449" s="70"/>
      <c r="K1449" s="71"/>
      <c r="L1449" s="71"/>
      <c r="M1449" s="5"/>
    </row>
    <row r="1450" spans="1:13" s="3" customFormat="1">
      <c r="A1450" s="1"/>
      <c r="B1450" s="8"/>
      <c r="C1450" s="5"/>
      <c r="D1450" s="12"/>
      <c r="E1450" s="23"/>
      <c r="F1450" s="9"/>
      <c r="G1450" s="5"/>
      <c r="H1450" s="16"/>
      <c r="I1450" s="69"/>
      <c r="J1450" s="70"/>
      <c r="K1450" s="71"/>
      <c r="L1450" s="71"/>
      <c r="M1450" s="5"/>
    </row>
    <row r="1451" spans="1:13" s="3" customFormat="1">
      <c r="A1451" s="1"/>
      <c r="B1451" s="8"/>
      <c r="C1451" s="5"/>
      <c r="D1451" s="12"/>
      <c r="E1451" s="23"/>
      <c r="F1451" s="9"/>
      <c r="G1451" s="5"/>
      <c r="H1451" s="16"/>
      <c r="I1451" s="69"/>
      <c r="J1451" s="70"/>
      <c r="K1451" s="71"/>
      <c r="L1451" s="71"/>
      <c r="M1451" s="5"/>
    </row>
    <row r="1452" spans="1:13" s="3" customFormat="1">
      <c r="A1452" s="1"/>
      <c r="B1452" s="8"/>
      <c r="C1452" s="5"/>
      <c r="D1452" s="12"/>
      <c r="E1452" s="23"/>
      <c r="F1452" s="9"/>
      <c r="G1452" s="5"/>
      <c r="H1452" s="16"/>
      <c r="I1452" s="69"/>
      <c r="J1452" s="70"/>
      <c r="K1452" s="71"/>
      <c r="L1452" s="71"/>
      <c r="M1452" s="5"/>
    </row>
    <row r="1453" spans="1:13" s="3" customFormat="1">
      <c r="A1453" s="1"/>
      <c r="B1453" s="8"/>
      <c r="C1453" s="5"/>
      <c r="D1453" s="12"/>
      <c r="E1453" s="23"/>
      <c r="F1453" s="9"/>
      <c r="G1453" s="5"/>
      <c r="H1453" s="16"/>
      <c r="I1453" s="69"/>
      <c r="J1453" s="70"/>
      <c r="K1453" s="71"/>
      <c r="L1453" s="71"/>
      <c r="M1453" s="5"/>
    </row>
    <row r="1454" spans="1:13" s="3" customFormat="1">
      <c r="A1454" s="1"/>
      <c r="B1454" s="8"/>
      <c r="C1454" s="5"/>
      <c r="D1454" s="12"/>
      <c r="E1454" s="23"/>
      <c r="F1454" s="9"/>
      <c r="G1454" s="5"/>
      <c r="H1454" s="16"/>
      <c r="I1454" s="69"/>
      <c r="J1454" s="70"/>
      <c r="K1454" s="71"/>
      <c r="L1454" s="71"/>
      <c r="M1454" s="5"/>
    </row>
    <row r="1455" spans="1:13" s="3" customFormat="1">
      <c r="A1455" s="1"/>
      <c r="B1455" s="8"/>
      <c r="C1455" s="5"/>
      <c r="D1455" s="12"/>
      <c r="E1455" s="23"/>
      <c r="F1455" s="9"/>
      <c r="G1455" s="5"/>
      <c r="H1455" s="16"/>
      <c r="I1455" s="69"/>
      <c r="J1455" s="70"/>
      <c r="K1455" s="71"/>
      <c r="L1455" s="71"/>
      <c r="M1455" s="5"/>
    </row>
    <row r="1456" spans="1:13" s="3" customFormat="1">
      <c r="A1456" s="1"/>
      <c r="B1456" s="8"/>
      <c r="C1456" s="5"/>
      <c r="D1456" s="12"/>
      <c r="E1456" s="23"/>
      <c r="F1456" s="9"/>
      <c r="G1456" s="5"/>
      <c r="H1456" s="16"/>
      <c r="I1456" s="69"/>
      <c r="J1456" s="70"/>
      <c r="K1456" s="71"/>
      <c r="L1456" s="71"/>
      <c r="M1456" s="5"/>
    </row>
    <row r="1457" spans="1:13" s="3" customFormat="1">
      <c r="A1457" s="1"/>
      <c r="B1457" s="8"/>
      <c r="C1457" s="5"/>
      <c r="D1457" s="12"/>
      <c r="E1457" s="23"/>
      <c r="F1457" s="9"/>
      <c r="G1457" s="5"/>
      <c r="H1457" s="16"/>
      <c r="I1457" s="69"/>
      <c r="J1457" s="70"/>
      <c r="K1457" s="71"/>
      <c r="L1457" s="71"/>
      <c r="M1457" s="5"/>
    </row>
    <row r="1458" spans="1:13" s="3" customFormat="1">
      <c r="A1458" s="1"/>
      <c r="B1458" s="8"/>
      <c r="C1458" s="5"/>
      <c r="D1458" s="12"/>
      <c r="E1458" s="23"/>
      <c r="F1458" s="9"/>
      <c r="G1458" s="5"/>
      <c r="H1458" s="16"/>
      <c r="I1458" s="69"/>
      <c r="J1458" s="70"/>
      <c r="K1458" s="71"/>
      <c r="L1458" s="71"/>
      <c r="M1458" s="5"/>
    </row>
    <row r="1459" spans="1:13" s="3" customFormat="1">
      <c r="A1459" s="1"/>
      <c r="B1459" s="8"/>
      <c r="C1459" s="5"/>
      <c r="D1459" s="12"/>
      <c r="E1459" s="23"/>
      <c r="F1459" s="9"/>
      <c r="G1459" s="5"/>
      <c r="H1459" s="16"/>
      <c r="I1459" s="69"/>
      <c r="J1459" s="70"/>
      <c r="K1459" s="71"/>
      <c r="L1459" s="71"/>
      <c r="M1459" s="5"/>
    </row>
    <row r="1460" spans="1:13" s="3" customFormat="1">
      <c r="A1460" s="1"/>
      <c r="B1460" s="8"/>
      <c r="C1460" s="5"/>
      <c r="D1460" s="12"/>
      <c r="E1460" s="23"/>
      <c r="F1460" s="9"/>
      <c r="G1460" s="5"/>
      <c r="H1460" s="16"/>
      <c r="I1460" s="69"/>
      <c r="J1460" s="70"/>
      <c r="K1460" s="71"/>
      <c r="L1460" s="71"/>
      <c r="M1460" s="5"/>
    </row>
    <row r="1461" spans="1:13" s="3" customFormat="1">
      <c r="A1461" s="1"/>
      <c r="B1461" s="8"/>
      <c r="C1461" s="5"/>
      <c r="D1461" s="12"/>
      <c r="E1461" s="23"/>
      <c r="F1461" s="9"/>
      <c r="G1461" s="5"/>
      <c r="H1461" s="16"/>
      <c r="I1461" s="69"/>
      <c r="J1461" s="70"/>
      <c r="K1461" s="71"/>
      <c r="L1461" s="71"/>
      <c r="M1461" s="5"/>
    </row>
    <row r="1462" spans="1:13" s="3" customFormat="1">
      <c r="A1462" s="1"/>
      <c r="B1462" s="8"/>
      <c r="C1462" s="5"/>
      <c r="D1462" s="12"/>
      <c r="E1462" s="23"/>
      <c r="F1462" s="9"/>
      <c r="G1462" s="5"/>
      <c r="H1462" s="16"/>
      <c r="I1462" s="69"/>
      <c r="J1462" s="70"/>
      <c r="K1462" s="71"/>
      <c r="L1462" s="71"/>
      <c r="M1462" s="5"/>
    </row>
    <row r="1463" spans="1:13" s="3" customFormat="1">
      <c r="A1463" s="1"/>
      <c r="B1463" s="8"/>
      <c r="C1463" s="5"/>
      <c r="D1463" s="12"/>
      <c r="E1463" s="23"/>
      <c r="F1463" s="9"/>
      <c r="G1463" s="5"/>
      <c r="H1463" s="16"/>
      <c r="I1463" s="69"/>
      <c r="J1463" s="70"/>
      <c r="K1463" s="71"/>
      <c r="L1463" s="71"/>
      <c r="M1463" s="5"/>
    </row>
    <row r="1464" spans="1:13" s="3" customFormat="1">
      <c r="A1464" s="1"/>
      <c r="B1464" s="8"/>
      <c r="C1464" s="5"/>
      <c r="D1464" s="12"/>
      <c r="E1464" s="23"/>
      <c r="F1464" s="9"/>
      <c r="G1464" s="5"/>
      <c r="H1464" s="16"/>
      <c r="I1464" s="69"/>
      <c r="J1464" s="70"/>
      <c r="K1464" s="71"/>
      <c r="L1464" s="71"/>
      <c r="M1464" s="5"/>
    </row>
    <row r="1465" spans="1:13" s="3" customFormat="1">
      <c r="A1465" s="1"/>
      <c r="B1465" s="8"/>
      <c r="C1465" s="5"/>
      <c r="D1465" s="12"/>
      <c r="E1465" s="23"/>
      <c r="F1465" s="9"/>
      <c r="G1465" s="5"/>
      <c r="H1465" s="16"/>
      <c r="I1465" s="69"/>
      <c r="J1465" s="70"/>
      <c r="K1465" s="71"/>
      <c r="L1465" s="71"/>
      <c r="M1465" s="5"/>
    </row>
    <row r="1466" spans="1:13" s="3" customFormat="1">
      <c r="A1466" s="1"/>
      <c r="B1466" s="8"/>
      <c r="C1466" s="5"/>
      <c r="D1466" s="12"/>
      <c r="E1466" s="23"/>
      <c r="F1466" s="9"/>
      <c r="G1466" s="5"/>
      <c r="H1466" s="16"/>
      <c r="I1466" s="69"/>
      <c r="J1466" s="70"/>
      <c r="K1466" s="71"/>
      <c r="L1466" s="71"/>
      <c r="M1466" s="5"/>
    </row>
    <row r="1467" spans="1:13" s="3" customFormat="1">
      <c r="A1467" s="1"/>
      <c r="B1467" s="8"/>
      <c r="C1467" s="5"/>
      <c r="D1467" s="12"/>
      <c r="E1467" s="23"/>
      <c r="F1467" s="9"/>
      <c r="G1467" s="5"/>
      <c r="H1467" s="16"/>
      <c r="I1467" s="69"/>
      <c r="J1467" s="70"/>
      <c r="K1467" s="71"/>
      <c r="L1467" s="71"/>
      <c r="M1467" s="5"/>
    </row>
    <row r="1468" spans="1:13" s="3" customFormat="1">
      <c r="A1468" s="1"/>
      <c r="B1468" s="8"/>
      <c r="C1468" s="5"/>
      <c r="D1468" s="12"/>
      <c r="E1468" s="23"/>
      <c r="F1468" s="9"/>
      <c r="G1468" s="5"/>
      <c r="H1468" s="16"/>
      <c r="I1468" s="69"/>
      <c r="J1468" s="70"/>
      <c r="K1468" s="71"/>
      <c r="L1468" s="71"/>
      <c r="M1468" s="5"/>
    </row>
    <row r="1469" spans="1:13" s="3" customFormat="1">
      <c r="A1469" s="1"/>
      <c r="B1469" s="8"/>
      <c r="C1469" s="5"/>
      <c r="D1469" s="12"/>
      <c r="E1469" s="23"/>
      <c r="F1469" s="9"/>
      <c r="G1469" s="5"/>
      <c r="H1469" s="16"/>
      <c r="I1469" s="69"/>
      <c r="J1469" s="70"/>
      <c r="K1469" s="71"/>
      <c r="L1469" s="71"/>
      <c r="M1469" s="5"/>
    </row>
    <row r="1470" spans="1:13" s="3" customFormat="1">
      <c r="A1470" s="1"/>
      <c r="B1470" s="8"/>
      <c r="C1470" s="5"/>
      <c r="D1470" s="12"/>
      <c r="E1470" s="23"/>
      <c r="F1470" s="9"/>
      <c r="G1470" s="5"/>
      <c r="H1470" s="16"/>
      <c r="I1470" s="69"/>
      <c r="J1470" s="70"/>
      <c r="K1470" s="71"/>
      <c r="L1470" s="71"/>
      <c r="M1470" s="5"/>
    </row>
    <row r="1471" spans="1:13" s="3" customFormat="1">
      <c r="A1471" s="1"/>
      <c r="B1471" s="8"/>
      <c r="C1471" s="5"/>
      <c r="D1471" s="12"/>
      <c r="E1471" s="23"/>
      <c r="F1471" s="9"/>
      <c r="G1471" s="5"/>
      <c r="H1471" s="16"/>
      <c r="I1471" s="69"/>
      <c r="J1471" s="70"/>
      <c r="K1471" s="71"/>
      <c r="L1471" s="71"/>
      <c r="M1471" s="5"/>
    </row>
    <row r="1472" spans="1:13" s="3" customFormat="1">
      <c r="A1472" s="1"/>
      <c r="B1472" s="8"/>
      <c r="C1472" s="5"/>
      <c r="D1472" s="12"/>
      <c r="E1472" s="23"/>
      <c r="F1472" s="9"/>
      <c r="G1472" s="5"/>
      <c r="H1472" s="16"/>
      <c r="I1472" s="69"/>
      <c r="J1472" s="70"/>
      <c r="K1472" s="71"/>
      <c r="L1472" s="71"/>
      <c r="M1472" s="5"/>
    </row>
    <row r="1473" spans="1:13" s="3" customFormat="1">
      <c r="A1473" s="1"/>
      <c r="B1473" s="8"/>
      <c r="C1473" s="5"/>
      <c r="D1473" s="12"/>
      <c r="E1473" s="23"/>
      <c r="F1473" s="9"/>
      <c r="G1473" s="5"/>
      <c r="H1473" s="16"/>
      <c r="I1473" s="69"/>
      <c r="J1473" s="70"/>
      <c r="K1473" s="71"/>
      <c r="L1473" s="71"/>
      <c r="M1473" s="5"/>
    </row>
    <row r="1474" spans="1:13" s="3" customFormat="1">
      <c r="A1474" s="1"/>
      <c r="B1474" s="8"/>
      <c r="C1474" s="5"/>
      <c r="D1474" s="12"/>
      <c r="E1474" s="23"/>
      <c r="F1474" s="9"/>
      <c r="G1474" s="5"/>
      <c r="H1474" s="16"/>
      <c r="I1474" s="69"/>
      <c r="J1474" s="70"/>
      <c r="K1474" s="71"/>
      <c r="L1474" s="71"/>
      <c r="M1474" s="5"/>
    </row>
    <row r="1475" spans="1:13" s="3" customFormat="1">
      <c r="A1475" s="1"/>
      <c r="B1475" s="8"/>
      <c r="C1475" s="5"/>
      <c r="D1475" s="12"/>
      <c r="E1475" s="23"/>
      <c r="F1475" s="9"/>
      <c r="G1475" s="5"/>
      <c r="H1475" s="16"/>
      <c r="I1475" s="69"/>
      <c r="J1475" s="70"/>
      <c r="K1475" s="71"/>
      <c r="L1475" s="71"/>
      <c r="M1475" s="5"/>
    </row>
    <row r="1476" spans="1:13" s="3" customFormat="1">
      <c r="A1476" s="1"/>
      <c r="B1476" s="8"/>
      <c r="C1476" s="5"/>
      <c r="D1476" s="12"/>
      <c r="E1476" s="23"/>
      <c r="F1476" s="9"/>
      <c r="G1476" s="5"/>
      <c r="H1476" s="16"/>
      <c r="I1476" s="69"/>
      <c r="J1476" s="70"/>
      <c r="K1476" s="71"/>
      <c r="L1476" s="71"/>
      <c r="M1476" s="5"/>
    </row>
    <row r="1477" spans="1:13" s="3" customFormat="1">
      <c r="A1477" s="1"/>
      <c r="B1477" s="8"/>
      <c r="C1477" s="5"/>
      <c r="D1477" s="12"/>
      <c r="E1477" s="23"/>
      <c r="F1477" s="9"/>
      <c r="G1477" s="5"/>
      <c r="H1477" s="16"/>
      <c r="I1477" s="69"/>
      <c r="J1477" s="70"/>
      <c r="K1477" s="71"/>
      <c r="L1477" s="71"/>
      <c r="M1477" s="5"/>
    </row>
    <row r="1478" spans="1:13" s="3" customFormat="1">
      <c r="A1478" s="1"/>
      <c r="B1478" s="8"/>
      <c r="C1478" s="5"/>
      <c r="D1478" s="12"/>
      <c r="E1478" s="23"/>
      <c r="F1478" s="9"/>
      <c r="G1478" s="5"/>
      <c r="H1478" s="16"/>
      <c r="I1478" s="69"/>
      <c r="J1478" s="70"/>
      <c r="K1478" s="71"/>
      <c r="L1478" s="71"/>
      <c r="M1478" s="5"/>
    </row>
    <row r="1479" spans="1:13" s="3" customFormat="1">
      <c r="A1479" s="1"/>
      <c r="B1479" s="8"/>
      <c r="C1479" s="5"/>
      <c r="D1479" s="12"/>
      <c r="E1479" s="23"/>
      <c r="F1479" s="9"/>
      <c r="G1479" s="5"/>
      <c r="H1479" s="16"/>
      <c r="I1479" s="69"/>
      <c r="J1479" s="70"/>
      <c r="K1479" s="71"/>
      <c r="L1479" s="71"/>
      <c r="M1479" s="5"/>
    </row>
    <row r="1480" spans="1:13" s="3" customFormat="1">
      <c r="A1480" s="1"/>
      <c r="B1480" s="8"/>
      <c r="C1480" s="5"/>
      <c r="D1480" s="12"/>
      <c r="E1480" s="23"/>
      <c r="F1480" s="9"/>
      <c r="G1480" s="5"/>
      <c r="H1480" s="16"/>
      <c r="I1480" s="69"/>
      <c r="J1480" s="70"/>
      <c r="K1480" s="71"/>
      <c r="L1480" s="71"/>
      <c r="M1480" s="5"/>
    </row>
    <row r="1481" spans="1:13" s="3" customFormat="1">
      <c r="A1481" s="1"/>
      <c r="B1481" s="8"/>
      <c r="C1481" s="5"/>
      <c r="D1481" s="12"/>
      <c r="E1481" s="23"/>
      <c r="F1481" s="9"/>
      <c r="G1481" s="5"/>
      <c r="H1481" s="16"/>
      <c r="I1481" s="69"/>
      <c r="J1481" s="70"/>
      <c r="K1481" s="71"/>
      <c r="L1481" s="71"/>
      <c r="M1481" s="5"/>
    </row>
    <row r="1482" spans="1:13" s="3" customFormat="1">
      <c r="A1482" s="1"/>
      <c r="B1482" s="8"/>
      <c r="C1482" s="5"/>
      <c r="D1482" s="12"/>
      <c r="E1482" s="23"/>
      <c r="F1482" s="9"/>
      <c r="G1482" s="5"/>
      <c r="H1482" s="16"/>
      <c r="I1482" s="69"/>
      <c r="J1482" s="70"/>
      <c r="K1482" s="71"/>
      <c r="L1482" s="71"/>
      <c r="M1482" s="5"/>
    </row>
    <row r="1483" spans="1:13" s="3" customFormat="1">
      <c r="A1483" s="1"/>
      <c r="B1483" s="8"/>
      <c r="C1483" s="5"/>
      <c r="D1483" s="12"/>
      <c r="E1483" s="23"/>
      <c r="F1483" s="9"/>
      <c r="G1483" s="5"/>
      <c r="H1483" s="16"/>
      <c r="I1483" s="69"/>
      <c r="J1483" s="70"/>
      <c r="K1483" s="71"/>
      <c r="L1483" s="71"/>
      <c r="M1483" s="5"/>
    </row>
    <row r="1484" spans="1:13" s="3" customFormat="1">
      <c r="A1484" s="1"/>
      <c r="B1484" s="8"/>
      <c r="C1484" s="5"/>
      <c r="D1484" s="12"/>
      <c r="E1484" s="23"/>
      <c r="F1484" s="9"/>
      <c r="G1484" s="5"/>
      <c r="H1484" s="16"/>
      <c r="I1484" s="69"/>
      <c r="J1484" s="70"/>
      <c r="K1484" s="71"/>
      <c r="L1484" s="71"/>
      <c r="M1484" s="5"/>
    </row>
    <row r="1485" spans="1:13" s="3" customFormat="1">
      <c r="A1485" s="1"/>
      <c r="B1485" s="8"/>
      <c r="C1485" s="5"/>
      <c r="D1485" s="12"/>
      <c r="E1485" s="23"/>
      <c r="F1485" s="9"/>
      <c r="G1485" s="5"/>
      <c r="H1485" s="16"/>
      <c r="I1485" s="69"/>
      <c r="J1485" s="70"/>
      <c r="K1485" s="71"/>
      <c r="L1485" s="71"/>
      <c r="M1485" s="5"/>
    </row>
    <row r="1486" spans="1:13" s="3" customFormat="1">
      <c r="A1486" s="1"/>
      <c r="B1486" s="8"/>
      <c r="C1486" s="5"/>
      <c r="D1486" s="12"/>
      <c r="E1486" s="23"/>
      <c r="F1486" s="9"/>
      <c r="G1486" s="5"/>
      <c r="H1486" s="16"/>
      <c r="I1486" s="69"/>
      <c r="J1486" s="70"/>
      <c r="K1486" s="71"/>
      <c r="L1486" s="71"/>
      <c r="M1486" s="5"/>
    </row>
    <row r="1487" spans="1:13" s="3" customFormat="1">
      <c r="A1487" s="1"/>
      <c r="B1487" s="8"/>
      <c r="C1487" s="5"/>
      <c r="D1487" s="12"/>
      <c r="E1487" s="23"/>
      <c r="F1487" s="9"/>
      <c r="G1487" s="5"/>
      <c r="H1487" s="16"/>
      <c r="I1487" s="69"/>
      <c r="J1487" s="70"/>
      <c r="K1487" s="71"/>
      <c r="L1487" s="71"/>
      <c r="M1487" s="5"/>
    </row>
    <row r="1488" spans="1:13" s="3" customFormat="1">
      <c r="A1488" s="1"/>
      <c r="B1488" s="8"/>
      <c r="C1488" s="5"/>
      <c r="D1488" s="12"/>
      <c r="E1488" s="23"/>
      <c r="F1488" s="9"/>
      <c r="G1488" s="5"/>
      <c r="H1488" s="16"/>
      <c r="I1488" s="69"/>
      <c r="J1488" s="70"/>
      <c r="K1488" s="71"/>
      <c r="L1488" s="71"/>
      <c r="M1488" s="5"/>
    </row>
    <row r="1489" spans="1:13" s="3" customFormat="1">
      <c r="A1489" s="1"/>
      <c r="B1489" s="8"/>
      <c r="C1489" s="5"/>
      <c r="D1489" s="12"/>
      <c r="E1489" s="23"/>
      <c r="F1489" s="9"/>
      <c r="G1489" s="5"/>
      <c r="H1489" s="16"/>
      <c r="I1489" s="69"/>
      <c r="J1489" s="70"/>
      <c r="K1489" s="71"/>
      <c r="L1489" s="71"/>
      <c r="M1489" s="5"/>
    </row>
    <row r="1490" spans="1:13" s="3" customFormat="1">
      <c r="A1490" s="1"/>
      <c r="B1490" s="8"/>
      <c r="C1490" s="5"/>
      <c r="D1490" s="12"/>
      <c r="E1490" s="23"/>
      <c r="F1490" s="9"/>
      <c r="G1490" s="5"/>
      <c r="H1490" s="16"/>
      <c r="I1490" s="69"/>
      <c r="J1490" s="70"/>
      <c r="K1490" s="71"/>
      <c r="L1490" s="71"/>
      <c r="M1490" s="5"/>
    </row>
    <row r="1491" spans="1:13" s="3" customFormat="1">
      <c r="A1491" s="1"/>
      <c r="B1491" s="8"/>
      <c r="C1491" s="5"/>
      <c r="D1491" s="12"/>
      <c r="E1491" s="23"/>
      <c r="F1491" s="9"/>
      <c r="G1491" s="5"/>
      <c r="H1491" s="16"/>
      <c r="I1491" s="69"/>
      <c r="J1491" s="70"/>
      <c r="K1491" s="71"/>
      <c r="L1491" s="71"/>
      <c r="M1491" s="5"/>
    </row>
    <row r="1492" spans="1:13" s="3" customFormat="1">
      <c r="A1492" s="1"/>
      <c r="B1492" s="8"/>
      <c r="C1492" s="5"/>
      <c r="D1492" s="12"/>
      <c r="E1492" s="23"/>
      <c r="F1492" s="9"/>
      <c r="G1492" s="5"/>
      <c r="H1492" s="16"/>
      <c r="I1492" s="69"/>
      <c r="J1492" s="70"/>
      <c r="K1492" s="71"/>
      <c r="L1492" s="71"/>
      <c r="M1492" s="5"/>
    </row>
    <row r="1493" spans="1:13" s="3" customFormat="1">
      <c r="A1493" s="1"/>
      <c r="B1493" s="8"/>
      <c r="C1493" s="5"/>
      <c r="D1493" s="12"/>
      <c r="E1493" s="23"/>
      <c r="F1493" s="9"/>
      <c r="G1493" s="5"/>
      <c r="H1493" s="16"/>
      <c r="I1493" s="69"/>
      <c r="J1493" s="70"/>
      <c r="K1493" s="71"/>
      <c r="L1493" s="71"/>
      <c r="M1493" s="5"/>
    </row>
    <row r="1494" spans="1:13" s="3" customFormat="1">
      <c r="A1494" s="1"/>
      <c r="B1494" s="8"/>
      <c r="C1494" s="5"/>
      <c r="D1494" s="12"/>
      <c r="E1494" s="23"/>
      <c r="F1494" s="9"/>
      <c r="G1494" s="5"/>
      <c r="H1494" s="16"/>
      <c r="I1494" s="69"/>
      <c r="J1494" s="70"/>
      <c r="K1494" s="71"/>
      <c r="L1494" s="71"/>
      <c r="M1494" s="5"/>
    </row>
    <row r="1495" spans="1:13" s="3" customFormat="1">
      <c r="A1495" s="1"/>
      <c r="B1495" s="8"/>
      <c r="C1495" s="5"/>
      <c r="D1495" s="12"/>
      <c r="E1495" s="23"/>
      <c r="F1495" s="9"/>
      <c r="G1495" s="5"/>
      <c r="H1495" s="16"/>
      <c r="I1495" s="69"/>
      <c r="J1495" s="70"/>
      <c r="K1495" s="71"/>
      <c r="L1495" s="71"/>
      <c r="M1495" s="5"/>
    </row>
    <row r="1496" spans="1:13" s="3" customFormat="1">
      <c r="A1496" s="1"/>
      <c r="B1496" s="8"/>
      <c r="C1496" s="5"/>
      <c r="D1496" s="12"/>
      <c r="E1496" s="23"/>
      <c r="F1496" s="9"/>
      <c r="G1496" s="5"/>
      <c r="H1496" s="16"/>
      <c r="I1496" s="69"/>
      <c r="J1496" s="70"/>
      <c r="K1496" s="71"/>
      <c r="L1496" s="71"/>
      <c r="M1496" s="5"/>
    </row>
    <row r="1497" spans="1:13" s="3" customFormat="1">
      <c r="A1497" s="1"/>
      <c r="B1497" s="8"/>
      <c r="C1497" s="5"/>
      <c r="D1497" s="12"/>
      <c r="E1497" s="23"/>
      <c r="F1497" s="9"/>
      <c r="G1497" s="5"/>
      <c r="H1497" s="16"/>
      <c r="I1497" s="69"/>
      <c r="J1497" s="70"/>
      <c r="K1497" s="71"/>
      <c r="L1497" s="71"/>
      <c r="M1497" s="5"/>
    </row>
    <row r="1498" spans="1:13" s="3" customFormat="1">
      <c r="A1498" s="1"/>
      <c r="B1498" s="8"/>
      <c r="C1498" s="5"/>
      <c r="D1498" s="12"/>
      <c r="E1498" s="23"/>
      <c r="F1498" s="9"/>
      <c r="G1498" s="5"/>
      <c r="H1498" s="16"/>
      <c r="I1498" s="69"/>
      <c r="J1498" s="70"/>
      <c r="K1498" s="71"/>
      <c r="L1498" s="71"/>
      <c r="M1498" s="5"/>
    </row>
    <row r="1499" spans="1:13" s="3" customFormat="1">
      <c r="A1499" s="1"/>
      <c r="B1499" s="8"/>
      <c r="C1499" s="5"/>
      <c r="D1499" s="12"/>
      <c r="E1499" s="23"/>
      <c r="F1499" s="9"/>
      <c r="G1499" s="5"/>
      <c r="H1499" s="16"/>
      <c r="I1499" s="69"/>
      <c r="J1499" s="70"/>
      <c r="K1499" s="71"/>
      <c r="L1499" s="71"/>
      <c r="M1499" s="5"/>
    </row>
    <row r="1500" spans="1:13" s="3" customFormat="1">
      <c r="A1500" s="1"/>
      <c r="B1500" s="8"/>
      <c r="C1500" s="5"/>
      <c r="D1500" s="12"/>
      <c r="E1500" s="23"/>
      <c r="F1500" s="9"/>
      <c r="G1500" s="5"/>
      <c r="H1500" s="16"/>
      <c r="I1500" s="69"/>
      <c r="J1500" s="70"/>
      <c r="K1500" s="71"/>
      <c r="L1500" s="71"/>
      <c r="M1500" s="5"/>
    </row>
    <row r="1501" spans="1:13" s="3" customFormat="1">
      <c r="A1501" s="1"/>
      <c r="B1501" s="8"/>
      <c r="C1501" s="5"/>
      <c r="D1501" s="12"/>
      <c r="E1501" s="23"/>
      <c r="F1501" s="9"/>
      <c r="G1501" s="5"/>
      <c r="H1501" s="16"/>
      <c r="I1501" s="69"/>
      <c r="J1501" s="70"/>
      <c r="K1501" s="71"/>
      <c r="L1501" s="71"/>
      <c r="M1501" s="5"/>
    </row>
    <row r="1502" spans="1:13" s="3" customFormat="1">
      <c r="A1502" s="1"/>
      <c r="B1502" s="8"/>
      <c r="C1502" s="5"/>
      <c r="D1502" s="12"/>
      <c r="E1502" s="23"/>
      <c r="F1502" s="9"/>
      <c r="G1502" s="5"/>
      <c r="H1502" s="16"/>
      <c r="I1502" s="69"/>
      <c r="J1502" s="70"/>
      <c r="K1502" s="71"/>
      <c r="L1502" s="71"/>
      <c r="M1502" s="5"/>
    </row>
    <row r="1503" spans="1:13" s="3" customFormat="1">
      <c r="A1503" s="1"/>
      <c r="B1503" s="8"/>
      <c r="C1503" s="5"/>
      <c r="D1503" s="12"/>
      <c r="E1503" s="23"/>
      <c r="F1503" s="9"/>
      <c r="G1503" s="5"/>
      <c r="H1503" s="16"/>
      <c r="I1503" s="69"/>
      <c r="J1503" s="70"/>
      <c r="K1503" s="71"/>
      <c r="L1503" s="71"/>
      <c r="M1503" s="5"/>
    </row>
    <row r="1504" spans="1:13" s="3" customFormat="1">
      <c r="A1504" s="1"/>
      <c r="B1504" s="8"/>
      <c r="C1504" s="5"/>
      <c r="D1504" s="12"/>
      <c r="E1504" s="23"/>
      <c r="F1504" s="9"/>
      <c r="G1504" s="5"/>
      <c r="H1504" s="16"/>
      <c r="I1504" s="69"/>
      <c r="J1504" s="70"/>
      <c r="K1504" s="71"/>
      <c r="L1504" s="71"/>
      <c r="M1504" s="5"/>
    </row>
    <row r="1505" spans="1:13" s="3" customFormat="1">
      <c r="A1505" s="1"/>
      <c r="B1505" s="8"/>
      <c r="C1505" s="5"/>
      <c r="D1505" s="12"/>
      <c r="E1505" s="23"/>
      <c r="F1505" s="9"/>
      <c r="G1505" s="5"/>
      <c r="H1505" s="16"/>
      <c r="I1505" s="69"/>
      <c r="J1505" s="70"/>
      <c r="K1505" s="71"/>
      <c r="L1505" s="71"/>
      <c r="M1505" s="5"/>
    </row>
    <row r="1506" spans="1:13" s="3" customFormat="1">
      <c r="A1506" s="1"/>
      <c r="B1506" s="8"/>
      <c r="C1506" s="5"/>
      <c r="D1506" s="12"/>
      <c r="E1506" s="23"/>
      <c r="F1506" s="9"/>
      <c r="G1506" s="5"/>
      <c r="H1506" s="16"/>
      <c r="I1506" s="69"/>
      <c r="J1506" s="70"/>
      <c r="K1506" s="71"/>
      <c r="L1506" s="71"/>
      <c r="M1506" s="5"/>
    </row>
    <row r="1507" spans="1:13" s="3" customFormat="1">
      <c r="A1507" s="1"/>
      <c r="B1507" s="8"/>
      <c r="C1507" s="5"/>
      <c r="D1507" s="12"/>
      <c r="E1507" s="23"/>
      <c r="F1507" s="9"/>
      <c r="G1507" s="5"/>
      <c r="H1507" s="16"/>
      <c r="I1507" s="69"/>
      <c r="J1507" s="70"/>
      <c r="K1507" s="71"/>
      <c r="L1507" s="71"/>
      <c r="M1507" s="5"/>
    </row>
    <row r="1508" spans="1:13" s="3" customFormat="1">
      <c r="A1508" s="1"/>
      <c r="B1508" s="8"/>
      <c r="C1508" s="5"/>
      <c r="D1508" s="12"/>
      <c r="E1508" s="23"/>
      <c r="F1508" s="9"/>
      <c r="G1508" s="5"/>
      <c r="H1508" s="16"/>
      <c r="I1508" s="69"/>
      <c r="J1508" s="70"/>
      <c r="K1508" s="71"/>
      <c r="L1508" s="71"/>
      <c r="M1508" s="5"/>
    </row>
    <row r="1509" spans="1:13" s="3" customFormat="1">
      <c r="A1509" s="1"/>
      <c r="B1509" s="8"/>
      <c r="C1509" s="5"/>
      <c r="D1509" s="12"/>
      <c r="E1509" s="23"/>
      <c r="F1509" s="9"/>
      <c r="G1509" s="5"/>
      <c r="H1509" s="16"/>
      <c r="I1509" s="69"/>
      <c r="J1509" s="70"/>
      <c r="K1509" s="71"/>
      <c r="L1509" s="71"/>
      <c r="M1509" s="5"/>
    </row>
    <row r="1510" spans="1:13" s="3" customFormat="1">
      <c r="A1510" s="1"/>
      <c r="B1510" s="8"/>
      <c r="C1510" s="5"/>
      <c r="D1510" s="12"/>
      <c r="E1510" s="23"/>
      <c r="F1510" s="9"/>
      <c r="G1510" s="5"/>
      <c r="H1510" s="16"/>
      <c r="I1510" s="69"/>
      <c r="J1510" s="70"/>
      <c r="K1510" s="71"/>
      <c r="L1510" s="71"/>
      <c r="M1510" s="5"/>
    </row>
    <row r="1511" spans="1:13" s="3" customFormat="1">
      <c r="A1511" s="1"/>
      <c r="B1511" s="8"/>
      <c r="C1511" s="5"/>
      <c r="D1511" s="12"/>
      <c r="E1511" s="23"/>
      <c r="F1511" s="9"/>
      <c r="G1511" s="5"/>
      <c r="H1511" s="16"/>
      <c r="I1511" s="69"/>
      <c r="J1511" s="70"/>
      <c r="K1511" s="71"/>
      <c r="L1511" s="71"/>
      <c r="M1511" s="5"/>
    </row>
    <row r="1512" spans="1:13" s="3" customFormat="1">
      <c r="A1512" s="1"/>
      <c r="B1512" s="8"/>
      <c r="C1512" s="5"/>
      <c r="D1512" s="12"/>
      <c r="E1512" s="23"/>
      <c r="F1512" s="9"/>
      <c r="G1512" s="5"/>
      <c r="H1512" s="16"/>
      <c r="I1512" s="69"/>
      <c r="J1512" s="70"/>
      <c r="K1512" s="71"/>
      <c r="L1512" s="71"/>
      <c r="M1512" s="5"/>
    </row>
    <row r="1513" spans="1:13" s="3" customFormat="1">
      <c r="A1513" s="1"/>
      <c r="B1513" s="8"/>
      <c r="C1513" s="5"/>
      <c r="D1513" s="12"/>
      <c r="E1513" s="23"/>
      <c r="F1513" s="9"/>
      <c r="G1513" s="5"/>
      <c r="H1513" s="16"/>
      <c r="I1513" s="69"/>
      <c r="J1513" s="70"/>
      <c r="K1513" s="71"/>
      <c r="L1513" s="71"/>
      <c r="M1513" s="5"/>
    </row>
    <row r="1514" spans="1:13" s="3" customFormat="1">
      <c r="A1514" s="1"/>
      <c r="B1514" s="8"/>
      <c r="C1514" s="5"/>
      <c r="D1514" s="12"/>
      <c r="E1514" s="23"/>
      <c r="F1514" s="9"/>
      <c r="G1514" s="5"/>
      <c r="H1514" s="16"/>
      <c r="I1514" s="69"/>
      <c r="J1514" s="70"/>
      <c r="K1514" s="71"/>
      <c r="L1514" s="71"/>
      <c r="M1514" s="5"/>
    </row>
    <row r="1515" spans="1:13" s="3" customFormat="1">
      <c r="A1515" s="1"/>
      <c r="B1515" s="8"/>
      <c r="C1515" s="5"/>
      <c r="D1515" s="12"/>
      <c r="E1515" s="23"/>
      <c r="F1515" s="9"/>
      <c r="G1515" s="5"/>
      <c r="H1515" s="16"/>
      <c r="I1515" s="69"/>
      <c r="J1515" s="70"/>
      <c r="K1515" s="71"/>
      <c r="L1515" s="71"/>
      <c r="M1515" s="5"/>
    </row>
    <row r="1516" spans="1:13" s="3" customFormat="1">
      <c r="A1516" s="1"/>
      <c r="B1516" s="8"/>
      <c r="C1516" s="5"/>
      <c r="D1516" s="12"/>
      <c r="E1516" s="23"/>
      <c r="F1516" s="9"/>
      <c r="G1516" s="5"/>
      <c r="H1516" s="16"/>
      <c r="I1516" s="69"/>
      <c r="J1516" s="70"/>
      <c r="K1516" s="71"/>
      <c r="L1516" s="71"/>
      <c r="M1516" s="5"/>
    </row>
    <row r="1517" spans="1:13" s="3" customFormat="1">
      <c r="A1517" s="1"/>
      <c r="B1517" s="8"/>
      <c r="C1517" s="5"/>
      <c r="D1517" s="12"/>
      <c r="E1517" s="23"/>
      <c r="F1517" s="9"/>
      <c r="G1517" s="5"/>
      <c r="H1517" s="16"/>
      <c r="I1517" s="69"/>
      <c r="J1517" s="70"/>
      <c r="K1517" s="71"/>
      <c r="L1517" s="71"/>
      <c r="M1517" s="5"/>
    </row>
    <row r="1518" spans="1:13" s="3" customFormat="1">
      <c r="A1518" s="1"/>
      <c r="B1518" s="8"/>
      <c r="C1518" s="5"/>
      <c r="D1518" s="12"/>
      <c r="E1518" s="23"/>
      <c r="F1518" s="9"/>
      <c r="G1518" s="5"/>
      <c r="H1518" s="16"/>
      <c r="I1518" s="69"/>
      <c r="J1518" s="70"/>
      <c r="K1518" s="71"/>
      <c r="L1518" s="71"/>
      <c r="M1518" s="5"/>
    </row>
    <row r="1519" spans="1:13" s="3" customFormat="1">
      <c r="A1519" s="1"/>
      <c r="B1519" s="8"/>
      <c r="C1519" s="5"/>
      <c r="D1519" s="12"/>
      <c r="E1519" s="23"/>
      <c r="F1519" s="9"/>
      <c r="G1519" s="5"/>
      <c r="H1519" s="16"/>
      <c r="I1519" s="69"/>
      <c r="J1519" s="70"/>
      <c r="K1519" s="71"/>
      <c r="L1519" s="71"/>
      <c r="M1519" s="5"/>
    </row>
    <row r="1520" spans="1:13" s="3" customFormat="1">
      <c r="A1520" s="1"/>
      <c r="B1520" s="8"/>
      <c r="C1520" s="5"/>
      <c r="D1520" s="12"/>
      <c r="E1520" s="23"/>
      <c r="F1520" s="9"/>
      <c r="G1520" s="5"/>
      <c r="H1520" s="16"/>
      <c r="I1520" s="69"/>
      <c r="J1520" s="70"/>
      <c r="K1520" s="71"/>
      <c r="L1520" s="71"/>
      <c r="M1520" s="5"/>
    </row>
    <row r="1521" spans="1:13" s="3" customFormat="1">
      <c r="A1521" s="1"/>
      <c r="B1521" s="8"/>
      <c r="C1521" s="5"/>
      <c r="D1521" s="12"/>
      <c r="E1521" s="23"/>
      <c r="F1521" s="9"/>
      <c r="G1521" s="5"/>
      <c r="H1521" s="16"/>
      <c r="I1521" s="69"/>
      <c r="J1521" s="70"/>
      <c r="K1521" s="71"/>
      <c r="L1521" s="71"/>
      <c r="M1521" s="5"/>
    </row>
    <row r="1522" spans="1:13" s="3" customFormat="1">
      <c r="A1522" s="1"/>
      <c r="B1522" s="8"/>
      <c r="C1522" s="5"/>
      <c r="D1522" s="12"/>
      <c r="E1522" s="23"/>
      <c r="F1522" s="9"/>
      <c r="G1522" s="5"/>
      <c r="H1522" s="16"/>
      <c r="I1522" s="69"/>
      <c r="J1522" s="70"/>
      <c r="K1522" s="71"/>
      <c r="L1522" s="71"/>
      <c r="M1522" s="5"/>
    </row>
    <row r="1523" spans="1:13" s="3" customFormat="1">
      <c r="A1523" s="1"/>
      <c r="B1523" s="8"/>
      <c r="C1523" s="5"/>
      <c r="D1523" s="12"/>
      <c r="E1523" s="23"/>
      <c r="F1523" s="9"/>
      <c r="G1523" s="5"/>
      <c r="H1523" s="16"/>
      <c r="I1523" s="69"/>
      <c r="J1523" s="70"/>
      <c r="K1523" s="71"/>
      <c r="L1523" s="71"/>
      <c r="M1523" s="5"/>
    </row>
    <row r="1524" spans="1:13" s="3" customFormat="1">
      <c r="A1524" s="1"/>
      <c r="B1524" s="8"/>
      <c r="C1524" s="5"/>
      <c r="D1524" s="12"/>
      <c r="E1524" s="23"/>
      <c r="F1524" s="9"/>
      <c r="G1524" s="5"/>
      <c r="H1524" s="16"/>
      <c r="I1524" s="69"/>
      <c r="J1524" s="70"/>
      <c r="K1524" s="71"/>
      <c r="L1524" s="71"/>
      <c r="M1524" s="5"/>
    </row>
    <row r="1525" spans="1:13" s="3" customFormat="1">
      <c r="A1525" s="1"/>
      <c r="B1525" s="8"/>
      <c r="C1525" s="5"/>
      <c r="D1525" s="12"/>
      <c r="E1525" s="23"/>
      <c r="F1525" s="9"/>
      <c r="G1525" s="5"/>
      <c r="H1525" s="16"/>
      <c r="I1525" s="69"/>
      <c r="J1525" s="70"/>
      <c r="K1525" s="71"/>
      <c r="L1525" s="71"/>
      <c r="M1525" s="5"/>
    </row>
    <row r="1526" spans="1:13" s="3" customFormat="1">
      <c r="A1526" s="1"/>
      <c r="B1526" s="8"/>
      <c r="C1526" s="5"/>
      <c r="D1526" s="12"/>
      <c r="E1526" s="23"/>
      <c r="F1526" s="9"/>
      <c r="G1526" s="5"/>
      <c r="H1526" s="16"/>
      <c r="I1526" s="69"/>
      <c r="J1526" s="70"/>
      <c r="K1526" s="71"/>
      <c r="L1526" s="71"/>
      <c r="M1526" s="5"/>
    </row>
    <row r="1527" spans="1:13" s="3" customFormat="1">
      <c r="A1527" s="1"/>
      <c r="B1527" s="8"/>
      <c r="C1527" s="5"/>
      <c r="D1527" s="12"/>
      <c r="E1527" s="23"/>
      <c r="F1527" s="9"/>
      <c r="G1527" s="5"/>
      <c r="H1527" s="16"/>
      <c r="I1527" s="69"/>
      <c r="J1527" s="70"/>
      <c r="K1527" s="71"/>
      <c r="L1527" s="71"/>
      <c r="M1527" s="5"/>
    </row>
    <row r="1528" spans="1:13" s="3" customFormat="1">
      <c r="A1528" s="1"/>
      <c r="B1528" s="8"/>
      <c r="C1528" s="5"/>
      <c r="D1528" s="12"/>
      <c r="E1528" s="23"/>
      <c r="F1528" s="9"/>
      <c r="G1528" s="5"/>
      <c r="H1528" s="16"/>
      <c r="I1528" s="69"/>
      <c r="J1528" s="70"/>
      <c r="K1528" s="71"/>
      <c r="L1528" s="71"/>
      <c r="M1528" s="5"/>
    </row>
    <row r="1529" spans="1:13" s="3" customFormat="1">
      <c r="A1529" s="1"/>
      <c r="B1529" s="8"/>
      <c r="C1529" s="5"/>
      <c r="D1529" s="12"/>
      <c r="E1529" s="23"/>
      <c r="F1529" s="9"/>
      <c r="G1529" s="5"/>
      <c r="H1529" s="16"/>
      <c r="I1529" s="69"/>
      <c r="J1529" s="70"/>
      <c r="K1529" s="71"/>
      <c r="L1529" s="71"/>
      <c r="M1529" s="5"/>
    </row>
    <row r="1530" spans="1:13" s="3" customFormat="1">
      <c r="A1530" s="1"/>
      <c r="B1530" s="8"/>
      <c r="C1530" s="5"/>
      <c r="D1530" s="12"/>
      <c r="E1530" s="23"/>
      <c r="F1530" s="9"/>
      <c r="G1530" s="5"/>
      <c r="H1530" s="16"/>
      <c r="I1530" s="69"/>
      <c r="J1530" s="70"/>
      <c r="K1530" s="71"/>
      <c r="L1530" s="71"/>
      <c r="M1530" s="5"/>
    </row>
    <row r="1531" spans="1:13" s="3" customFormat="1">
      <c r="A1531" s="1"/>
      <c r="B1531" s="8"/>
      <c r="C1531" s="5"/>
      <c r="D1531" s="12"/>
      <c r="E1531" s="23"/>
      <c r="F1531" s="9"/>
      <c r="G1531" s="5"/>
      <c r="H1531" s="16"/>
      <c r="I1531" s="69"/>
      <c r="J1531" s="70"/>
      <c r="K1531" s="71"/>
      <c r="L1531" s="71"/>
      <c r="M1531" s="5"/>
    </row>
    <row r="1532" spans="1:13" s="3" customFormat="1">
      <c r="A1532" s="1"/>
      <c r="B1532" s="8"/>
      <c r="C1532" s="5"/>
      <c r="D1532" s="12"/>
      <c r="E1532" s="23"/>
      <c r="F1532" s="9"/>
      <c r="G1532" s="5"/>
      <c r="H1532" s="16"/>
      <c r="I1532" s="69"/>
      <c r="J1532" s="70"/>
      <c r="K1532" s="71"/>
      <c r="L1532" s="71"/>
      <c r="M1532" s="5"/>
    </row>
    <row r="1533" spans="1:13" s="3" customFormat="1">
      <c r="A1533" s="1"/>
      <c r="B1533" s="8"/>
      <c r="C1533" s="5"/>
      <c r="D1533" s="12"/>
      <c r="E1533" s="23"/>
      <c r="F1533" s="9"/>
      <c r="G1533" s="5"/>
      <c r="H1533" s="16"/>
      <c r="I1533" s="69"/>
      <c r="J1533" s="70"/>
      <c r="K1533" s="71"/>
      <c r="L1533" s="71"/>
      <c r="M1533" s="5"/>
    </row>
    <row r="1534" spans="1:13" s="3" customFormat="1">
      <c r="A1534" s="1"/>
      <c r="B1534" s="8"/>
      <c r="C1534" s="5"/>
      <c r="D1534" s="12"/>
      <c r="E1534" s="23"/>
      <c r="F1534" s="9"/>
      <c r="G1534" s="5"/>
      <c r="H1534" s="16"/>
      <c r="I1534" s="69"/>
      <c r="J1534" s="70"/>
      <c r="K1534" s="71"/>
      <c r="L1534" s="71"/>
      <c r="M1534" s="5"/>
    </row>
    <row r="1535" spans="1:13" s="3" customFormat="1">
      <c r="A1535" s="1"/>
      <c r="B1535" s="8"/>
      <c r="C1535" s="5"/>
      <c r="D1535" s="12"/>
      <c r="E1535" s="23"/>
      <c r="F1535" s="9"/>
      <c r="G1535" s="5"/>
      <c r="H1535" s="16"/>
      <c r="I1535" s="69"/>
      <c r="J1535" s="70"/>
      <c r="K1535" s="71"/>
      <c r="L1535" s="71"/>
      <c r="M1535" s="5"/>
    </row>
    <row r="1536" spans="1:13" s="3" customFormat="1">
      <c r="A1536" s="1"/>
      <c r="B1536" s="8"/>
      <c r="C1536" s="5"/>
      <c r="D1536" s="12"/>
      <c r="E1536" s="23"/>
      <c r="F1536" s="9"/>
      <c r="G1536" s="5"/>
      <c r="H1536" s="16"/>
      <c r="I1536" s="69"/>
      <c r="J1536" s="70"/>
      <c r="K1536" s="71"/>
      <c r="L1536" s="71"/>
      <c r="M1536" s="5"/>
    </row>
    <row r="1537" spans="1:13" s="3" customFormat="1">
      <c r="A1537" s="1"/>
      <c r="B1537" s="8"/>
      <c r="C1537" s="5"/>
      <c r="D1537" s="12"/>
      <c r="E1537" s="23"/>
      <c r="F1537" s="9"/>
      <c r="G1537" s="5"/>
      <c r="H1537" s="16"/>
      <c r="I1537" s="69"/>
      <c r="J1537" s="70"/>
      <c r="K1537" s="71"/>
      <c r="L1537" s="71"/>
      <c r="M1537" s="5"/>
    </row>
    <row r="1538" spans="1:13" s="3" customFormat="1">
      <c r="A1538" s="1"/>
      <c r="B1538" s="8"/>
      <c r="C1538" s="5"/>
      <c r="D1538" s="12"/>
      <c r="E1538" s="23"/>
      <c r="F1538" s="9"/>
      <c r="G1538" s="5"/>
      <c r="H1538" s="16"/>
      <c r="I1538" s="69"/>
      <c r="J1538" s="70"/>
      <c r="K1538" s="71"/>
      <c r="L1538" s="71"/>
      <c r="M1538" s="5"/>
    </row>
    <row r="1539" spans="1:13" s="3" customFormat="1">
      <c r="A1539" s="1"/>
      <c r="B1539" s="8"/>
      <c r="C1539" s="5"/>
      <c r="D1539" s="12"/>
      <c r="E1539" s="23"/>
      <c r="F1539" s="9"/>
      <c r="G1539" s="5"/>
      <c r="H1539" s="16"/>
      <c r="I1539" s="69"/>
      <c r="J1539" s="70"/>
      <c r="K1539" s="71"/>
      <c r="L1539" s="71"/>
      <c r="M1539" s="5"/>
    </row>
    <row r="1540" spans="1:13" s="3" customFormat="1">
      <c r="A1540" s="1"/>
      <c r="B1540" s="8"/>
      <c r="C1540" s="5"/>
      <c r="D1540" s="12"/>
      <c r="E1540" s="23"/>
      <c r="F1540" s="9"/>
      <c r="G1540" s="5"/>
      <c r="H1540" s="16"/>
      <c r="I1540" s="69"/>
      <c r="J1540" s="70"/>
      <c r="K1540" s="71"/>
      <c r="L1540" s="71"/>
      <c r="M1540" s="5"/>
    </row>
    <row r="1541" spans="1:13" s="3" customFormat="1">
      <c r="A1541" s="1"/>
      <c r="B1541" s="8"/>
      <c r="C1541" s="5"/>
      <c r="D1541" s="12"/>
      <c r="E1541" s="23"/>
      <c r="F1541" s="9"/>
      <c r="G1541" s="5"/>
      <c r="H1541" s="16"/>
      <c r="I1541" s="69"/>
      <c r="J1541" s="70"/>
      <c r="K1541" s="71"/>
      <c r="L1541" s="71"/>
      <c r="M1541" s="5"/>
    </row>
    <row r="1542" spans="1:13" s="3" customFormat="1">
      <c r="A1542" s="1"/>
      <c r="B1542" s="8"/>
      <c r="C1542" s="5"/>
      <c r="D1542" s="12"/>
      <c r="E1542" s="23"/>
      <c r="F1542" s="9"/>
      <c r="G1542" s="5"/>
      <c r="H1542" s="16"/>
      <c r="I1542" s="69"/>
      <c r="J1542" s="70"/>
      <c r="K1542" s="71"/>
      <c r="L1542" s="71"/>
      <c r="M1542" s="5"/>
    </row>
    <row r="1543" spans="1:13" s="3" customFormat="1">
      <c r="A1543" s="1"/>
      <c r="B1543" s="8"/>
      <c r="C1543" s="5"/>
      <c r="D1543" s="12"/>
      <c r="E1543" s="23"/>
      <c r="F1543" s="9"/>
      <c r="G1543" s="5"/>
      <c r="H1543" s="16"/>
      <c r="I1543" s="69"/>
      <c r="J1543" s="70"/>
      <c r="K1543" s="71"/>
      <c r="L1543" s="71"/>
      <c r="M1543" s="5"/>
    </row>
    <row r="1544" spans="1:13" s="3" customFormat="1">
      <c r="A1544" s="1"/>
      <c r="B1544" s="8"/>
      <c r="C1544" s="5"/>
      <c r="D1544" s="12"/>
      <c r="E1544" s="23"/>
      <c r="F1544" s="9"/>
      <c r="G1544" s="5"/>
      <c r="H1544" s="16"/>
      <c r="I1544" s="69"/>
      <c r="J1544" s="70"/>
      <c r="K1544" s="71"/>
      <c r="L1544" s="71"/>
      <c r="M1544" s="5"/>
    </row>
    <row r="1545" spans="1:13" s="3" customFormat="1">
      <c r="A1545" s="1"/>
      <c r="B1545" s="8"/>
      <c r="C1545" s="5"/>
      <c r="D1545" s="12"/>
      <c r="E1545" s="23"/>
      <c r="F1545" s="9"/>
      <c r="G1545" s="5"/>
      <c r="H1545" s="16"/>
      <c r="I1545" s="69"/>
      <c r="J1545" s="70"/>
      <c r="K1545" s="71"/>
      <c r="L1545" s="71"/>
      <c r="M1545" s="5"/>
    </row>
    <row r="1546" spans="1:13" s="3" customFormat="1">
      <c r="A1546" s="1"/>
      <c r="B1546" s="8"/>
      <c r="C1546" s="5"/>
      <c r="D1546" s="12"/>
      <c r="E1546" s="23"/>
      <c r="F1546" s="9"/>
      <c r="G1546" s="5"/>
      <c r="H1546" s="16"/>
      <c r="I1546" s="69"/>
      <c r="J1546" s="70"/>
      <c r="K1546" s="71"/>
      <c r="L1546" s="71"/>
      <c r="M1546" s="5"/>
    </row>
    <row r="1547" spans="1:13" s="3" customFormat="1">
      <c r="A1547" s="1"/>
      <c r="B1547" s="8"/>
      <c r="C1547" s="5"/>
      <c r="D1547" s="12"/>
      <c r="E1547" s="23"/>
      <c r="F1547" s="9"/>
      <c r="G1547" s="5"/>
      <c r="H1547" s="16"/>
      <c r="I1547" s="69"/>
      <c r="J1547" s="70"/>
      <c r="K1547" s="71"/>
      <c r="L1547" s="71"/>
      <c r="M1547" s="5"/>
    </row>
    <row r="1548" spans="1:13" s="3" customFormat="1">
      <c r="A1548" s="1"/>
      <c r="B1548" s="8"/>
      <c r="C1548" s="5"/>
      <c r="D1548" s="12"/>
      <c r="E1548" s="23"/>
      <c r="F1548" s="9"/>
      <c r="G1548" s="5"/>
      <c r="H1548" s="16"/>
      <c r="I1548" s="69"/>
      <c r="J1548" s="70"/>
      <c r="K1548" s="71"/>
      <c r="L1548" s="71"/>
      <c r="M1548" s="5"/>
    </row>
    <row r="1549" spans="1:13" s="3" customFormat="1">
      <c r="A1549" s="1"/>
      <c r="B1549" s="8"/>
      <c r="C1549" s="5"/>
      <c r="D1549" s="12"/>
      <c r="E1549" s="23"/>
      <c r="F1549" s="9"/>
      <c r="G1549" s="5"/>
      <c r="H1549" s="16"/>
      <c r="I1549" s="69"/>
      <c r="J1549" s="70"/>
      <c r="K1549" s="71"/>
      <c r="L1549" s="71"/>
      <c r="M1549" s="5"/>
    </row>
    <row r="1550" spans="1:13" s="3" customFormat="1">
      <c r="A1550" s="1"/>
      <c r="B1550" s="8"/>
      <c r="C1550" s="5"/>
      <c r="D1550" s="12"/>
      <c r="E1550" s="23"/>
      <c r="F1550" s="9"/>
      <c r="G1550" s="5"/>
      <c r="H1550" s="16"/>
      <c r="I1550" s="69"/>
      <c r="J1550" s="70"/>
      <c r="K1550" s="71"/>
      <c r="L1550" s="71"/>
      <c r="M1550" s="5"/>
    </row>
    <row r="1551" spans="1:13" s="3" customFormat="1">
      <c r="A1551" s="1"/>
      <c r="B1551" s="8"/>
      <c r="C1551" s="5"/>
      <c r="D1551" s="12"/>
      <c r="E1551" s="23"/>
      <c r="F1551" s="9"/>
      <c r="G1551" s="5"/>
      <c r="H1551" s="16"/>
      <c r="I1551" s="69"/>
      <c r="J1551" s="70"/>
      <c r="K1551" s="71"/>
      <c r="L1551" s="71"/>
      <c r="M1551" s="5"/>
    </row>
    <row r="1552" spans="1:13" s="3" customFormat="1">
      <c r="A1552" s="1"/>
      <c r="B1552" s="8"/>
      <c r="C1552" s="5"/>
      <c r="D1552" s="12"/>
      <c r="E1552" s="23"/>
      <c r="F1552" s="9"/>
      <c r="G1552" s="5"/>
      <c r="H1552" s="16"/>
      <c r="I1552" s="69"/>
      <c r="J1552" s="70"/>
      <c r="K1552" s="71"/>
      <c r="L1552" s="71"/>
      <c r="M1552" s="5"/>
    </row>
    <row r="1553" spans="1:13" s="3" customFormat="1">
      <c r="A1553" s="1"/>
      <c r="B1553" s="8"/>
      <c r="C1553" s="5"/>
      <c r="D1553" s="12"/>
      <c r="E1553" s="23"/>
      <c r="F1553" s="9"/>
      <c r="G1553" s="5"/>
      <c r="H1553" s="16"/>
      <c r="I1553" s="69"/>
      <c r="J1553" s="70"/>
      <c r="K1553" s="71"/>
      <c r="L1553" s="71"/>
      <c r="M1553" s="5"/>
    </row>
    <row r="1554" spans="1:13" s="3" customFormat="1">
      <c r="A1554" s="1"/>
      <c r="B1554" s="8"/>
      <c r="C1554" s="5"/>
      <c r="D1554" s="12"/>
      <c r="E1554" s="23"/>
      <c r="F1554" s="9"/>
      <c r="G1554" s="5"/>
      <c r="H1554" s="16"/>
      <c r="I1554" s="69"/>
      <c r="J1554" s="70"/>
      <c r="K1554" s="71"/>
      <c r="L1554" s="71"/>
      <c r="M1554" s="5"/>
    </row>
    <row r="1555" spans="1:13" s="3" customFormat="1">
      <c r="A1555" s="1"/>
      <c r="B1555" s="8"/>
      <c r="C1555" s="5"/>
      <c r="D1555" s="12"/>
      <c r="E1555" s="23"/>
      <c r="F1555" s="9"/>
      <c r="G1555" s="5"/>
      <c r="H1555" s="16"/>
      <c r="I1555" s="69"/>
      <c r="J1555" s="70"/>
      <c r="K1555" s="71"/>
      <c r="L1555" s="71"/>
      <c r="M1555" s="5"/>
    </row>
    <row r="1556" spans="1:13" s="3" customFormat="1">
      <c r="A1556" s="1"/>
      <c r="B1556" s="8"/>
      <c r="C1556" s="5"/>
      <c r="D1556" s="12"/>
      <c r="E1556" s="23"/>
      <c r="F1556" s="9"/>
      <c r="G1556" s="5"/>
      <c r="H1556" s="16"/>
      <c r="I1556" s="69"/>
      <c r="J1556" s="70"/>
      <c r="K1556" s="71"/>
      <c r="L1556" s="71"/>
      <c r="M1556" s="5"/>
    </row>
    <row r="1557" spans="1:13" s="3" customFormat="1">
      <c r="A1557" s="1"/>
      <c r="B1557" s="8"/>
      <c r="C1557" s="5"/>
      <c r="D1557" s="12"/>
      <c r="E1557" s="23"/>
      <c r="F1557" s="9"/>
      <c r="G1557" s="5"/>
      <c r="H1557" s="16"/>
      <c r="I1557" s="69"/>
      <c r="J1557" s="70"/>
      <c r="K1557" s="71"/>
      <c r="L1557" s="71"/>
      <c r="M1557" s="5"/>
    </row>
    <row r="1558" spans="1:13" s="3" customFormat="1">
      <c r="A1558" s="1"/>
      <c r="B1558" s="8"/>
      <c r="C1558" s="5"/>
      <c r="D1558" s="12"/>
      <c r="E1558" s="23"/>
      <c r="F1558" s="9"/>
      <c r="G1558" s="5"/>
      <c r="H1558" s="16"/>
      <c r="I1558" s="69"/>
      <c r="J1558" s="70"/>
      <c r="K1558" s="71"/>
      <c r="L1558" s="71"/>
      <c r="M1558" s="5"/>
    </row>
    <row r="1559" spans="1:13" s="3" customFormat="1">
      <c r="A1559" s="1"/>
      <c r="B1559" s="8"/>
      <c r="C1559" s="5"/>
      <c r="D1559" s="12"/>
      <c r="E1559" s="23"/>
      <c r="F1559" s="9"/>
      <c r="G1559" s="5"/>
      <c r="H1559" s="16"/>
      <c r="I1559" s="69"/>
      <c r="J1559" s="70"/>
      <c r="K1559" s="71"/>
      <c r="L1559" s="71"/>
      <c r="M1559" s="5"/>
    </row>
    <row r="1560" spans="1:13" s="3" customFormat="1">
      <c r="A1560" s="1"/>
      <c r="B1560" s="8"/>
      <c r="C1560" s="5"/>
      <c r="D1560" s="12"/>
      <c r="E1560" s="23"/>
      <c r="F1560" s="9"/>
      <c r="G1560" s="5"/>
      <c r="H1560" s="16"/>
      <c r="I1560" s="69"/>
      <c r="J1560" s="70"/>
      <c r="K1560" s="71"/>
      <c r="L1560" s="71"/>
      <c r="M1560" s="5"/>
    </row>
    <row r="1561" spans="1:13" s="3" customFormat="1">
      <c r="A1561" s="1"/>
      <c r="B1561" s="8"/>
      <c r="C1561" s="5"/>
      <c r="D1561" s="12"/>
      <c r="E1561" s="23"/>
      <c r="F1561" s="9"/>
      <c r="G1561" s="5"/>
      <c r="H1561" s="16"/>
      <c r="I1561" s="69"/>
      <c r="J1561" s="70"/>
      <c r="K1561" s="71"/>
      <c r="L1561" s="71"/>
      <c r="M1561" s="5"/>
    </row>
    <row r="1562" spans="1:13" s="3" customFormat="1">
      <c r="A1562" s="1"/>
      <c r="B1562" s="8"/>
      <c r="C1562" s="5"/>
      <c r="D1562" s="12"/>
      <c r="E1562" s="23"/>
      <c r="F1562" s="9"/>
      <c r="G1562" s="5"/>
      <c r="H1562" s="16"/>
      <c r="I1562" s="69"/>
      <c r="J1562" s="70"/>
      <c r="K1562" s="71"/>
      <c r="L1562" s="71"/>
      <c r="M1562" s="5"/>
    </row>
    <row r="1563" spans="1:13" s="3" customFormat="1">
      <c r="A1563" s="1"/>
      <c r="B1563" s="8"/>
      <c r="C1563" s="5"/>
      <c r="D1563" s="12"/>
      <c r="E1563" s="23"/>
      <c r="F1563" s="9"/>
      <c r="G1563" s="5"/>
      <c r="H1563" s="16"/>
      <c r="I1563" s="69"/>
      <c r="J1563" s="70"/>
      <c r="K1563" s="71"/>
      <c r="L1563" s="71"/>
      <c r="M1563" s="5"/>
    </row>
    <row r="1564" spans="1:13" s="3" customFormat="1">
      <c r="A1564" s="1"/>
      <c r="B1564" s="8"/>
      <c r="C1564" s="5"/>
      <c r="D1564" s="12"/>
      <c r="E1564" s="23"/>
      <c r="F1564" s="9"/>
      <c r="G1564" s="5"/>
      <c r="H1564" s="16"/>
      <c r="I1564" s="69"/>
      <c r="J1564" s="70"/>
      <c r="K1564" s="71"/>
      <c r="L1564" s="71"/>
      <c r="M1564" s="5"/>
    </row>
    <row r="1565" spans="1:13" s="3" customFormat="1">
      <c r="A1565" s="1"/>
      <c r="B1565" s="8"/>
      <c r="C1565" s="5"/>
      <c r="D1565" s="12"/>
      <c r="E1565" s="23"/>
      <c r="F1565" s="9"/>
      <c r="G1565" s="5"/>
      <c r="H1565" s="16"/>
      <c r="I1565" s="69"/>
      <c r="J1565" s="70"/>
      <c r="K1565" s="71"/>
      <c r="L1565" s="71"/>
      <c r="M1565" s="5"/>
    </row>
    <row r="1566" spans="1:13" s="3" customFormat="1">
      <c r="A1566" s="1"/>
      <c r="B1566" s="8"/>
      <c r="C1566" s="5"/>
      <c r="D1566" s="12"/>
      <c r="E1566" s="23"/>
      <c r="F1566" s="9"/>
      <c r="G1566" s="5"/>
      <c r="H1566" s="16"/>
      <c r="I1566" s="69"/>
      <c r="J1566" s="70"/>
      <c r="K1566" s="71"/>
      <c r="L1566" s="71"/>
      <c r="M1566" s="5"/>
    </row>
    <row r="1567" spans="1:13" s="3" customFormat="1">
      <c r="A1567" s="1"/>
      <c r="B1567" s="8"/>
      <c r="C1567" s="5"/>
      <c r="D1567" s="12"/>
      <c r="E1567" s="23"/>
      <c r="F1567" s="9"/>
      <c r="G1567" s="5"/>
      <c r="H1567" s="16"/>
      <c r="I1567" s="69"/>
      <c r="J1567" s="70"/>
      <c r="K1567" s="71"/>
      <c r="L1567" s="71"/>
      <c r="M1567" s="5"/>
    </row>
    <row r="1568" spans="1:13" s="3" customFormat="1">
      <c r="A1568" s="1"/>
      <c r="B1568" s="8"/>
      <c r="C1568" s="5"/>
      <c r="D1568" s="12"/>
      <c r="E1568" s="23"/>
      <c r="F1568" s="9"/>
      <c r="G1568" s="5"/>
      <c r="H1568" s="16"/>
      <c r="I1568" s="69"/>
      <c r="J1568" s="70"/>
      <c r="K1568" s="71"/>
      <c r="L1568" s="71"/>
      <c r="M1568" s="5"/>
    </row>
    <row r="1569" spans="1:13" s="3" customFormat="1">
      <c r="A1569" s="1"/>
      <c r="B1569" s="8"/>
      <c r="C1569" s="5"/>
      <c r="D1569" s="12"/>
      <c r="E1569" s="23"/>
      <c r="F1569" s="9"/>
      <c r="G1569" s="5"/>
      <c r="H1569" s="16"/>
      <c r="I1569" s="69"/>
      <c r="J1569" s="70"/>
      <c r="K1569" s="71"/>
      <c r="L1569" s="71"/>
      <c r="M1569" s="5"/>
    </row>
    <row r="1570" spans="1:13" s="3" customFormat="1">
      <c r="A1570" s="1"/>
      <c r="B1570" s="8"/>
      <c r="C1570" s="5"/>
      <c r="D1570" s="12"/>
      <c r="E1570" s="23"/>
      <c r="F1570" s="9"/>
      <c r="G1570" s="5"/>
      <c r="H1570" s="16"/>
      <c r="I1570" s="69"/>
      <c r="J1570" s="70"/>
      <c r="K1570" s="71"/>
      <c r="L1570" s="71"/>
      <c r="M1570" s="5"/>
    </row>
    <row r="1571" spans="1:13" s="3" customFormat="1">
      <c r="A1571" s="1"/>
      <c r="B1571" s="8"/>
      <c r="C1571" s="5"/>
      <c r="D1571" s="12"/>
      <c r="E1571" s="23"/>
      <c r="F1571" s="9"/>
      <c r="G1571" s="5"/>
      <c r="H1571" s="16"/>
      <c r="I1571" s="69"/>
      <c r="J1571" s="70"/>
      <c r="K1571" s="71"/>
      <c r="L1571" s="71"/>
      <c r="M1571" s="5"/>
    </row>
    <row r="1572" spans="1:13" s="3" customFormat="1">
      <c r="A1572" s="1"/>
      <c r="B1572" s="8"/>
      <c r="C1572" s="5"/>
      <c r="D1572" s="12"/>
      <c r="E1572" s="23"/>
      <c r="F1572" s="9"/>
      <c r="G1572" s="5"/>
      <c r="H1572" s="16"/>
      <c r="I1572" s="69"/>
      <c r="J1572" s="70"/>
      <c r="K1572" s="71"/>
      <c r="L1572" s="71"/>
      <c r="M1572" s="5"/>
    </row>
    <row r="1573" spans="1:13" s="3" customFormat="1">
      <c r="A1573" s="1"/>
      <c r="B1573" s="8"/>
      <c r="C1573" s="5"/>
      <c r="D1573" s="12"/>
      <c r="E1573" s="23"/>
      <c r="F1573" s="9"/>
      <c r="G1573" s="5"/>
      <c r="H1573" s="16"/>
      <c r="I1573" s="69"/>
      <c r="J1573" s="70"/>
      <c r="K1573" s="71"/>
      <c r="L1573" s="71"/>
      <c r="M1573" s="5"/>
    </row>
    <row r="1574" spans="1:13" s="3" customFormat="1">
      <c r="A1574" s="1"/>
      <c r="B1574" s="8"/>
      <c r="C1574" s="5"/>
      <c r="D1574" s="12"/>
      <c r="E1574" s="23"/>
      <c r="F1574" s="9"/>
      <c r="G1574" s="5"/>
      <c r="H1574" s="16"/>
      <c r="I1574" s="69"/>
      <c r="J1574" s="70"/>
      <c r="K1574" s="71"/>
      <c r="L1574" s="71"/>
      <c r="M1574" s="5"/>
    </row>
    <row r="1575" spans="1:13" s="3" customFormat="1">
      <c r="A1575" s="1"/>
      <c r="B1575" s="8"/>
      <c r="C1575" s="5"/>
      <c r="D1575" s="12"/>
      <c r="E1575" s="23"/>
      <c r="F1575" s="9"/>
      <c r="G1575" s="5"/>
      <c r="H1575" s="16"/>
      <c r="I1575" s="69"/>
      <c r="J1575" s="70"/>
      <c r="K1575" s="71"/>
      <c r="L1575" s="71"/>
      <c r="M1575" s="5"/>
    </row>
    <row r="1576" spans="1:13" s="3" customFormat="1">
      <c r="A1576" s="1"/>
      <c r="B1576" s="8"/>
      <c r="C1576" s="5"/>
      <c r="D1576" s="12"/>
      <c r="E1576" s="23"/>
      <c r="F1576" s="9"/>
      <c r="G1576" s="5"/>
      <c r="H1576" s="16"/>
      <c r="I1576" s="69"/>
      <c r="J1576" s="70"/>
      <c r="K1576" s="71"/>
      <c r="L1576" s="71"/>
      <c r="M1576" s="5"/>
    </row>
    <row r="1577" spans="1:13" s="3" customFormat="1">
      <c r="A1577" s="1"/>
      <c r="B1577" s="8"/>
      <c r="C1577" s="5"/>
      <c r="D1577" s="12"/>
      <c r="E1577" s="23"/>
      <c r="F1577" s="9"/>
      <c r="G1577" s="5"/>
      <c r="H1577" s="16"/>
      <c r="I1577" s="69"/>
      <c r="J1577" s="70"/>
      <c r="K1577" s="71"/>
      <c r="L1577" s="71"/>
      <c r="M1577" s="5"/>
    </row>
    <row r="1578" spans="1:13" s="3" customFormat="1">
      <c r="A1578" s="1"/>
      <c r="B1578" s="8"/>
      <c r="C1578" s="5"/>
      <c r="D1578" s="12"/>
      <c r="E1578" s="23"/>
      <c r="F1578" s="9"/>
      <c r="G1578" s="5"/>
      <c r="H1578" s="16"/>
      <c r="I1578" s="69"/>
      <c r="J1578" s="70"/>
      <c r="K1578" s="71"/>
      <c r="L1578" s="71"/>
      <c r="M1578" s="5"/>
    </row>
    <row r="1579" spans="1:13" s="3" customFormat="1">
      <c r="A1579" s="1"/>
      <c r="B1579" s="8"/>
      <c r="C1579" s="5"/>
      <c r="D1579" s="12"/>
      <c r="E1579" s="23"/>
      <c r="F1579" s="9"/>
      <c r="G1579" s="5"/>
      <c r="H1579" s="16"/>
      <c r="I1579" s="69"/>
      <c r="J1579" s="70"/>
      <c r="K1579" s="71"/>
      <c r="L1579" s="71"/>
      <c r="M1579" s="5"/>
    </row>
    <row r="1580" spans="1:13" s="3" customFormat="1">
      <c r="A1580" s="1"/>
      <c r="B1580" s="8"/>
      <c r="C1580" s="5"/>
      <c r="D1580" s="12"/>
      <c r="E1580" s="23"/>
      <c r="F1580" s="9"/>
      <c r="G1580" s="5"/>
      <c r="H1580" s="16"/>
      <c r="I1580" s="69"/>
      <c r="J1580" s="70"/>
      <c r="K1580" s="71"/>
      <c r="L1580" s="71"/>
      <c r="M1580" s="5"/>
    </row>
    <row r="1581" spans="1:13" s="3" customFormat="1">
      <c r="A1581" s="1"/>
      <c r="B1581" s="8"/>
      <c r="C1581" s="5"/>
      <c r="D1581" s="12"/>
      <c r="E1581" s="23"/>
      <c r="F1581" s="9"/>
      <c r="G1581" s="5"/>
      <c r="H1581" s="16"/>
      <c r="I1581" s="69"/>
      <c r="J1581" s="70"/>
      <c r="K1581" s="71"/>
      <c r="L1581" s="71"/>
      <c r="M1581" s="5"/>
    </row>
    <row r="1582" spans="1:13" s="3" customFormat="1">
      <c r="A1582" s="1"/>
      <c r="B1582" s="8"/>
      <c r="C1582" s="5"/>
      <c r="D1582" s="12"/>
      <c r="E1582" s="23"/>
      <c r="F1582" s="9"/>
      <c r="G1582" s="5"/>
      <c r="H1582" s="16"/>
      <c r="I1582" s="69"/>
      <c r="J1582" s="70"/>
      <c r="K1582" s="71"/>
      <c r="L1582" s="71"/>
      <c r="M1582" s="5"/>
    </row>
    <row r="1583" spans="1:13" s="3" customFormat="1">
      <c r="A1583" s="1"/>
      <c r="B1583" s="8"/>
      <c r="C1583" s="5"/>
      <c r="D1583" s="12"/>
      <c r="E1583" s="23"/>
      <c r="F1583" s="9"/>
      <c r="G1583" s="5"/>
      <c r="H1583" s="16"/>
      <c r="I1583" s="69"/>
      <c r="J1583" s="70"/>
      <c r="K1583" s="71"/>
      <c r="L1583" s="71"/>
      <c r="M1583" s="5"/>
    </row>
    <row r="1584" spans="1:13" s="3" customFormat="1">
      <c r="A1584" s="1"/>
      <c r="B1584" s="8"/>
      <c r="C1584" s="5"/>
      <c r="D1584" s="12"/>
      <c r="E1584" s="23"/>
      <c r="F1584" s="9"/>
      <c r="G1584" s="5"/>
      <c r="H1584" s="16"/>
      <c r="I1584" s="69"/>
      <c r="J1584" s="70"/>
      <c r="K1584" s="71"/>
      <c r="L1584" s="71"/>
      <c r="M1584" s="5"/>
    </row>
    <row r="1585" spans="1:13" s="3" customFormat="1">
      <c r="A1585" s="1"/>
      <c r="B1585" s="8"/>
      <c r="C1585" s="5"/>
      <c r="D1585" s="12"/>
      <c r="E1585" s="23"/>
      <c r="F1585" s="9"/>
      <c r="G1585" s="5"/>
      <c r="H1585" s="16"/>
      <c r="I1585" s="69"/>
      <c r="J1585" s="70"/>
      <c r="K1585" s="71"/>
      <c r="L1585" s="71"/>
      <c r="M1585" s="5"/>
    </row>
    <row r="1586" spans="1:13" s="3" customFormat="1">
      <c r="A1586" s="1"/>
      <c r="B1586" s="8"/>
      <c r="C1586" s="5"/>
      <c r="D1586" s="12"/>
      <c r="E1586" s="23"/>
      <c r="F1586" s="9"/>
      <c r="G1586" s="5"/>
      <c r="H1586" s="16"/>
      <c r="I1586" s="69"/>
      <c r="J1586" s="70"/>
      <c r="K1586" s="71"/>
      <c r="L1586" s="71"/>
      <c r="M1586" s="5"/>
    </row>
    <row r="1587" spans="1:13" s="3" customFormat="1">
      <c r="A1587" s="1"/>
      <c r="B1587" s="8"/>
      <c r="C1587" s="5"/>
      <c r="D1587" s="12"/>
      <c r="E1587" s="23"/>
      <c r="F1587" s="9"/>
      <c r="G1587" s="5"/>
      <c r="H1587" s="16"/>
      <c r="I1587" s="69"/>
      <c r="J1587" s="70"/>
      <c r="K1587" s="71"/>
      <c r="L1587" s="71"/>
      <c r="M1587" s="5"/>
    </row>
    <row r="1588" spans="1:13" s="3" customFormat="1">
      <c r="A1588" s="1"/>
      <c r="B1588" s="8"/>
      <c r="C1588" s="5"/>
      <c r="D1588" s="12"/>
      <c r="E1588" s="23"/>
      <c r="F1588" s="9"/>
      <c r="G1588" s="5"/>
      <c r="H1588" s="16"/>
      <c r="I1588" s="69"/>
      <c r="J1588" s="70"/>
      <c r="K1588" s="71"/>
      <c r="L1588" s="71"/>
      <c r="M1588" s="5"/>
    </row>
    <row r="1589" spans="1:13" s="3" customFormat="1">
      <c r="A1589" s="1"/>
      <c r="B1589" s="8"/>
      <c r="C1589" s="5"/>
      <c r="D1589" s="12"/>
      <c r="E1589" s="23"/>
      <c r="F1589" s="9"/>
      <c r="G1589" s="5"/>
      <c r="H1589" s="16"/>
      <c r="I1589" s="69"/>
      <c r="J1589" s="70"/>
      <c r="K1589" s="71"/>
      <c r="L1589" s="71"/>
      <c r="M1589" s="5"/>
    </row>
    <row r="1590" spans="1:13" s="3" customFormat="1">
      <c r="A1590" s="1"/>
      <c r="B1590" s="8"/>
      <c r="C1590" s="5"/>
      <c r="D1590" s="12"/>
      <c r="E1590" s="23"/>
      <c r="F1590" s="9"/>
      <c r="G1590" s="5"/>
      <c r="H1590" s="16"/>
      <c r="I1590" s="69"/>
      <c r="J1590" s="70"/>
      <c r="K1590" s="71"/>
      <c r="L1590" s="71"/>
      <c r="M1590" s="5"/>
    </row>
    <row r="1591" spans="1:13" s="3" customFormat="1">
      <c r="A1591" s="1"/>
      <c r="B1591" s="8"/>
      <c r="C1591" s="5"/>
      <c r="D1591" s="12"/>
      <c r="E1591" s="23"/>
      <c r="F1591" s="9"/>
      <c r="G1591" s="5"/>
      <c r="H1591" s="16"/>
      <c r="I1591" s="69"/>
      <c r="J1591" s="70"/>
      <c r="K1591" s="71"/>
      <c r="L1591" s="71"/>
      <c r="M1591" s="5"/>
    </row>
    <row r="1592" spans="1:13" s="3" customFormat="1">
      <c r="A1592" s="1"/>
      <c r="B1592" s="8"/>
      <c r="C1592" s="5"/>
      <c r="D1592" s="12"/>
      <c r="E1592" s="23"/>
      <c r="F1592" s="9"/>
      <c r="G1592" s="5"/>
      <c r="H1592" s="16"/>
      <c r="I1592" s="69"/>
      <c r="J1592" s="70"/>
      <c r="K1592" s="71"/>
      <c r="L1592" s="71"/>
      <c r="M1592" s="5"/>
    </row>
    <row r="1593" spans="1:13" s="3" customFormat="1">
      <c r="A1593" s="1"/>
      <c r="B1593" s="8"/>
      <c r="C1593" s="5"/>
      <c r="D1593" s="12"/>
      <c r="E1593" s="23"/>
      <c r="F1593" s="9"/>
      <c r="G1593" s="5"/>
      <c r="H1593" s="16"/>
      <c r="I1593" s="69"/>
      <c r="J1593" s="70"/>
      <c r="K1593" s="71"/>
      <c r="L1593" s="71"/>
      <c r="M1593" s="5"/>
    </row>
    <row r="1594" spans="1:13" s="3" customFormat="1">
      <c r="A1594" s="1"/>
      <c r="B1594" s="8"/>
      <c r="C1594" s="5"/>
      <c r="D1594" s="12"/>
      <c r="E1594" s="23"/>
      <c r="F1594" s="9"/>
      <c r="G1594" s="5"/>
      <c r="H1594" s="16"/>
      <c r="I1594" s="69"/>
      <c r="J1594" s="70"/>
      <c r="K1594" s="71"/>
      <c r="L1594" s="71"/>
      <c r="M1594" s="5"/>
    </row>
    <row r="1595" spans="1:13" s="3" customFormat="1">
      <c r="A1595" s="1"/>
      <c r="B1595" s="8"/>
      <c r="C1595" s="5"/>
      <c r="D1595" s="12"/>
      <c r="E1595" s="23"/>
      <c r="F1595" s="9"/>
      <c r="G1595" s="5"/>
      <c r="H1595" s="16"/>
      <c r="I1595" s="69"/>
      <c r="J1595" s="70"/>
      <c r="K1595" s="71"/>
      <c r="L1595" s="71"/>
      <c r="M1595" s="5"/>
    </row>
    <row r="1596" spans="1:13" s="3" customFormat="1">
      <c r="A1596" s="1"/>
      <c r="B1596" s="8"/>
      <c r="C1596" s="5"/>
      <c r="D1596" s="12"/>
      <c r="E1596" s="23"/>
      <c r="F1596" s="9"/>
      <c r="G1596" s="5"/>
      <c r="H1596" s="16"/>
      <c r="I1596" s="69"/>
      <c r="J1596" s="70"/>
      <c r="K1596" s="71"/>
      <c r="L1596" s="71"/>
      <c r="M1596" s="5"/>
    </row>
    <row r="1597" spans="1:13" s="3" customFormat="1">
      <c r="A1597" s="1"/>
      <c r="B1597" s="8"/>
      <c r="C1597" s="5"/>
      <c r="D1597" s="12"/>
      <c r="E1597" s="23"/>
      <c r="F1597" s="9"/>
      <c r="G1597" s="5"/>
      <c r="H1597" s="16"/>
      <c r="I1597" s="69"/>
      <c r="J1597" s="70"/>
      <c r="K1597" s="71"/>
      <c r="L1597" s="71"/>
      <c r="M1597" s="5"/>
    </row>
    <row r="1598" spans="1:13" s="3" customFormat="1">
      <c r="A1598" s="1"/>
      <c r="B1598" s="8"/>
      <c r="C1598" s="5"/>
      <c r="D1598" s="12"/>
      <c r="E1598" s="23"/>
      <c r="F1598" s="9"/>
      <c r="G1598" s="5"/>
      <c r="H1598" s="16"/>
      <c r="I1598" s="69"/>
      <c r="J1598" s="70"/>
      <c r="K1598" s="71"/>
      <c r="L1598" s="71"/>
      <c r="M1598" s="5"/>
    </row>
    <row r="1599" spans="1:13" s="3" customFormat="1">
      <c r="A1599" s="1"/>
      <c r="B1599" s="8"/>
      <c r="C1599" s="5"/>
      <c r="D1599" s="12"/>
      <c r="E1599" s="23"/>
      <c r="F1599" s="9"/>
      <c r="G1599" s="5"/>
      <c r="H1599" s="16"/>
      <c r="I1599" s="69"/>
      <c r="J1599" s="70"/>
      <c r="K1599" s="71"/>
      <c r="L1599" s="71"/>
      <c r="M1599" s="5"/>
    </row>
    <row r="1600" spans="1:13" s="3" customFormat="1">
      <c r="A1600" s="1"/>
      <c r="B1600" s="8"/>
      <c r="C1600" s="5"/>
      <c r="D1600" s="12"/>
      <c r="E1600" s="23"/>
      <c r="F1600" s="9"/>
      <c r="G1600" s="5"/>
      <c r="H1600" s="16"/>
      <c r="I1600" s="69"/>
      <c r="J1600" s="70"/>
      <c r="K1600" s="71"/>
      <c r="L1600" s="71"/>
      <c r="M1600" s="5"/>
    </row>
    <row r="1601" spans="1:13" s="3" customFormat="1">
      <c r="A1601" s="1"/>
      <c r="B1601" s="8"/>
      <c r="C1601" s="5"/>
      <c r="D1601" s="12"/>
      <c r="E1601" s="23"/>
      <c r="F1601" s="9"/>
      <c r="G1601" s="5"/>
      <c r="H1601" s="16"/>
      <c r="I1601" s="69"/>
      <c r="J1601" s="70"/>
      <c r="K1601" s="71"/>
      <c r="L1601" s="71"/>
      <c r="M1601" s="5"/>
    </row>
    <row r="1602" spans="1:13" s="3" customFormat="1">
      <c r="A1602" s="1"/>
      <c r="B1602" s="8"/>
      <c r="C1602" s="5"/>
      <c r="D1602" s="12"/>
      <c r="E1602" s="23"/>
      <c r="F1602" s="9"/>
      <c r="G1602" s="5"/>
      <c r="H1602" s="16"/>
      <c r="I1602" s="69"/>
      <c r="J1602" s="70"/>
      <c r="K1602" s="71"/>
      <c r="L1602" s="71"/>
      <c r="M1602" s="5"/>
    </row>
    <row r="1603" spans="1:13" s="3" customFormat="1">
      <c r="A1603" s="1"/>
      <c r="B1603" s="8"/>
      <c r="C1603" s="5"/>
      <c r="D1603" s="12"/>
      <c r="E1603" s="23"/>
      <c r="F1603" s="9"/>
      <c r="G1603" s="5"/>
      <c r="H1603" s="16"/>
      <c r="I1603" s="69"/>
      <c r="J1603" s="70"/>
      <c r="K1603" s="71"/>
      <c r="L1603" s="71"/>
      <c r="M1603" s="5"/>
    </row>
    <row r="1604" spans="1:13" s="3" customFormat="1">
      <c r="A1604" s="1"/>
      <c r="B1604" s="8"/>
      <c r="C1604" s="5"/>
      <c r="D1604" s="12"/>
      <c r="E1604" s="23"/>
      <c r="F1604" s="9"/>
      <c r="G1604" s="5"/>
      <c r="H1604" s="16"/>
      <c r="I1604" s="69"/>
      <c r="J1604" s="70"/>
      <c r="K1604" s="71"/>
      <c r="L1604" s="71"/>
      <c r="M1604" s="5"/>
    </row>
    <row r="1605" spans="1:13" s="3" customFormat="1">
      <c r="A1605" s="1"/>
      <c r="B1605" s="8"/>
      <c r="C1605" s="5"/>
      <c r="D1605" s="12"/>
      <c r="E1605" s="23"/>
      <c r="F1605" s="9"/>
      <c r="G1605" s="5"/>
      <c r="H1605" s="16"/>
      <c r="I1605" s="69"/>
      <c r="J1605" s="70"/>
      <c r="K1605" s="71"/>
      <c r="L1605" s="71"/>
      <c r="M1605" s="5"/>
    </row>
    <row r="1606" spans="1:13" s="3" customFormat="1">
      <c r="A1606" s="1"/>
      <c r="B1606" s="8"/>
      <c r="C1606" s="5"/>
      <c r="D1606" s="12"/>
      <c r="E1606" s="23"/>
      <c r="F1606" s="9"/>
      <c r="G1606" s="5"/>
      <c r="H1606" s="16"/>
      <c r="I1606" s="69"/>
      <c r="J1606" s="70"/>
      <c r="K1606" s="71"/>
      <c r="L1606" s="71"/>
      <c r="M1606" s="5"/>
    </row>
    <row r="1607" spans="1:13" s="3" customFormat="1">
      <c r="A1607" s="1"/>
      <c r="B1607" s="8"/>
      <c r="C1607" s="5"/>
      <c r="D1607" s="12"/>
      <c r="E1607" s="23"/>
      <c r="F1607" s="9"/>
      <c r="G1607" s="5"/>
      <c r="H1607" s="16"/>
      <c r="I1607" s="69"/>
      <c r="J1607" s="70"/>
      <c r="K1607" s="71"/>
      <c r="L1607" s="71"/>
      <c r="M1607" s="5"/>
    </row>
    <row r="1608" spans="1:13" s="3" customFormat="1">
      <c r="A1608" s="1"/>
      <c r="B1608" s="8"/>
      <c r="C1608" s="5"/>
      <c r="D1608" s="12"/>
      <c r="E1608" s="23"/>
      <c r="F1608" s="9"/>
      <c r="G1608" s="5"/>
      <c r="H1608" s="16"/>
      <c r="I1608" s="69"/>
      <c r="J1608" s="70"/>
      <c r="K1608" s="71"/>
      <c r="L1608" s="71"/>
      <c r="M1608" s="5"/>
    </row>
    <row r="1609" spans="1:13" s="3" customFormat="1">
      <c r="A1609" s="1"/>
      <c r="B1609" s="8"/>
      <c r="C1609" s="5"/>
      <c r="D1609" s="12"/>
      <c r="E1609" s="23"/>
      <c r="F1609" s="9"/>
      <c r="G1609" s="5"/>
      <c r="H1609" s="16"/>
      <c r="I1609" s="69"/>
      <c r="J1609" s="70"/>
      <c r="K1609" s="71"/>
      <c r="L1609" s="71"/>
      <c r="M1609" s="5"/>
    </row>
    <row r="1610" spans="1:13" s="3" customFormat="1">
      <c r="A1610" s="1"/>
      <c r="B1610" s="8"/>
      <c r="C1610" s="5"/>
      <c r="D1610" s="12"/>
      <c r="E1610" s="23"/>
      <c r="F1610" s="9"/>
      <c r="G1610" s="5"/>
      <c r="H1610" s="16"/>
      <c r="I1610" s="69"/>
      <c r="J1610" s="70"/>
      <c r="K1610" s="71"/>
      <c r="L1610" s="71"/>
      <c r="M1610" s="5"/>
    </row>
    <row r="1611" spans="1:13" s="3" customFormat="1">
      <c r="A1611" s="1"/>
      <c r="B1611" s="8"/>
      <c r="C1611" s="5"/>
      <c r="D1611" s="12"/>
      <c r="E1611" s="23"/>
      <c r="F1611" s="9"/>
      <c r="G1611" s="5"/>
      <c r="H1611" s="16"/>
      <c r="I1611" s="69"/>
      <c r="J1611" s="70"/>
      <c r="K1611" s="71"/>
      <c r="L1611" s="71"/>
      <c r="M1611" s="5"/>
    </row>
    <row r="1612" spans="1:13" s="3" customFormat="1">
      <c r="A1612" s="1"/>
      <c r="B1612" s="8"/>
      <c r="C1612" s="5"/>
      <c r="D1612" s="12"/>
      <c r="E1612" s="23"/>
      <c r="F1612" s="9"/>
      <c r="G1612" s="5"/>
      <c r="H1612" s="16"/>
      <c r="I1612" s="69"/>
      <c r="J1612" s="70"/>
      <c r="K1612" s="71"/>
      <c r="L1612" s="71"/>
      <c r="M1612" s="5"/>
    </row>
    <row r="1613" spans="1:13" s="3" customFormat="1">
      <c r="A1613" s="1"/>
      <c r="B1613" s="8"/>
      <c r="C1613" s="5"/>
      <c r="D1613" s="12"/>
      <c r="E1613" s="23"/>
      <c r="F1613" s="9"/>
      <c r="G1613" s="5"/>
      <c r="H1613" s="16"/>
      <c r="I1613" s="69"/>
      <c r="J1613" s="70"/>
      <c r="K1613" s="71"/>
      <c r="L1613" s="71"/>
      <c r="M1613" s="5"/>
    </row>
    <row r="1614" spans="1:13" s="3" customFormat="1">
      <c r="A1614" s="1"/>
      <c r="B1614" s="8"/>
      <c r="C1614" s="5"/>
      <c r="D1614" s="12"/>
      <c r="E1614" s="23"/>
      <c r="F1614" s="9"/>
      <c r="G1614" s="5"/>
      <c r="H1614" s="16"/>
      <c r="I1614" s="69"/>
      <c r="J1614" s="70"/>
      <c r="K1614" s="71"/>
      <c r="L1614" s="71"/>
      <c r="M1614" s="5"/>
    </row>
    <row r="1615" spans="1:13" s="3" customFormat="1">
      <c r="A1615" s="1"/>
      <c r="B1615" s="8"/>
      <c r="C1615" s="5"/>
      <c r="D1615" s="12"/>
      <c r="E1615" s="23"/>
      <c r="F1615" s="9"/>
      <c r="G1615" s="5"/>
      <c r="H1615" s="16"/>
      <c r="I1615" s="69"/>
      <c r="J1615" s="70"/>
      <c r="K1615" s="71"/>
      <c r="L1615" s="71"/>
      <c r="M1615" s="5"/>
    </row>
    <row r="1616" spans="1:13" s="3" customFormat="1">
      <c r="A1616" s="1"/>
      <c r="B1616" s="8"/>
      <c r="C1616" s="5"/>
      <c r="D1616" s="12"/>
      <c r="E1616" s="23"/>
      <c r="F1616" s="9"/>
      <c r="G1616" s="5"/>
      <c r="H1616" s="16"/>
      <c r="I1616" s="69"/>
      <c r="J1616" s="70"/>
      <c r="K1616" s="71"/>
      <c r="L1616" s="71"/>
      <c r="M1616" s="5"/>
    </row>
    <row r="1617" spans="1:13" s="3" customFormat="1">
      <c r="A1617" s="1"/>
      <c r="B1617" s="8"/>
      <c r="C1617" s="5"/>
      <c r="D1617" s="12"/>
      <c r="E1617" s="23"/>
      <c r="F1617" s="9"/>
      <c r="G1617" s="5"/>
      <c r="H1617" s="16"/>
      <c r="I1617" s="69"/>
      <c r="J1617" s="70"/>
      <c r="K1617" s="71"/>
      <c r="L1617" s="71"/>
      <c r="M1617" s="5"/>
    </row>
    <row r="1618" spans="1:13" s="3" customFormat="1">
      <c r="A1618" s="1"/>
      <c r="B1618" s="8"/>
      <c r="C1618" s="5"/>
      <c r="D1618" s="12"/>
      <c r="E1618" s="23"/>
      <c r="F1618" s="9"/>
      <c r="G1618" s="5"/>
      <c r="H1618" s="16"/>
      <c r="I1618" s="69"/>
      <c r="J1618" s="70"/>
      <c r="K1618" s="71"/>
      <c r="L1618" s="71"/>
      <c r="M1618" s="5"/>
    </row>
    <row r="1619" spans="1:13" s="3" customFormat="1">
      <c r="A1619" s="1"/>
      <c r="B1619" s="8"/>
      <c r="C1619" s="5"/>
      <c r="D1619" s="12"/>
      <c r="E1619" s="23"/>
      <c r="F1619" s="9"/>
      <c r="G1619" s="5"/>
      <c r="H1619" s="16"/>
      <c r="I1619" s="69"/>
      <c r="J1619" s="70"/>
      <c r="K1619" s="71"/>
      <c r="L1619" s="71"/>
      <c r="M1619" s="5"/>
    </row>
    <row r="1620" spans="1:13" s="3" customFormat="1">
      <c r="A1620" s="1"/>
      <c r="B1620" s="8"/>
      <c r="C1620" s="5"/>
      <c r="D1620" s="12"/>
      <c r="E1620" s="23"/>
      <c r="F1620" s="9"/>
      <c r="G1620" s="5"/>
      <c r="H1620" s="16"/>
      <c r="I1620" s="69"/>
      <c r="J1620" s="70"/>
      <c r="K1620" s="71"/>
      <c r="L1620" s="71"/>
      <c r="M1620" s="5"/>
    </row>
    <row r="1621" spans="1:13" s="3" customFormat="1">
      <c r="A1621" s="1"/>
      <c r="B1621" s="8"/>
      <c r="C1621" s="5"/>
      <c r="D1621" s="12"/>
      <c r="E1621" s="23"/>
      <c r="F1621" s="9"/>
      <c r="G1621" s="5"/>
      <c r="H1621" s="16"/>
      <c r="I1621" s="69"/>
      <c r="J1621" s="70"/>
      <c r="K1621" s="71"/>
      <c r="L1621" s="71"/>
      <c r="M1621" s="5"/>
    </row>
    <row r="1622" spans="1:13" s="3" customFormat="1">
      <c r="A1622" s="1"/>
      <c r="B1622" s="8"/>
      <c r="C1622" s="5"/>
      <c r="D1622" s="12"/>
      <c r="E1622" s="23"/>
      <c r="F1622" s="9"/>
      <c r="G1622" s="5"/>
      <c r="H1622" s="16"/>
      <c r="I1622" s="69"/>
      <c r="J1622" s="70"/>
      <c r="K1622" s="71"/>
      <c r="L1622" s="71"/>
      <c r="M1622" s="5"/>
    </row>
    <row r="1623" spans="1:13" s="3" customFormat="1">
      <c r="A1623" s="1"/>
      <c r="B1623" s="8"/>
      <c r="C1623" s="5"/>
      <c r="D1623" s="12"/>
      <c r="E1623" s="23"/>
      <c r="F1623" s="9"/>
      <c r="G1623" s="5"/>
      <c r="H1623" s="16"/>
      <c r="I1623" s="69"/>
      <c r="J1623" s="70"/>
      <c r="K1623" s="71"/>
      <c r="L1623" s="71"/>
      <c r="M1623" s="5"/>
    </row>
    <row r="1624" spans="1:13" s="3" customFormat="1">
      <c r="A1624" s="1"/>
      <c r="B1624" s="8"/>
      <c r="C1624" s="5"/>
      <c r="D1624" s="12"/>
      <c r="E1624" s="23"/>
      <c r="F1624" s="9"/>
      <c r="G1624" s="5"/>
      <c r="H1624" s="16"/>
      <c r="I1624" s="69"/>
      <c r="J1624" s="70"/>
      <c r="K1624" s="71"/>
      <c r="L1624" s="71"/>
      <c r="M1624" s="5"/>
    </row>
    <row r="1625" spans="1:13" s="3" customFormat="1">
      <c r="A1625" s="1"/>
      <c r="B1625" s="8"/>
      <c r="C1625" s="5"/>
      <c r="D1625" s="12"/>
      <c r="E1625" s="23"/>
      <c r="F1625" s="9"/>
      <c r="G1625" s="5"/>
      <c r="H1625" s="16"/>
      <c r="I1625" s="69"/>
      <c r="J1625" s="70"/>
      <c r="K1625" s="71"/>
      <c r="L1625" s="71"/>
      <c r="M1625" s="5"/>
    </row>
    <row r="1626" spans="1:13" s="3" customFormat="1">
      <c r="A1626" s="1"/>
      <c r="B1626" s="8"/>
      <c r="C1626" s="5"/>
      <c r="D1626" s="12"/>
      <c r="E1626" s="23"/>
      <c r="F1626" s="9"/>
      <c r="G1626" s="5"/>
      <c r="H1626" s="16"/>
      <c r="I1626" s="69"/>
      <c r="J1626" s="70"/>
      <c r="K1626" s="71"/>
      <c r="L1626" s="71"/>
      <c r="M1626" s="5"/>
    </row>
    <row r="1627" spans="1:13" s="3" customFormat="1">
      <c r="A1627" s="1"/>
      <c r="B1627" s="8"/>
      <c r="C1627" s="5"/>
      <c r="D1627" s="12"/>
      <c r="E1627" s="23"/>
      <c r="F1627" s="9"/>
      <c r="G1627" s="5"/>
      <c r="H1627" s="16"/>
      <c r="I1627" s="69"/>
      <c r="J1627" s="70"/>
      <c r="K1627" s="71"/>
      <c r="L1627" s="71"/>
      <c r="M1627" s="5"/>
    </row>
  </sheetData>
  <autoFilter ref="A3:M295">
    <filterColumn colId="0" showButton="0"/>
    <filterColumn colId="1"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autoFilter>
  <mergeCells count="428">
    <mergeCell ref="L291:L295"/>
    <mergeCell ref="M291:M295"/>
    <mergeCell ref="A291:A295"/>
    <mergeCell ref="B291:B295"/>
    <mergeCell ref="H291:H295"/>
    <mergeCell ref="I291:I295"/>
    <mergeCell ref="J291:J295"/>
    <mergeCell ref="K291:K295"/>
    <mergeCell ref="A286:A290"/>
    <mergeCell ref="B286:B290"/>
    <mergeCell ref="H286:H290"/>
    <mergeCell ref="K286:K290"/>
    <mergeCell ref="L286:L290"/>
    <mergeCell ref="M286:M290"/>
    <mergeCell ref="A281:A285"/>
    <mergeCell ref="B281:B285"/>
    <mergeCell ref="H281:H285"/>
    <mergeCell ref="K281:K285"/>
    <mergeCell ref="L281:L285"/>
    <mergeCell ref="M281:M285"/>
    <mergeCell ref="L271:L275"/>
    <mergeCell ref="M271:M275"/>
    <mergeCell ref="A276:A280"/>
    <mergeCell ref="B276:B280"/>
    <mergeCell ref="H276:H280"/>
    <mergeCell ref="I276:I280"/>
    <mergeCell ref="J276:J280"/>
    <mergeCell ref="K276:K280"/>
    <mergeCell ref="L276:L280"/>
    <mergeCell ref="M276:M280"/>
    <mergeCell ref="A271:A275"/>
    <mergeCell ref="B271:B275"/>
    <mergeCell ref="H271:H275"/>
    <mergeCell ref="I271:I275"/>
    <mergeCell ref="J271:J275"/>
    <mergeCell ref="K271:K275"/>
    <mergeCell ref="A266:A270"/>
    <mergeCell ref="B266:B270"/>
    <mergeCell ref="H266:H270"/>
    <mergeCell ref="K266:K270"/>
    <mergeCell ref="L266:L270"/>
    <mergeCell ref="M266:M270"/>
    <mergeCell ref="L256:L260"/>
    <mergeCell ref="M256:M260"/>
    <mergeCell ref="A261:A265"/>
    <mergeCell ref="B261:B265"/>
    <mergeCell ref="H261:H265"/>
    <mergeCell ref="I261:I265"/>
    <mergeCell ref="J261:J265"/>
    <mergeCell ref="K261:K265"/>
    <mergeCell ref="L261:L265"/>
    <mergeCell ref="M261:M265"/>
    <mergeCell ref="A256:A260"/>
    <mergeCell ref="B256:B260"/>
    <mergeCell ref="H256:H260"/>
    <mergeCell ref="I256:I260"/>
    <mergeCell ref="J256:J260"/>
    <mergeCell ref="K256:K260"/>
    <mergeCell ref="A251:A255"/>
    <mergeCell ref="B251:B255"/>
    <mergeCell ref="H251:H255"/>
    <mergeCell ref="K251:K255"/>
    <mergeCell ref="L251:L255"/>
    <mergeCell ref="M251:M255"/>
    <mergeCell ref="L241:L245"/>
    <mergeCell ref="M241:M245"/>
    <mergeCell ref="A246:A250"/>
    <mergeCell ref="B246:B250"/>
    <mergeCell ref="H246:H250"/>
    <mergeCell ref="I246:I250"/>
    <mergeCell ref="J246:J250"/>
    <mergeCell ref="K246:K250"/>
    <mergeCell ref="L246:L250"/>
    <mergeCell ref="M246:M250"/>
    <mergeCell ref="A241:A245"/>
    <mergeCell ref="B241:B245"/>
    <mergeCell ref="H241:H245"/>
    <mergeCell ref="I241:I245"/>
    <mergeCell ref="J241:J245"/>
    <mergeCell ref="K241:K245"/>
    <mergeCell ref="M231:M235"/>
    <mergeCell ref="A236:A240"/>
    <mergeCell ref="B236:B240"/>
    <mergeCell ref="H236:H240"/>
    <mergeCell ref="I236:I240"/>
    <mergeCell ref="J236:J240"/>
    <mergeCell ref="K236:K240"/>
    <mergeCell ref="L236:L240"/>
    <mergeCell ref="M236:M240"/>
    <mergeCell ref="L226:L230"/>
    <mergeCell ref="A231:A235"/>
    <mergeCell ref="B231:B235"/>
    <mergeCell ref="H231:H235"/>
    <mergeCell ref="K231:K235"/>
    <mergeCell ref="L231:L235"/>
    <mergeCell ref="A221:A225"/>
    <mergeCell ref="B221:B225"/>
    <mergeCell ref="H221:H225"/>
    <mergeCell ref="K221:K225"/>
    <mergeCell ref="A226:A230"/>
    <mergeCell ref="B226:B230"/>
    <mergeCell ref="H226:H230"/>
    <mergeCell ref="I226:I230"/>
    <mergeCell ref="J226:J230"/>
    <mergeCell ref="K226:K230"/>
    <mergeCell ref="L211:L215"/>
    <mergeCell ref="M211:M215"/>
    <mergeCell ref="A216:A220"/>
    <mergeCell ref="B216:B220"/>
    <mergeCell ref="H216:H220"/>
    <mergeCell ref="I216:I220"/>
    <mergeCell ref="J216:J220"/>
    <mergeCell ref="K216:K220"/>
    <mergeCell ref="L216:L220"/>
    <mergeCell ref="M216:M220"/>
    <mergeCell ref="A211:A215"/>
    <mergeCell ref="B211:B215"/>
    <mergeCell ref="H211:H215"/>
    <mergeCell ref="I211:I215"/>
    <mergeCell ref="J211:J215"/>
    <mergeCell ref="K211:K215"/>
    <mergeCell ref="L201:L205"/>
    <mergeCell ref="M201:M205"/>
    <mergeCell ref="A206:A210"/>
    <mergeCell ref="B206:B210"/>
    <mergeCell ref="H206:H210"/>
    <mergeCell ref="I206:I210"/>
    <mergeCell ref="J206:J210"/>
    <mergeCell ref="K206:K210"/>
    <mergeCell ref="L206:L210"/>
    <mergeCell ref="M206:M210"/>
    <mergeCell ref="A201:A205"/>
    <mergeCell ref="B201:B205"/>
    <mergeCell ref="H201:H205"/>
    <mergeCell ref="I201:I205"/>
    <mergeCell ref="J201:J205"/>
    <mergeCell ref="K201:K205"/>
    <mergeCell ref="L191:L195"/>
    <mergeCell ref="M191:M195"/>
    <mergeCell ref="A196:A200"/>
    <mergeCell ref="B196:B200"/>
    <mergeCell ref="H196:H200"/>
    <mergeCell ref="K196:K200"/>
    <mergeCell ref="A191:A195"/>
    <mergeCell ref="B191:B195"/>
    <mergeCell ref="H191:H195"/>
    <mergeCell ref="I191:I195"/>
    <mergeCell ref="J191:J195"/>
    <mergeCell ref="K191:K195"/>
    <mergeCell ref="A186:A190"/>
    <mergeCell ref="B186:B190"/>
    <mergeCell ref="H186:H190"/>
    <mergeCell ref="K186:K190"/>
    <mergeCell ref="L186:L190"/>
    <mergeCell ref="M186:M190"/>
    <mergeCell ref="A181:A185"/>
    <mergeCell ref="B181:B185"/>
    <mergeCell ref="H181:H185"/>
    <mergeCell ref="K181:K185"/>
    <mergeCell ref="L181:L185"/>
    <mergeCell ref="M181:M185"/>
    <mergeCell ref="L171:L175"/>
    <mergeCell ref="M171:M175"/>
    <mergeCell ref="A176:A180"/>
    <mergeCell ref="B176:B180"/>
    <mergeCell ref="H176:H180"/>
    <mergeCell ref="I176:I180"/>
    <mergeCell ref="J176:J180"/>
    <mergeCell ref="K176:K180"/>
    <mergeCell ref="L176:L180"/>
    <mergeCell ref="M176:M180"/>
    <mergeCell ref="A171:A175"/>
    <mergeCell ref="B171:B175"/>
    <mergeCell ref="H171:H175"/>
    <mergeCell ref="I171:I175"/>
    <mergeCell ref="J171:J175"/>
    <mergeCell ref="K171:K175"/>
    <mergeCell ref="A166:A170"/>
    <mergeCell ref="B166:B170"/>
    <mergeCell ref="H166:H170"/>
    <mergeCell ref="K166:K170"/>
    <mergeCell ref="L166:L170"/>
    <mergeCell ref="M166:M170"/>
    <mergeCell ref="L156:L160"/>
    <mergeCell ref="M156:M160"/>
    <mergeCell ref="A161:A165"/>
    <mergeCell ref="B161:B165"/>
    <mergeCell ref="H161:H165"/>
    <mergeCell ref="I161:I165"/>
    <mergeCell ref="J161:J165"/>
    <mergeCell ref="K161:K165"/>
    <mergeCell ref="L161:L165"/>
    <mergeCell ref="M161:M165"/>
    <mergeCell ref="A156:A160"/>
    <mergeCell ref="B156:B160"/>
    <mergeCell ref="H156:H160"/>
    <mergeCell ref="I156:I160"/>
    <mergeCell ref="J156:J160"/>
    <mergeCell ref="K156:K160"/>
    <mergeCell ref="A151:A155"/>
    <mergeCell ref="B151:B155"/>
    <mergeCell ref="H151:H155"/>
    <mergeCell ref="K151:K155"/>
    <mergeCell ref="L151:L155"/>
    <mergeCell ref="M151:M155"/>
    <mergeCell ref="L141:L145"/>
    <mergeCell ref="M141:M145"/>
    <mergeCell ref="A146:A150"/>
    <mergeCell ref="B146:B150"/>
    <mergeCell ref="H146:H150"/>
    <mergeCell ref="I146:I150"/>
    <mergeCell ref="J146:J150"/>
    <mergeCell ref="K146:K150"/>
    <mergeCell ref="L146:L150"/>
    <mergeCell ref="M146:M150"/>
    <mergeCell ref="A141:A145"/>
    <mergeCell ref="B141:B145"/>
    <mergeCell ref="H141:H145"/>
    <mergeCell ref="I141:I145"/>
    <mergeCell ref="J141:J145"/>
    <mergeCell ref="K141:K145"/>
    <mergeCell ref="L131:L135"/>
    <mergeCell ref="M131:M135"/>
    <mergeCell ref="A136:A140"/>
    <mergeCell ref="B136:B140"/>
    <mergeCell ref="H136:H140"/>
    <mergeCell ref="I136:I140"/>
    <mergeCell ref="J136:J140"/>
    <mergeCell ref="K136:K140"/>
    <mergeCell ref="L136:L140"/>
    <mergeCell ref="M136:M140"/>
    <mergeCell ref="A131:A135"/>
    <mergeCell ref="B131:B135"/>
    <mergeCell ref="H131:H135"/>
    <mergeCell ref="I131:I135"/>
    <mergeCell ref="J131:J135"/>
    <mergeCell ref="K131:K135"/>
    <mergeCell ref="L121:L125"/>
    <mergeCell ref="M121:M125"/>
    <mergeCell ref="A126:A130"/>
    <mergeCell ref="B126:B130"/>
    <mergeCell ref="H126:H130"/>
    <mergeCell ref="I126:I130"/>
    <mergeCell ref="J126:J130"/>
    <mergeCell ref="K126:K130"/>
    <mergeCell ref="M126:M130"/>
    <mergeCell ref="A121:A125"/>
    <mergeCell ref="B121:B125"/>
    <mergeCell ref="H121:H125"/>
    <mergeCell ref="I121:I125"/>
    <mergeCell ref="J121:J125"/>
    <mergeCell ref="K121:K125"/>
    <mergeCell ref="L111:L115"/>
    <mergeCell ref="M111:M115"/>
    <mergeCell ref="A116:A120"/>
    <mergeCell ref="B116:B120"/>
    <mergeCell ref="H116:H120"/>
    <mergeCell ref="I116:I120"/>
    <mergeCell ref="J116:J120"/>
    <mergeCell ref="K116:K120"/>
    <mergeCell ref="L116:L120"/>
    <mergeCell ref="M116:M120"/>
    <mergeCell ref="A111:A115"/>
    <mergeCell ref="B111:B115"/>
    <mergeCell ref="H111:H115"/>
    <mergeCell ref="I111:I115"/>
    <mergeCell ref="J111:J115"/>
    <mergeCell ref="K111:K115"/>
    <mergeCell ref="L101:L105"/>
    <mergeCell ref="M101:M105"/>
    <mergeCell ref="A106:A110"/>
    <mergeCell ref="B106:B110"/>
    <mergeCell ref="H106:H110"/>
    <mergeCell ref="I106:I110"/>
    <mergeCell ref="J106:J110"/>
    <mergeCell ref="K106:K110"/>
    <mergeCell ref="L106:L110"/>
    <mergeCell ref="M106:M110"/>
    <mergeCell ref="A101:A105"/>
    <mergeCell ref="B101:B105"/>
    <mergeCell ref="H101:H105"/>
    <mergeCell ref="I101:I105"/>
    <mergeCell ref="J101:J105"/>
    <mergeCell ref="K101:K105"/>
    <mergeCell ref="A96:A100"/>
    <mergeCell ref="B96:B100"/>
    <mergeCell ref="H96:H100"/>
    <mergeCell ref="K96:K100"/>
    <mergeCell ref="L96:L100"/>
    <mergeCell ref="M96:M100"/>
    <mergeCell ref="A91:A95"/>
    <mergeCell ref="B91:B95"/>
    <mergeCell ref="H91:H95"/>
    <mergeCell ref="K91:K95"/>
    <mergeCell ref="L91:L95"/>
    <mergeCell ref="M91:M95"/>
    <mergeCell ref="L81:L85"/>
    <mergeCell ref="M81:M85"/>
    <mergeCell ref="A86:A90"/>
    <mergeCell ref="B86:B90"/>
    <mergeCell ref="H86:H90"/>
    <mergeCell ref="I86:I90"/>
    <mergeCell ref="J86:J90"/>
    <mergeCell ref="K86:K90"/>
    <mergeCell ref="L86:L90"/>
    <mergeCell ref="M86:M90"/>
    <mergeCell ref="A81:A85"/>
    <mergeCell ref="B81:B85"/>
    <mergeCell ref="H81:H85"/>
    <mergeCell ref="I81:I85"/>
    <mergeCell ref="J81:J85"/>
    <mergeCell ref="K81:K85"/>
    <mergeCell ref="L71:L75"/>
    <mergeCell ref="M71:M75"/>
    <mergeCell ref="A76:A80"/>
    <mergeCell ref="B76:B80"/>
    <mergeCell ref="H76:H80"/>
    <mergeCell ref="K76:K80"/>
    <mergeCell ref="L76:L80"/>
    <mergeCell ref="M76:M80"/>
    <mergeCell ref="A71:A75"/>
    <mergeCell ref="B71:B75"/>
    <mergeCell ref="H71:H75"/>
    <mergeCell ref="I71:I75"/>
    <mergeCell ref="J71:J75"/>
    <mergeCell ref="K71:K75"/>
    <mergeCell ref="L61:L65"/>
    <mergeCell ref="M61:M65"/>
    <mergeCell ref="A66:A70"/>
    <mergeCell ref="B66:B70"/>
    <mergeCell ref="H66:H70"/>
    <mergeCell ref="I66:I70"/>
    <mergeCell ref="J66:J70"/>
    <mergeCell ref="K66:K70"/>
    <mergeCell ref="L66:L70"/>
    <mergeCell ref="M66:M70"/>
    <mergeCell ref="A61:A65"/>
    <mergeCell ref="B61:B65"/>
    <mergeCell ref="H61:H65"/>
    <mergeCell ref="I61:I65"/>
    <mergeCell ref="J61:J65"/>
    <mergeCell ref="K61:K65"/>
    <mergeCell ref="L51:L55"/>
    <mergeCell ref="M51:M55"/>
    <mergeCell ref="A56:A60"/>
    <mergeCell ref="B56:B60"/>
    <mergeCell ref="H56:H60"/>
    <mergeCell ref="I56:I60"/>
    <mergeCell ref="J56:J60"/>
    <mergeCell ref="K56:K60"/>
    <mergeCell ref="L56:L60"/>
    <mergeCell ref="M56:M60"/>
    <mergeCell ref="A51:A55"/>
    <mergeCell ref="B51:B55"/>
    <mergeCell ref="H51:H55"/>
    <mergeCell ref="I51:I55"/>
    <mergeCell ref="J51:J55"/>
    <mergeCell ref="K51:K55"/>
    <mergeCell ref="L41:L45"/>
    <mergeCell ref="M41:M45"/>
    <mergeCell ref="A46:A50"/>
    <mergeCell ref="B46:B50"/>
    <mergeCell ref="H46:H50"/>
    <mergeCell ref="I46:I50"/>
    <mergeCell ref="J46:J50"/>
    <mergeCell ref="K46:K50"/>
    <mergeCell ref="L46:L50"/>
    <mergeCell ref="M46:M50"/>
    <mergeCell ref="A41:A45"/>
    <mergeCell ref="B41:B45"/>
    <mergeCell ref="H41:H45"/>
    <mergeCell ref="I41:I45"/>
    <mergeCell ref="J41:J45"/>
    <mergeCell ref="K41:K45"/>
    <mergeCell ref="L31:L35"/>
    <mergeCell ref="M31:M35"/>
    <mergeCell ref="A36:A40"/>
    <mergeCell ref="B36:B40"/>
    <mergeCell ref="H36:H40"/>
    <mergeCell ref="I36:I40"/>
    <mergeCell ref="J36:J40"/>
    <mergeCell ref="K36:K40"/>
    <mergeCell ref="L36:L40"/>
    <mergeCell ref="M36:M40"/>
    <mergeCell ref="A31:A35"/>
    <mergeCell ref="B31:B35"/>
    <mergeCell ref="H31:H35"/>
    <mergeCell ref="I31:I35"/>
    <mergeCell ref="J31:J35"/>
    <mergeCell ref="K31:K35"/>
    <mergeCell ref="A26:A30"/>
    <mergeCell ref="B26:B30"/>
    <mergeCell ref="H26:H30"/>
    <mergeCell ref="K26:K30"/>
    <mergeCell ref="L26:L30"/>
    <mergeCell ref="M26:M30"/>
    <mergeCell ref="A21:A25"/>
    <mergeCell ref="B21:B25"/>
    <mergeCell ref="H21:H25"/>
    <mergeCell ref="K21:K25"/>
    <mergeCell ref="L21:L25"/>
    <mergeCell ref="M21:M25"/>
    <mergeCell ref="A16:A20"/>
    <mergeCell ref="B16:B20"/>
    <mergeCell ref="H16:H20"/>
    <mergeCell ref="K16:K20"/>
    <mergeCell ref="L16:L20"/>
    <mergeCell ref="M16:M20"/>
    <mergeCell ref="A11:A15"/>
    <mergeCell ref="B11:B15"/>
    <mergeCell ref="H11:H15"/>
    <mergeCell ref="K11:K15"/>
    <mergeCell ref="L11:L15"/>
    <mergeCell ref="M11:M15"/>
    <mergeCell ref="A6:A10"/>
    <mergeCell ref="B6:B10"/>
    <mergeCell ref="H6:H10"/>
    <mergeCell ref="K6:K10"/>
    <mergeCell ref="L6:L10"/>
    <mergeCell ref="M6:M10"/>
    <mergeCell ref="A3:M3"/>
    <mergeCell ref="A4:A5"/>
    <mergeCell ref="B4:B5"/>
    <mergeCell ref="C4:G4"/>
    <mergeCell ref="H4:J4"/>
    <mergeCell ref="K4:K5"/>
    <mergeCell ref="L4:L5"/>
    <mergeCell ref="M4:M5"/>
  </mergeCells>
  <pageMargins left="0.23622047244094491" right="0" top="0.74803149606299213" bottom="0.59055118110236227" header="0" footer="0"/>
  <pageSetup paperSize="8" scale="76" fitToHeight="0" orientation="landscape" r:id="rId1"/>
  <rowBreaks count="3" manualBreakCount="3">
    <brk id="25" max="16383" man="1"/>
    <brk id="115" max="16383" man="1"/>
    <brk id="185"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276"/>
  <sheetViews>
    <sheetView showGridLines="0" workbookViewId="0">
      <pane ySplit="5" topLeftCell="A6" activePane="bottomLeft" state="frozen"/>
      <selection pane="bottomLeft" activeCell="P203" sqref="P203"/>
    </sheetView>
  </sheetViews>
  <sheetFormatPr defaultColWidth="9.42578125" defaultRowHeight="15" outlineLevelRow="5"/>
  <cols>
    <col min="1" max="1" width="5" style="426" customWidth="1"/>
    <col min="2" max="2" width="5.85546875" style="426" customWidth="1"/>
    <col min="3" max="3" width="8.85546875" style="426" customWidth="1"/>
    <col min="4" max="4" width="5" style="426" customWidth="1"/>
    <col min="5" max="6" width="8" style="426" customWidth="1"/>
    <col min="7" max="7" width="30.5703125" style="426" customWidth="1"/>
    <col min="8" max="8" width="8" style="426" customWidth="1"/>
    <col min="9" max="10" width="13.28515625" style="426" hidden="1" customWidth="1"/>
    <col min="11" max="11" width="15.28515625" style="426" customWidth="1"/>
    <col min="12" max="13" width="13.28515625" style="426" hidden="1" customWidth="1"/>
    <col min="14" max="14" width="15.7109375" style="426" customWidth="1"/>
    <col min="15" max="15" width="15.140625" style="426" customWidth="1"/>
    <col min="16" max="16" width="15.28515625" style="426" customWidth="1"/>
    <col min="17" max="17" width="15" style="426" customWidth="1"/>
    <col min="18" max="18" width="12.42578125" style="426" bestFit="1" customWidth="1"/>
    <col min="19" max="16384" width="9.42578125" style="426"/>
  </cols>
  <sheetData>
    <row r="1" spans="1:18" ht="15.95" customHeight="1">
      <c r="A1" s="1195" t="s">
        <v>873</v>
      </c>
      <c r="B1" s="1196"/>
      <c r="C1" s="1196"/>
      <c r="D1" s="1196"/>
      <c r="E1" s="1196"/>
      <c r="F1" s="1196"/>
      <c r="G1" s="1196"/>
      <c r="H1" s="1196"/>
      <c r="I1" s="1196"/>
      <c r="J1" s="1196"/>
      <c r="K1" s="1196"/>
      <c r="L1" s="1196"/>
      <c r="M1" s="1196"/>
      <c r="N1" s="1196"/>
      <c r="O1" s="1196"/>
      <c r="P1" s="1196"/>
      <c r="Q1" s="1196"/>
    </row>
    <row r="2" spans="1:18" ht="15.95" customHeight="1">
      <c r="A2" s="1195" t="s">
        <v>874</v>
      </c>
      <c r="B2" s="1196"/>
      <c r="C2" s="1196"/>
      <c r="D2" s="1196"/>
      <c r="E2" s="1196"/>
      <c r="F2" s="1196"/>
      <c r="G2" s="1196"/>
      <c r="H2" s="1196"/>
      <c r="I2" s="1196"/>
      <c r="J2" s="1196"/>
      <c r="K2" s="1196"/>
      <c r="L2" s="1196"/>
      <c r="M2" s="1196"/>
      <c r="N2" s="1196"/>
      <c r="O2" s="1196"/>
      <c r="P2" s="1196"/>
      <c r="Q2" s="1196"/>
    </row>
    <row r="3" spans="1:18" ht="15.2" customHeight="1">
      <c r="A3" s="1197" t="s">
        <v>875</v>
      </c>
      <c r="B3" s="1198"/>
      <c r="C3" s="1198"/>
      <c r="D3" s="1198"/>
      <c r="E3" s="1198"/>
      <c r="F3" s="1198"/>
      <c r="G3" s="1198"/>
      <c r="H3" s="1198"/>
      <c r="I3" s="1198"/>
      <c r="J3" s="1198"/>
      <c r="K3" s="1198"/>
      <c r="L3" s="1198"/>
      <c r="M3" s="1198"/>
      <c r="N3" s="1198"/>
      <c r="O3" s="1198"/>
      <c r="P3" s="1198"/>
      <c r="Q3" s="1198"/>
    </row>
    <row r="4" spans="1:18" ht="51">
      <c r="A4" s="427" t="s">
        <v>876</v>
      </c>
      <c r="B4" s="428" t="s">
        <v>877</v>
      </c>
      <c r="C4" s="428" t="s">
        <v>878</v>
      </c>
      <c r="D4" s="428" t="s">
        <v>879</v>
      </c>
      <c r="E4" s="428" t="s">
        <v>880</v>
      </c>
      <c r="F4" s="428" t="s">
        <v>881</v>
      </c>
      <c r="G4" s="428" t="s">
        <v>882</v>
      </c>
      <c r="H4" s="428" t="s">
        <v>26</v>
      </c>
      <c r="I4" s="428" t="s">
        <v>883</v>
      </c>
      <c r="J4" s="428" t="s">
        <v>884</v>
      </c>
      <c r="K4" s="428" t="s">
        <v>885</v>
      </c>
      <c r="L4" s="428" t="s">
        <v>886</v>
      </c>
      <c r="M4" s="428" t="s">
        <v>887</v>
      </c>
      <c r="N4" s="428" t="s">
        <v>888</v>
      </c>
      <c r="O4" s="428" t="s">
        <v>889</v>
      </c>
      <c r="P4" s="428" t="s">
        <v>890</v>
      </c>
      <c r="Q4" s="429" t="s">
        <v>891</v>
      </c>
    </row>
    <row r="5" spans="1:18">
      <c r="A5" s="430" t="s">
        <v>240</v>
      </c>
      <c r="B5" s="431" t="s">
        <v>892</v>
      </c>
      <c r="C5" s="431" t="s">
        <v>381</v>
      </c>
      <c r="D5" s="431" t="s">
        <v>590</v>
      </c>
      <c r="E5" s="431" t="s">
        <v>893</v>
      </c>
      <c r="F5" s="431" t="s">
        <v>894</v>
      </c>
      <c r="G5" s="431" t="s">
        <v>895</v>
      </c>
      <c r="H5" s="431" t="s">
        <v>896</v>
      </c>
      <c r="I5" s="431" t="s">
        <v>897</v>
      </c>
      <c r="J5" s="431" t="s">
        <v>898</v>
      </c>
      <c r="K5" s="431" t="s">
        <v>899</v>
      </c>
      <c r="L5" s="431" t="s">
        <v>900</v>
      </c>
      <c r="M5" s="431" t="s">
        <v>901</v>
      </c>
      <c r="N5" s="431" t="s">
        <v>902</v>
      </c>
      <c r="O5" s="431" t="s">
        <v>903</v>
      </c>
      <c r="P5" s="431" t="s">
        <v>904</v>
      </c>
      <c r="Q5" s="432" t="s">
        <v>905</v>
      </c>
    </row>
    <row r="6" spans="1:18" ht="15.75" thickBot="1">
      <c r="A6" s="433" t="s">
        <v>906</v>
      </c>
      <c r="B6" s="434"/>
      <c r="C6" s="434"/>
      <c r="D6" s="434"/>
      <c r="E6" s="434"/>
      <c r="F6" s="434"/>
      <c r="G6" s="435"/>
      <c r="H6" s="434"/>
      <c r="I6" s="436">
        <v>2075851848.29</v>
      </c>
      <c r="J6" s="436">
        <v>22198902.149999999</v>
      </c>
      <c r="K6" s="436">
        <v>2098050750.4400001</v>
      </c>
      <c r="L6" s="436">
        <v>336783793.02999997</v>
      </c>
      <c r="M6" s="436">
        <v>1932657219.03</v>
      </c>
      <c r="N6" s="436">
        <v>2097606229.45</v>
      </c>
      <c r="O6" s="436">
        <v>2084979707.0799999</v>
      </c>
      <c r="P6" s="436">
        <v>2084859573.78</v>
      </c>
      <c r="Q6" s="437">
        <v>13071043.359999999</v>
      </c>
      <c r="R6" s="438">
        <f>P6/K6*100</f>
        <v>99.371265129919578</v>
      </c>
    </row>
    <row r="7" spans="1:18" outlineLevel="1">
      <c r="A7" s="439" t="s">
        <v>906</v>
      </c>
      <c r="B7" s="440" t="s">
        <v>907</v>
      </c>
      <c r="C7" s="440"/>
      <c r="D7" s="440"/>
      <c r="E7" s="440"/>
      <c r="F7" s="440"/>
      <c r="G7" s="441"/>
      <c r="H7" s="440"/>
      <c r="I7" s="442">
        <v>459767156.95999998</v>
      </c>
      <c r="J7" s="442">
        <v>-4900777.22</v>
      </c>
      <c r="K7" s="442">
        <v>454866379.74000001</v>
      </c>
      <c r="L7" s="442">
        <v>240293937.53999999</v>
      </c>
      <c r="M7" s="442">
        <v>344777731.81999999</v>
      </c>
      <c r="N7" s="442">
        <v>454636886.75</v>
      </c>
      <c r="O7" s="442">
        <v>444946933.23000002</v>
      </c>
      <c r="P7" s="442">
        <v>444946933.23000002</v>
      </c>
      <c r="Q7" s="443">
        <v>9919446.5099999998</v>
      </c>
    </row>
    <row r="8" spans="1:18" outlineLevel="2">
      <c r="A8" s="444" t="s">
        <v>906</v>
      </c>
      <c r="B8" s="445" t="s">
        <v>907</v>
      </c>
      <c r="C8" s="445" t="s">
        <v>908</v>
      </c>
      <c r="D8" s="445"/>
      <c r="E8" s="445"/>
      <c r="F8" s="445"/>
      <c r="G8" s="446"/>
      <c r="H8" s="445"/>
      <c r="I8" s="447">
        <v>2368000</v>
      </c>
      <c r="J8" s="447">
        <v>-2368000</v>
      </c>
      <c r="K8" s="447">
        <v>0</v>
      </c>
      <c r="L8" s="447">
        <v>0</v>
      </c>
      <c r="M8" s="447">
        <v>0</v>
      </c>
      <c r="N8" s="447">
        <v>0</v>
      </c>
      <c r="O8" s="447">
        <v>0</v>
      </c>
      <c r="P8" s="447">
        <v>0</v>
      </c>
      <c r="Q8" s="448">
        <v>0</v>
      </c>
    </row>
    <row r="9" spans="1:18" outlineLevel="3">
      <c r="A9" s="449" t="s">
        <v>906</v>
      </c>
      <c r="B9" s="450" t="s">
        <v>907</v>
      </c>
      <c r="C9" s="450" t="s">
        <v>908</v>
      </c>
      <c r="D9" s="450" t="s">
        <v>909</v>
      </c>
      <c r="E9" s="450"/>
      <c r="F9" s="450"/>
      <c r="G9" s="451"/>
      <c r="H9" s="450"/>
      <c r="I9" s="452">
        <v>2368000</v>
      </c>
      <c r="J9" s="452">
        <v>-2368000</v>
      </c>
      <c r="K9" s="452">
        <v>0</v>
      </c>
      <c r="L9" s="452">
        <v>0</v>
      </c>
      <c r="M9" s="452">
        <v>0</v>
      </c>
      <c r="N9" s="452">
        <v>0</v>
      </c>
      <c r="O9" s="452">
        <v>0</v>
      </c>
      <c r="P9" s="452">
        <v>0</v>
      </c>
      <c r="Q9" s="453">
        <v>0</v>
      </c>
    </row>
    <row r="10" spans="1:18" outlineLevel="4">
      <c r="A10" s="454" t="s">
        <v>906</v>
      </c>
      <c r="B10" s="455" t="s">
        <v>907</v>
      </c>
      <c r="C10" s="455" t="s">
        <v>908</v>
      </c>
      <c r="D10" s="455" t="s">
        <v>909</v>
      </c>
      <c r="E10" s="455" t="s">
        <v>910</v>
      </c>
      <c r="F10" s="455"/>
      <c r="G10" s="456"/>
      <c r="H10" s="455"/>
      <c r="I10" s="457">
        <v>2368000</v>
      </c>
      <c r="J10" s="457">
        <v>-2368000</v>
      </c>
      <c r="K10" s="457">
        <v>0</v>
      </c>
      <c r="L10" s="457">
        <v>0</v>
      </c>
      <c r="M10" s="457">
        <v>0</v>
      </c>
      <c r="N10" s="457">
        <v>0</v>
      </c>
      <c r="O10" s="457">
        <v>0</v>
      </c>
      <c r="P10" s="457">
        <v>0</v>
      </c>
      <c r="Q10" s="458">
        <v>0</v>
      </c>
    </row>
    <row r="11" spans="1:18" ht="76.5" outlineLevel="5">
      <c r="A11" s="459" t="s">
        <v>906</v>
      </c>
      <c r="B11" s="460" t="s">
        <v>907</v>
      </c>
      <c r="C11" s="460" t="s">
        <v>908</v>
      </c>
      <c r="D11" s="460" t="s">
        <v>909</v>
      </c>
      <c r="E11" s="460" t="s">
        <v>910</v>
      </c>
      <c r="F11" s="460" t="s">
        <v>911</v>
      </c>
      <c r="G11" s="461" t="s">
        <v>256</v>
      </c>
      <c r="H11" s="460" t="s">
        <v>912</v>
      </c>
      <c r="I11" s="462">
        <v>2368000</v>
      </c>
      <c r="J11" s="462">
        <v>-2368000</v>
      </c>
      <c r="K11" s="462">
        <v>0</v>
      </c>
      <c r="L11" s="462">
        <v>0</v>
      </c>
      <c r="M11" s="462">
        <v>0</v>
      </c>
      <c r="N11" s="462">
        <v>0</v>
      </c>
      <c r="O11" s="462">
        <v>0</v>
      </c>
      <c r="P11" s="462">
        <v>0</v>
      </c>
      <c r="Q11" s="463">
        <v>0</v>
      </c>
    </row>
    <row r="12" spans="1:18" outlineLevel="2">
      <c r="A12" s="444" t="s">
        <v>906</v>
      </c>
      <c r="B12" s="445" t="s">
        <v>907</v>
      </c>
      <c r="C12" s="445" t="s">
        <v>913</v>
      </c>
      <c r="D12" s="445"/>
      <c r="E12" s="445"/>
      <c r="F12" s="445"/>
      <c r="G12" s="446"/>
      <c r="H12" s="445"/>
      <c r="I12" s="447">
        <v>2400000</v>
      </c>
      <c r="J12" s="447">
        <v>-925575</v>
      </c>
      <c r="K12" s="447">
        <v>1474425</v>
      </c>
      <c r="L12" s="447">
        <v>0</v>
      </c>
      <c r="M12" s="447">
        <v>1474425</v>
      </c>
      <c r="N12" s="447">
        <v>1474425</v>
      </c>
      <c r="O12" s="447">
        <v>1474425</v>
      </c>
      <c r="P12" s="447">
        <v>1474425</v>
      </c>
      <c r="Q12" s="448">
        <v>0</v>
      </c>
    </row>
    <row r="13" spans="1:18" outlineLevel="3">
      <c r="A13" s="449" t="s">
        <v>906</v>
      </c>
      <c r="B13" s="450" t="s">
        <v>907</v>
      </c>
      <c r="C13" s="450" t="s">
        <v>913</v>
      </c>
      <c r="D13" s="450" t="s">
        <v>914</v>
      </c>
      <c r="E13" s="450"/>
      <c r="F13" s="450"/>
      <c r="G13" s="451"/>
      <c r="H13" s="450"/>
      <c r="I13" s="452">
        <v>2400000</v>
      </c>
      <c r="J13" s="452">
        <v>-925575</v>
      </c>
      <c r="K13" s="452">
        <v>1474425</v>
      </c>
      <c r="L13" s="452">
        <v>0</v>
      </c>
      <c r="M13" s="452">
        <v>1474425</v>
      </c>
      <c r="N13" s="452">
        <v>1474425</v>
      </c>
      <c r="O13" s="452">
        <v>1474425</v>
      </c>
      <c r="P13" s="452">
        <v>1474425</v>
      </c>
      <c r="Q13" s="453">
        <v>0</v>
      </c>
    </row>
    <row r="14" spans="1:18" outlineLevel="4">
      <c r="A14" s="454" t="s">
        <v>906</v>
      </c>
      <c r="B14" s="455" t="s">
        <v>907</v>
      </c>
      <c r="C14" s="455" t="s">
        <v>913</v>
      </c>
      <c r="D14" s="455" t="s">
        <v>914</v>
      </c>
      <c r="E14" s="455" t="s">
        <v>910</v>
      </c>
      <c r="F14" s="455"/>
      <c r="G14" s="456"/>
      <c r="H14" s="455"/>
      <c r="I14" s="457">
        <v>2400000</v>
      </c>
      <c r="J14" s="457">
        <v>-925575</v>
      </c>
      <c r="K14" s="457">
        <v>1474425</v>
      </c>
      <c r="L14" s="457">
        <v>0</v>
      </c>
      <c r="M14" s="457">
        <v>1474425</v>
      </c>
      <c r="N14" s="457">
        <v>1474425</v>
      </c>
      <c r="O14" s="457">
        <v>1474425</v>
      </c>
      <c r="P14" s="457">
        <v>1474425</v>
      </c>
      <c r="Q14" s="458">
        <v>0</v>
      </c>
    </row>
    <row r="15" spans="1:18" ht="76.5" outlineLevel="5">
      <c r="A15" s="459" t="s">
        <v>906</v>
      </c>
      <c r="B15" s="460" t="s">
        <v>907</v>
      </c>
      <c r="C15" s="460" t="s">
        <v>913</v>
      </c>
      <c r="D15" s="460" t="s">
        <v>914</v>
      </c>
      <c r="E15" s="460" t="s">
        <v>910</v>
      </c>
      <c r="F15" s="460" t="s">
        <v>915</v>
      </c>
      <c r="G15" s="461" t="s">
        <v>916</v>
      </c>
      <c r="H15" s="460"/>
      <c r="I15" s="462">
        <v>0</v>
      </c>
      <c r="J15" s="462">
        <v>0</v>
      </c>
      <c r="K15" s="462">
        <v>0</v>
      </c>
      <c r="L15" s="462">
        <v>0</v>
      </c>
      <c r="M15" s="462">
        <v>0</v>
      </c>
      <c r="N15" s="462">
        <v>0</v>
      </c>
      <c r="O15" s="462">
        <v>0</v>
      </c>
      <c r="P15" s="462">
        <v>1774425</v>
      </c>
      <c r="Q15" s="463">
        <v>0</v>
      </c>
    </row>
    <row r="16" spans="1:18" ht="76.5" outlineLevel="5">
      <c r="A16" s="459" t="s">
        <v>906</v>
      </c>
      <c r="B16" s="460" t="s">
        <v>907</v>
      </c>
      <c r="C16" s="460" t="s">
        <v>913</v>
      </c>
      <c r="D16" s="460" t="s">
        <v>914</v>
      </c>
      <c r="E16" s="460" t="s">
        <v>910</v>
      </c>
      <c r="F16" s="460" t="s">
        <v>915</v>
      </c>
      <c r="G16" s="461" t="s">
        <v>916</v>
      </c>
      <c r="H16" s="460" t="s">
        <v>912</v>
      </c>
      <c r="I16" s="462">
        <v>2400000</v>
      </c>
      <c r="J16" s="462">
        <v>-925575</v>
      </c>
      <c r="K16" s="462">
        <v>1474425</v>
      </c>
      <c r="L16" s="462">
        <v>0</v>
      </c>
      <c r="M16" s="462">
        <v>1474425</v>
      </c>
      <c r="N16" s="462">
        <v>1474425</v>
      </c>
      <c r="O16" s="462">
        <v>1474425</v>
      </c>
      <c r="P16" s="462">
        <v>-300000</v>
      </c>
      <c r="Q16" s="463">
        <v>0</v>
      </c>
    </row>
    <row r="17" spans="1:17" outlineLevel="2">
      <c r="A17" s="444" t="s">
        <v>906</v>
      </c>
      <c r="B17" s="445" t="s">
        <v>907</v>
      </c>
      <c r="C17" s="445" t="s">
        <v>917</v>
      </c>
      <c r="D17" s="445"/>
      <c r="E17" s="445"/>
      <c r="F17" s="445"/>
      <c r="G17" s="446"/>
      <c r="H17" s="445"/>
      <c r="I17" s="447">
        <v>115788593.58</v>
      </c>
      <c r="J17" s="447">
        <v>15505500</v>
      </c>
      <c r="K17" s="447">
        <v>131294093.58</v>
      </c>
      <c r="L17" s="447">
        <v>0</v>
      </c>
      <c r="M17" s="447">
        <v>131294093.58</v>
      </c>
      <c r="N17" s="447">
        <v>131294093.58</v>
      </c>
      <c r="O17" s="447">
        <v>130114783.58</v>
      </c>
      <c r="P17" s="447">
        <v>130114783.58</v>
      </c>
      <c r="Q17" s="448">
        <v>1179310</v>
      </c>
    </row>
    <row r="18" spans="1:17" outlineLevel="3">
      <c r="A18" s="449" t="s">
        <v>906</v>
      </c>
      <c r="B18" s="450" t="s">
        <v>907</v>
      </c>
      <c r="C18" s="450" t="s">
        <v>917</v>
      </c>
      <c r="D18" s="450" t="s">
        <v>918</v>
      </c>
      <c r="E18" s="450"/>
      <c r="F18" s="450"/>
      <c r="G18" s="451"/>
      <c r="H18" s="450"/>
      <c r="I18" s="452">
        <v>115788593.58</v>
      </c>
      <c r="J18" s="452">
        <v>15505500</v>
      </c>
      <c r="K18" s="452">
        <v>131294093.58</v>
      </c>
      <c r="L18" s="452">
        <v>0</v>
      </c>
      <c r="M18" s="452">
        <v>131294093.58</v>
      </c>
      <c r="N18" s="452">
        <v>131294093.58</v>
      </c>
      <c r="O18" s="452">
        <v>130114783.58</v>
      </c>
      <c r="P18" s="452">
        <v>130114783.58</v>
      </c>
      <c r="Q18" s="453">
        <v>1179310</v>
      </c>
    </row>
    <row r="19" spans="1:17" outlineLevel="4">
      <c r="A19" s="454" t="s">
        <v>906</v>
      </c>
      <c r="B19" s="455" t="s">
        <v>907</v>
      </c>
      <c r="C19" s="455" t="s">
        <v>917</v>
      </c>
      <c r="D19" s="455" t="s">
        <v>918</v>
      </c>
      <c r="E19" s="455" t="s">
        <v>910</v>
      </c>
      <c r="F19" s="455"/>
      <c r="G19" s="456"/>
      <c r="H19" s="455"/>
      <c r="I19" s="457">
        <v>115788593.58</v>
      </c>
      <c r="J19" s="457">
        <v>15505500</v>
      </c>
      <c r="K19" s="457">
        <v>131294093.58</v>
      </c>
      <c r="L19" s="457">
        <v>0</v>
      </c>
      <c r="M19" s="457">
        <v>131294093.58</v>
      </c>
      <c r="N19" s="457">
        <v>131294093.58</v>
      </c>
      <c r="O19" s="457">
        <v>130114783.58</v>
      </c>
      <c r="P19" s="457">
        <v>130114783.58</v>
      </c>
      <c r="Q19" s="458">
        <v>1179310</v>
      </c>
    </row>
    <row r="20" spans="1:17" ht="165.75" outlineLevel="5">
      <c r="A20" s="459" t="s">
        <v>906</v>
      </c>
      <c r="B20" s="460" t="s">
        <v>907</v>
      </c>
      <c r="C20" s="460" t="s">
        <v>917</v>
      </c>
      <c r="D20" s="460" t="s">
        <v>918</v>
      </c>
      <c r="E20" s="460" t="s">
        <v>910</v>
      </c>
      <c r="F20" s="460" t="s">
        <v>919</v>
      </c>
      <c r="G20" s="461" t="s">
        <v>920</v>
      </c>
      <c r="H20" s="460"/>
      <c r="I20" s="462">
        <v>0</v>
      </c>
      <c r="J20" s="462">
        <v>0</v>
      </c>
      <c r="K20" s="462">
        <v>0</v>
      </c>
      <c r="L20" s="462">
        <v>0</v>
      </c>
      <c r="M20" s="462">
        <v>0</v>
      </c>
      <c r="N20" s="462">
        <v>0</v>
      </c>
      <c r="O20" s="462">
        <v>0</v>
      </c>
      <c r="P20" s="462">
        <v>45382377.07</v>
      </c>
      <c r="Q20" s="463">
        <v>0</v>
      </c>
    </row>
    <row r="21" spans="1:17" ht="165.75" outlineLevel="5">
      <c r="A21" s="459" t="s">
        <v>906</v>
      </c>
      <c r="B21" s="460" t="s">
        <v>907</v>
      </c>
      <c r="C21" s="460" t="s">
        <v>917</v>
      </c>
      <c r="D21" s="460" t="s">
        <v>918</v>
      </c>
      <c r="E21" s="460" t="s">
        <v>910</v>
      </c>
      <c r="F21" s="460" t="s">
        <v>919</v>
      </c>
      <c r="G21" s="461" t="s">
        <v>920</v>
      </c>
      <c r="H21" s="460" t="s">
        <v>912</v>
      </c>
      <c r="I21" s="462">
        <v>115788593.58</v>
      </c>
      <c r="J21" s="462">
        <v>15505500</v>
      </c>
      <c r="K21" s="462">
        <v>131294093.58</v>
      </c>
      <c r="L21" s="462">
        <v>0</v>
      </c>
      <c r="M21" s="462">
        <v>131294093.58</v>
      </c>
      <c r="N21" s="462">
        <v>131294093.58</v>
      </c>
      <c r="O21" s="462">
        <v>130114783.58</v>
      </c>
      <c r="P21" s="462">
        <v>84732406.510000005</v>
      </c>
      <c r="Q21" s="463">
        <v>1179310</v>
      </c>
    </row>
    <row r="22" spans="1:17" outlineLevel="2">
      <c r="A22" s="444" t="s">
        <v>906</v>
      </c>
      <c r="B22" s="445" t="s">
        <v>907</v>
      </c>
      <c r="C22" s="445" t="s">
        <v>921</v>
      </c>
      <c r="D22" s="445"/>
      <c r="E22" s="445"/>
      <c r="F22" s="445"/>
      <c r="G22" s="446"/>
      <c r="H22" s="445"/>
      <c r="I22" s="447">
        <v>0</v>
      </c>
      <c r="J22" s="447">
        <v>29200000</v>
      </c>
      <c r="K22" s="447">
        <v>29200000</v>
      </c>
      <c r="L22" s="447">
        <v>0</v>
      </c>
      <c r="M22" s="447">
        <v>29200000</v>
      </c>
      <c r="N22" s="447">
        <v>29200000</v>
      </c>
      <c r="O22" s="447">
        <v>29200000</v>
      </c>
      <c r="P22" s="447">
        <v>29200000</v>
      </c>
      <c r="Q22" s="448">
        <v>0</v>
      </c>
    </row>
    <row r="23" spans="1:17" outlineLevel="3">
      <c r="A23" s="449" t="s">
        <v>906</v>
      </c>
      <c r="B23" s="450" t="s">
        <v>907</v>
      </c>
      <c r="C23" s="450" t="s">
        <v>921</v>
      </c>
      <c r="D23" s="450" t="s">
        <v>918</v>
      </c>
      <c r="E23" s="450"/>
      <c r="F23" s="450"/>
      <c r="G23" s="451"/>
      <c r="H23" s="450"/>
      <c r="I23" s="452">
        <v>0</v>
      </c>
      <c r="J23" s="452">
        <v>29200000</v>
      </c>
      <c r="K23" s="452">
        <v>29200000</v>
      </c>
      <c r="L23" s="452">
        <v>0</v>
      </c>
      <c r="M23" s="452">
        <v>29200000</v>
      </c>
      <c r="N23" s="452">
        <v>29200000</v>
      </c>
      <c r="O23" s="452">
        <v>29200000</v>
      </c>
      <c r="P23" s="452">
        <v>29200000</v>
      </c>
      <c r="Q23" s="453">
        <v>0</v>
      </c>
    </row>
    <row r="24" spans="1:17" outlineLevel="4">
      <c r="A24" s="454" t="s">
        <v>906</v>
      </c>
      <c r="B24" s="455" t="s">
        <v>907</v>
      </c>
      <c r="C24" s="455" t="s">
        <v>921</v>
      </c>
      <c r="D24" s="455" t="s">
        <v>918</v>
      </c>
      <c r="E24" s="455" t="s">
        <v>910</v>
      </c>
      <c r="F24" s="455"/>
      <c r="G24" s="456"/>
      <c r="H24" s="455"/>
      <c r="I24" s="457">
        <v>0</v>
      </c>
      <c r="J24" s="457">
        <v>29200000</v>
      </c>
      <c r="K24" s="457">
        <v>29200000</v>
      </c>
      <c r="L24" s="457">
        <v>0</v>
      </c>
      <c r="M24" s="457">
        <v>29200000</v>
      </c>
      <c r="N24" s="457">
        <v>29200000</v>
      </c>
      <c r="O24" s="457">
        <v>29200000</v>
      </c>
      <c r="P24" s="457">
        <v>29200000</v>
      </c>
      <c r="Q24" s="458">
        <v>0</v>
      </c>
    </row>
    <row r="25" spans="1:17" ht="165.75" outlineLevel="5">
      <c r="A25" s="459" t="s">
        <v>906</v>
      </c>
      <c r="B25" s="460" t="s">
        <v>907</v>
      </c>
      <c r="C25" s="460" t="s">
        <v>921</v>
      </c>
      <c r="D25" s="460" t="s">
        <v>918</v>
      </c>
      <c r="E25" s="460" t="s">
        <v>910</v>
      </c>
      <c r="F25" s="460" t="s">
        <v>919</v>
      </c>
      <c r="G25" s="461" t="s">
        <v>920</v>
      </c>
      <c r="H25" s="460"/>
      <c r="I25" s="462">
        <v>0</v>
      </c>
      <c r="J25" s="462">
        <v>0</v>
      </c>
      <c r="K25" s="462">
        <v>0</v>
      </c>
      <c r="L25" s="462">
        <v>0</v>
      </c>
      <c r="M25" s="462">
        <v>0</v>
      </c>
      <c r="N25" s="462">
        <v>0</v>
      </c>
      <c r="O25" s="462">
        <v>0</v>
      </c>
      <c r="P25" s="462">
        <v>29200000</v>
      </c>
      <c r="Q25" s="463">
        <v>0</v>
      </c>
    </row>
    <row r="26" spans="1:17" ht="165.75" outlineLevel="5">
      <c r="A26" s="459" t="s">
        <v>906</v>
      </c>
      <c r="B26" s="460" t="s">
        <v>907</v>
      </c>
      <c r="C26" s="460" t="s">
        <v>921</v>
      </c>
      <c r="D26" s="460" t="s">
        <v>918</v>
      </c>
      <c r="E26" s="460" t="s">
        <v>910</v>
      </c>
      <c r="F26" s="460" t="s">
        <v>919</v>
      </c>
      <c r="G26" s="461" t="s">
        <v>920</v>
      </c>
      <c r="H26" s="460" t="s">
        <v>912</v>
      </c>
      <c r="I26" s="462">
        <v>0</v>
      </c>
      <c r="J26" s="462">
        <v>29200000</v>
      </c>
      <c r="K26" s="462">
        <v>29200000</v>
      </c>
      <c r="L26" s="462">
        <v>0</v>
      </c>
      <c r="M26" s="462">
        <v>29200000</v>
      </c>
      <c r="N26" s="462">
        <v>29200000</v>
      </c>
      <c r="O26" s="462">
        <v>29200000</v>
      </c>
      <c r="P26" s="462">
        <v>0</v>
      </c>
      <c r="Q26" s="463">
        <v>0</v>
      </c>
    </row>
    <row r="27" spans="1:17" outlineLevel="2">
      <c r="A27" s="444" t="s">
        <v>906</v>
      </c>
      <c r="B27" s="445" t="s">
        <v>907</v>
      </c>
      <c r="C27" s="445" t="s">
        <v>922</v>
      </c>
      <c r="D27" s="445"/>
      <c r="E27" s="445"/>
      <c r="F27" s="445"/>
      <c r="G27" s="446"/>
      <c r="H27" s="445"/>
      <c r="I27" s="447">
        <v>14000000</v>
      </c>
      <c r="J27" s="447">
        <v>-3010000</v>
      </c>
      <c r="K27" s="447">
        <v>10990000</v>
      </c>
      <c r="L27" s="447">
        <v>0</v>
      </c>
      <c r="M27" s="447">
        <v>10990000</v>
      </c>
      <c r="N27" s="447">
        <v>10990000</v>
      </c>
      <c r="O27" s="447">
        <v>10990000</v>
      </c>
      <c r="P27" s="447">
        <v>10990000</v>
      </c>
      <c r="Q27" s="448">
        <v>0</v>
      </c>
    </row>
    <row r="28" spans="1:17" outlineLevel="3">
      <c r="A28" s="449" t="s">
        <v>906</v>
      </c>
      <c r="B28" s="450" t="s">
        <v>907</v>
      </c>
      <c r="C28" s="450" t="s">
        <v>922</v>
      </c>
      <c r="D28" s="450" t="s">
        <v>923</v>
      </c>
      <c r="E28" s="450"/>
      <c r="F28" s="450"/>
      <c r="G28" s="451"/>
      <c r="H28" s="450"/>
      <c r="I28" s="452">
        <v>7000000</v>
      </c>
      <c r="J28" s="452">
        <v>-7000000</v>
      </c>
      <c r="K28" s="452">
        <v>0</v>
      </c>
      <c r="L28" s="452">
        <v>0</v>
      </c>
      <c r="M28" s="452">
        <v>0</v>
      </c>
      <c r="N28" s="452">
        <v>0</v>
      </c>
      <c r="O28" s="452">
        <v>0</v>
      </c>
      <c r="P28" s="452">
        <v>0</v>
      </c>
      <c r="Q28" s="453">
        <v>0</v>
      </c>
    </row>
    <row r="29" spans="1:17" outlineLevel="4">
      <c r="A29" s="454" t="s">
        <v>906</v>
      </c>
      <c r="B29" s="455" t="s">
        <v>907</v>
      </c>
      <c r="C29" s="455" t="s">
        <v>922</v>
      </c>
      <c r="D29" s="455" t="s">
        <v>923</v>
      </c>
      <c r="E29" s="455" t="s">
        <v>910</v>
      </c>
      <c r="F29" s="455"/>
      <c r="G29" s="456"/>
      <c r="H29" s="455"/>
      <c r="I29" s="457">
        <v>7000000</v>
      </c>
      <c r="J29" s="457">
        <v>-7000000</v>
      </c>
      <c r="K29" s="457">
        <v>0</v>
      </c>
      <c r="L29" s="457">
        <v>0</v>
      </c>
      <c r="M29" s="457">
        <v>0</v>
      </c>
      <c r="N29" s="457">
        <v>0</v>
      </c>
      <c r="O29" s="457">
        <v>0</v>
      </c>
      <c r="P29" s="457">
        <v>0</v>
      </c>
      <c r="Q29" s="458">
        <v>0</v>
      </c>
    </row>
    <row r="30" spans="1:17" ht="25.5" outlineLevel="5">
      <c r="A30" s="459" t="s">
        <v>906</v>
      </c>
      <c r="B30" s="460" t="s">
        <v>907</v>
      </c>
      <c r="C30" s="460" t="s">
        <v>922</v>
      </c>
      <c r="D30" s="460" t="s">
        <v>923</v>
      </c>
      <c r="E30" s="460" t="s">
        <v>910</v>
      </c>
      <c r="F30" s="460" t="s">
        <v>924</v>
      </c>
      <c r="G30" s="461" t="s">
        <v>925</v>
      </c>
      <c r="H30" s="460" t="s">
        <v>912</v>
      </c>
      <c r="I30" s="462">
        <v>7000000</v>
      </c>
      <c r="J30" s="462">
        <v>-7000000</v>
      </c>
      <c r="K30" s="462">
        <v>0</v>
      </c>
      <c r="L30" s="462">
        <v>0</v>
      </c>
      <c r="M30" s="462">
        <v>0</v>
      </c>
      <c r="N30" s="462">
        <v>0</v>
      </c>
      <c r="O30" s="462">
        <v>0</v>
      </c>
      <c r="P30" s="462">
        <v>0</v>
      </c>
      <c r="Q30" s="463">
        <v>0</v>
      </c>
    </row>
    <row r="31" spans="1:17" outlineLevel="3">
      <c r="A31" s="449" t="s">
        <v>906</v>
      </c>
      <c r="B31" s="450" t="s">
        <v>907</v>
      </c>
      <c r="C31" s="450" t="s">
        <v>922</v>
      </c>
      <c r="D31" s="450" t="s">
        <v>926</v>
      </c>
      <c r="E31" s="450"/>
      <c r="F31" s="450"/>
      <c r="G31" s="451"/>
      <c r="H31" s="450"/>
      <c r="I31" s="452">
        <v>7000000</v>
      </c>
      <c r="J31" s="452">
        <v>3990000</v>
      </c>
      <c r="K31" s="452">
        <v>10990000</v>
      </c>
      <c r="L31" s="452">
        <v>0</v>
      </c>
      <c r="M31" s="452">
        <v>10990000</v>
      </c>
      <c r="N31" s="452">
        <v>10990000</v>
      </c>
      <c r="O31" s="452">
        <v>10990000</v>
      </c>
      <c r="P31" s="452">
        <v>10990000</v>
      </c>
      <c r="Q31" s="453">
        <v>0</v>
      </c>
    </row>
    <row r="32" spans="1:17" outlineLevel="4">
      <c r="A32" s="454" t="s">
        <v>906</v>
      </c>
      <c r="B32" s="455" t="s">
        <v>907</v>
      </c>
      <c r="C32" s="455" t="s">
        <v>922</v>
      </c>
      <c r="D32" s="455" t="s">
        <v>926</v>
      </c>
      <c r="E32" s="455" t="s">
        <v>910</v>
      </c>
      <c r="F32" s="455"/>
      <c r="G32" s="456"/>
      <c r="H32" s="455"/>
      <c r="I32" s="457">
        <v>7000000</v>
      </c>
      <c r="J32" s="457">
        <v>3990000</v>
      </c>
      <c r="K32" s="457">
        <v>10990000</v>
      </c>
      <c r="L32" s="457">
        <v>0</v>
      </c>
      <c r="M32" s="457">
        <v>10990000</v>
      </c>
      <c r="N32" s="457">
        <v>10990000</v>
      </c>
      <c r="O32" s="457">
        <v>10990000</v>
      </c>
      <c r="P32" s="457">
        <v>10990000</v>
      </c>
      <c r="Q32" s="458">
        <v>0</v>
      </c>
    </row>
    <row r="33" spans="1:17" ht="25.5" outlineLevel="5">
      <c r="A33" s="459" t="s">
        <v>906</v>
      </c>
      <c r="B33" s="460" t="s">
        <v>907</v>
      </c>
      <c r="C33" s="460" t="s">
        <v>922</v>
      </c>
      <c r="D33" s="460" t="s">
        <v>926</v>
      </c>
      <c r="E33" s="460" t="s">
        <v>910</v>
      </c>
      <c r="F33" s="460" t="s">
        <v>924</v>
      </c>
      <c r="G33" s="461" t="s">
        <v>925</v>
      </c>
      <c r="H33" s="460" t="s">
        <v>912</v>
      </c>
      <c r="I33" s="462">
        <v>7000000</v>
      </c>
      <c r="J33" s="462">
        <v>3990000</v>
      </c>
      <c r="K33" s="462">
        <v>10990000</v>
      </c>
      <c r="L33" s="462">
        <v>0</v>
      </c>
      <c r="M33" s="462">
        <v>10990000</v>
      </c>
      <c r="N33" s="462">
        <v>10990000</v>
      </c>
      <c r="O33" s="462">
        <v>10990000</v>
      </c>
      <c r="P33" s="462">
        <v>10990000</v>
      </c>
      <c r="Q33" s="463">
        <v>0</v>
      </c>
    </row>
    <row r="34" spans="1:17" outlineLevel="2">
      <c r="A34" s="444" t="s">
        <v>906</v>
      </c>
      <c r="B34" s="445" t="s">
        <v>907</v>
      </c>
      <c r="C34" s="445" t="s">
        <v>927</v>
      </c>
      <c r="D34" s="445"/>
      <c r="E34" s="445"/>
      <c r="F34" s="445"/>
      <c r="G34" s="446"/>
      <c r="H34" s="445"/>
      <c r="I34" s="447">
        <v>3200000</v>
      </c>
      <c r="J34" s="447">
        <v>-2400400</v>
      </c>
      <c r="K34" s="447">
        <v>799600</v>
      </c>
      <c r="L34" s="447">
        <v>0</v>
      </c>
      <c r="M34" s="447">
        <v>799600</v>
      </c>
      <c r="N34" s="447">
        <v>799600</v>
      </c>
      <c r="O34" s="447">
        <v>799600</v>
      </c>
      <c r="P34" s="447">
        <v>799600</v>
      </c>
      <c r="Q34" s="448">
        <v>0</v>
      </c>
    </row>
    <row r="35" spans="1:17" outlineLevel="3">
      <c r="A35" s="449" t="s">
        <v>906</v>
      </c>
      <c r="B35" s="450" t="s">
        <v>907</v>
      </c>
      <c r="C35" s="450" t="s">
        <v>927</v>
      </c>
      <c r="D35" s="450" t="s">
        <v>918</v>
      </c>
      <c r="E35" s="450"/>
      <c r="F35" s="450"/>
      <c r="G35" s="451"/>
      <c r="H35" s="450"/>
      <c r="I35" s="452">
        <v>3200000</v>
      </c>
      <c r="J35" s="452">
        <v>-2400400</v>
      </c>
      <c r="K35" s="452">
        <v>799600</v>
      </c>
      <c r="L35" s="452">
        <v>0</v>
      </c>
      <c r="M35" s="452">
        <v>799600</v>
      </c>
      <c r="N35" s="452">
        <v>799600</v>
      </c>
      <c r="O35" s="452">
        <v>799600</v>
      </c>
      <c r="P35" s="452">
        <v>799600</v>
      </c>
      <c r="Q35" s="453">
        <v>0</v>
      </c>
    </row>
    <row r="36" spans="1:17" outlineLevel="4">
      <c r="A36" s="454" t="s">
        <v>906</v>
      </c>
      <c r="B36" s="455" t="s">
        <v>907</v>
      </c>
      <c r="C36" s="455" t="s">
        <v>927</v>
      </c>
      <c r="D36" s="455" t="s">
        <v>918</v>
      </c>
      <c r="E36" s="455" t="s">
        <v>910</v>
      </c>
      <c r="F36" s="455"/>
      <c r="G36" s="456"/>
      <c r="H36" s="455"/>
      <c r="I36" s="457">
        <v>3200000</v>
      </c>
      <c r="J36" s="457">
        <v>-2400400</v>
      </c>
      <c r="K36" s="457">
        <v>799600</v>
      </c>
      <c r="L36" s="457">
        <v>0</v>
      </c>
      <c r="M36" s="457">
        <v>799600</v>
      </c>
      <c r="N36" s="457">
        <v>799600</v>
      </c>
      <c r="O36" s="457">
        <v>799600</v>
      </c>
      <c r="P36" s="457">
        <v>799600</v>
      </c>
      <c r="Q36" s="458">
        <v>0</v>
      </c>
    </row>
    <row r="37" spans="1:17" ht="76.5" outlineLevel="5">
      <c r="A37" s="459" t="s">
        <v>906</v>
      </c>
      <c r="B37" s="460" t="s">
        <v>907</v>
      </c>
      <c r="C37" s="460" t="s">
        <v>927</v>
      </c>
      <c r="D37" s="460" t="s">
        <v>918</v>
      </c>
      <c r="E37" s="460" t="s">
        <v>910</v>
      </c>
      <c r="F37" s="460" t="s">
        <v>915</v>
      </c>
      <c r="G37" s="461" t="s">
        <v>916</v>
      </c>
      <c r="H37" s="460" t="s">
        <v>912</v>
      </c>
      <c r="I37" s="462">
        <v>3200000</v>
      </c>
      <c r="J37" s="462">
        <v>-2400400</v>
      </c>
      <c r="K37" s="462">
        <v>799600</v>
      </c>
      <c r="L37" s="462">
        <v>0</v>
      </c>
      <c r="M37" s="462">
        <v>799600</v>
      </c>
      <c r="N37" s="462">
        <v>799600</v>
      </c>
      <c r="O37" s="462">
        <v>799600</v>
      </c>
      <c r="P37" s="462">
        <v>799600</v>
      </c>
      <c r="Q37" s="463">
        <v>0</v>
      </c>
    </row>
    <row r="38" spans="1:17" outlineLevel="2">
      <c r="A38" s="444" t="s">
        <v>906</v>
      </c>
      <c r="B38" s="445" t="s">
        <v>907</v>
      </c>
      <c r="C38" s="445" t="s">
        <v>928</v>
      </c>
      <c r="D38" s="445"/>
      <c r="E38" s="445"/>
      <c r="F38" s="445"/>
      <c r="G38" s="446"/>
      <c r="H38" s="445"/>
      <c r="I38" s="447">
        <v>26000000</v>
      </c>
      <c r="J38" s="447">
        <v>-5000000</v>
      </c>
      <c r="K38" s="447">
        <v>21000000</v>
      </c>
      <c r="L38" s="447">
        <v>0</v>
      </c>
      <c r="M38" s="447">
        <v>21000000</v>
      </c>
      <c r="N38" s="447">
        <v>21000000</v>
      </c>
      <c r="O38" s="447">
        <v>21000000</v>
      </c>
      <c r="P38" s="447">
        <v>21000000</v>
      </c>
      <c r="Q38" s="448">
        <v>0</v>
      </c>
    </row>
    <row r="39" spans="1:17" outlineLevel="3">
      <c r="A39" s="449" t="s">
        <v>906</v>
      </c>
      <c r="B39" s="450" t="s">
        <v>907</v>
      </c>
      <c r="C39" s="450" t="s">
        <v>928</v>
      </c>
      <c r="D39" s="450" t="s">
        <v>923</v>
      </c>
      <c r="E39" s="450"/>
      <c r="F39" s="450"/>
      <c r="G39" s="451"/>
      <c r="H39" s="450"/>
      <c r="I39" s="452">
        <v>24000000</v>
      </c>
      <c r="J39" s="452">
        <v>-4500000</v>
      </c>
      <c r="K39" s="452">
        <v>19500000</v>
      </c>
      <c r="L39" s="452">
        <v>0</v>
      </c>
      <c r="M39" s="452">
        <v>19500000</v>
      </c>
      <c r="N39" s="452">
        <v>19500000</v>
      </c>
      <c r="O39" s="452">
        <v>19500000</v>
      </c>
      <c r="P39" s="452">
        <v>19500000</v>
      </c>
      <c r="Q39" s="453">
        <v>0</v>
      </c>
    </row>
    <row r="40" spans="1:17" outlineLevel="4">
      <c r="A40" s="454" t="s">
        <v>906</v>
      </c>
      <c r="B40" s="455" t="s">
        <v>907</v>
      </c>
      <c r="C40" s="455" t="s">
        <v>928</v>
      </c>
      <c r="D40" s="455" t="s">
        <v>923</v>
      </c>
      <c r="E40" s="455" t="s">
        <v>910</v>
      </c>
      <c r="F40" s="455"/>
      <c r="G40" s="456"/>
      <c r="H40" s="455"/>
      <c r="I40" s="457">
        <v>24000000</v>
      </c>
      <c r="J40" s="457">
        <v>-4500000</v>
      </c>
      <c r="K40" s="457">
        <v>19500000</v>
      </c>
      <c r="L40" s="457">
        <v>0</v>
      </c>
      <c r="M40" s="457">
        <v>19500000</v>
      </c>
      <c r="N40" s="457">
        <v>19500000</v>
      </c>
      <c r="O40" s="457">
        <v>19500000</v>
      </c>
      <c r="P40" s="457">
        <v>19500000</v>
      </c>
      <c r="Q40" s="458">
        <v>0</v>
      </c>
    </row>
    <row r="41" spans="1:17" ht="89.25" outlineLevel="5">
      <c r="A41" s="459" t="s">
        <v>906</v>
      </c>
      <c r="B41" s="460" t="s">
        <v>907</v>
      </c>
      <c r="C41" s="460" t="s">
        <v>928</v>
      </c>
      <c r="D41" s="460" t="s">
        <v>923</v>
      </c>
      <c r="E41" s="460" t="s">
        <v>910</v>
      </c>
      <c r="F41" s="460" t="s">
        <v>929</v>
      </c>
      <c r="G41" s="461" t="s">
        <v>108</v>
      </c>
      <c r="H41" s="460"/>
      <c r="I41" s="462">
        <v>0</v>
      </c>
      <c r="J41" s="462">
        <v>0</v>
      </c>
      <c r="K41" s="462">
        <v>0</v>
      </c>
      <c r="L41" s="462">
        <v>0</v>
      </c>
      <c r="M41" s="462">
        <v>0</v>
      </c>
      <c r="N41" s="462">
        <v>0</v>
      </c>
      <c r="O41" s="462">
        <v>0</v>
      </c>
      <c r="P41" s="462">
        <v>1500000</v>
      </c>
      <c r="Q41" s="463">
        <v>0</v>
      </c>
    </row>
    <row r="42" spans="1:17" ht="89.25" outlineLevel="5">
      <c r="A42" s="459" t="s">
        <v>906</v>
      </c>
      <c r="B42" s="460" t="s">
        <v>907</v>
      </c>
      <c r="C42" s="460" t="s">
        <v>928</v>
      </c>
      <c r="D42" s="460" t="s">
        <v>923</v>
      </c>
      <c r="E42" s="460" t="s">
        <v>910</v>
      </c>
      <c r="F42" s="460" t="s">
        <v>929</v>
      </c>
      <c r="G42" s="461" t="s">
        <v>108</v>
      </c>
      <c r="H42" s="460" t="s">
        <v>912</v>
      </c>
      <c r="I42" s="462">
        <v>24000000</v>
      </c>
      <c r="J42" s="462">
        <v>-4500000</v>
      </c>
      <c r="K42" s="462">
        <v>19500000</v>
      </c>
      <c r="L42" s="462">
        <v>0</v>
      </c>
      <c r="M42" s="462">
        <v>19500000</v>
      </c>
      <c r="N42" s="462">
        <v>19500000</v>
      </c>
      <c r="O42" s="462">
        <v>19500000</v>
      </c>
      <c r="P42" s="462">
        <v>18000000</v>
      </c>
      <c r="Q42" s="463">
        <v>0</v>
      </c>
    </row>
    <row r="43" spans="1:17" outlineLevel="3">
      <c r="A43" s="449" t="s">
        <v>906</v>
      </c>
      <c r="B43" s="450" t="s">
        <v>907</v>
      </c>
      <c r="C43" s="450" t="s">
        <v>928</v>
      </c>
      <c r="D43" s="450" t="s">
        <v>926</v>
      </c>
      <c r="E43" s="450"/>
      <c r="F43" s="450"/>
      <c r="G43" s="451"/>
      <c r="H43" s="450"/>
      <c r="I43" s="452">
        <v>2000000</v>
      </c>
      <c r="J43" s="452">
        <v>-500000</v>
      </c>
      <c r="K43" s="452">
        <v>1500000</v>
      </c>
      <c r="L43" s="452">
        <v>0</v>
      </c>
      <c r="M43" s="452">
        <v>1500000</v>
      </c>
      <c r="N43" s="452">
        <v>1500000</v>
      </c>
      <c r="O43" s="452">
        <v>1500000</v>
      </c>
      <c r="P43" s="452">
        <v>1500000</v>
      </c>
      <c r="Q43" s="453">
        <v>0</v>
      </c>
    </row>
    <row r="44" spans="1:17" outlineLevel="4">
      <c r="A44" s="454" t="s">
        <v>906</v>
      </c>
      <c r="B44" s="455" t="s">
        <v>907</v>
      </c>
      <c r="C44" s="455" t="s">
        <v>928</v>
      </c>
      <c r="D44" s="455" t="s">
        <v>926</v>
      </c>
      <c r="E44" s="455" t="s">
        <v>910</v>
      </c>
      <c r="F44" s="455"/>
      <c r="G44" s="456"/>
      <c r="H44" s="455"/>
      <c r="I44" s="457">
        <v>2000000</v>
      </c>
      <c r="J44" s="457">
        <v>-500000</v>
      </c>
      <c r="K44" s="457">
        <v>1500000</v>
      </c>
      <c r="L44" s="457">
        <v>0</v>
      </c>
      <c r="M44" s="457">
        <v>1500000</v>
      </c>
      <c r="N44" s="457">
        <v>1500000</v>
      </c>
      <c r="O44" s="457">
        <v>1500000</v>
      </c>
      <c r="P44" s="457">
        <v>1500000</v>
      </c>
      <c r="Q44" s="458">
        <v>0</v>
      </c>
    </row>
    <row r="45" spans="1:17" ht="89.25" outlineLevel="5">
      <c r="A45" s="459" t="s">
        <v>906</v>
      </c>
      <c r="B45" s="460" t="s">
        <v>907</v>
      </c>
      <c r="C45" s="460" t="s">
        <v>928</v>
      </c>
      <c r="D45" s="460" t="s">
        <v>926</v>
      </c>
      <c r="E45" s="460" t="s">
        <v>910</v>
      </c>
      <c r="F45" s="460" t="s">
        <v>929</v>
      </c>
      <c r="G45" s="461" t="s">
        <v>108</v>
      </c>
      <c r="H45" s="460" t="s">
        <v>912</v>
      </c>
      <c r="I45" s="462">
        <v>2000000</v>
      </c>
      <c r="J45" s="462">
        <v>-500000</v>
      </c>
      <c r="K45" s="462">
        <v>1500000</v>
      </c>
      <c r="L45" s="462">
        <v>0</v>
      </c>
      <c r="M45" s="462">
        <v>1500000</v>
      </c>
      <c r="N45" s="462">
        <v>1500000</v>
      </c>
      <c r="O45" s="462">
        <v>1500000</v>
      </c>
      <c r="P45" s="462">
        <v>1500000</v>
      </c>
      <c r="Q45" s="463">
        <v>0</v>
      </c>
    </row>
    <row r="46" spans="1:17" outlineLevel="2">
      <c r="A46" s="444" t="s">
        <v>906</v>
      </c>
      <c r="B46" s="445" t="s">
        <v>907</v>
      </c>
      <c r="C46" s="445" t="s">
        <v>930</v>
      </c>
      <c r="D46" s="445"/>
      <c r="E46" s="445"/>
      <c r="F46" s="445"/>
      <c r="G46" s="446"/>
      <c r="H46" s="445"/>
      <c r="I46" s="447">
        <v>9000000</v>
      </c>
      <c r="J46" s="447">
        <v>0</v>
      </c>
      <c r="K46" s="447">
        <v>9000000</v>
      </c>
      <c r="L46" s="447">
        <v>0</v>
      </c>
      <c r="M46" s="447">
        <v>9000000</v>
      </c>
      <c r="N46" s="447">
        <v>9000000</v>
      </c>
      <c r="O46" s="447">
        <v>9000000</v>
      </c>
      <c r="P46" s="447">
        <v>9000000</v>
      </c>
      <c r="Q46" s="448">
        <v>0</v>
      </c>
    </row>
    <row r="47" spans="1:17" outlineLevel="3">
      <c r="A47" s="449" t="s">
        <v>906</v>
      </c>
      <c r="B47" s="450" t="s">
        <v>907</v>
      </c>
      <c r="C47" s="450" t="s">
        <v>930</v>
      </c>
      <c r="D47" s="450" t="s">
        <v>931</v>
      </c>
      <c r="E47" s="450"/>
      <c r="F47" s="450"/>
      <c r="G47" s="451"/>
      <c r="H47" s="450"/>
      <c r="I47" s="452">
        <v>9000000</v>
      </c>
      <c r="J47" s="452">
        <v>0</v>
      </c>
      <c r="K47" s="452">
        <v>9000000</v>
      </c>
      <c r="L47" s="452">
        <v>0</v>
      </c>
      <c r="M47" s="452">
        <v>9000000</v>
      </c>
      <c r="N47" s="452">
        <v>9000000</v>
      </c>
      <c r="O47" s="452">
        <v>9000000</v>
      </c>
      <c r="P47" s="452">
        <v>9000000</v>
      </c>
      <c r="Q47" s="453">
        <v>0</v>
      </c>
    </row>
    <row r="48" spans="1:17" outlineLevel="4">
      <c r="A48" s="454" t="s">
        <v>906</v>
      </c>
      <c r="B48" s="455" t="s">
        <v>907</v>
      </c>
      <c r="C48" s="455" t="s">
        <v>930</v>
      </c>
      <c r="D48" s="455" t="s">
        <v>931</v>
      </c>
      <c r="E48" s="455" t="s">
        <v>932</v>
      </c>
      <c r="F48" s="455"/>
      <c r="G48" s="456"/>
      <c r="H48" s="455"/>
      <c r="I48" s="457">
        <v>9000000</v>
      </c>
      <c r="J48" s="457">
        <v>0</v>
      </c>
      <c r="K48" s="457">
        <v>9000000</v>
      </c>
      <c r="L48" s="457">
        <v>0</v>
      </c>
      <c r="M48" s="457">
        <v>9000000</v>
      </c>
      <c r="N48" s="457">
        <v>9000000</v>
      </c>
      <c r="O48" s="457">
        <v>9000000</v>
      </c>
      <c r="P48" s="457">
        <v>9000000</v>
      </c>
      <c r="Q48" s="458">
        <v>0</v>
      </c>
    </row>
    <row r="49" spans="1:17" ht="25.5" outlineLevel="5">
      <c r="A49" s="459" t="s">
        <v>906</v>
      </c>
      <c r="B49" s="460" t="s">
        <v>907</v>
      </c>
      <c r="C49" s="460" t="s">
        <v>930</v>
      </c>
      <c r="D49" s="460" t="s">
        <v>931</v>
      </c>
      <c r="E49" s="460" t="s">
        <v>932</v>
      </c>
      <c r="F49" s="460" t="s">
        <v>933</v>
      </c>
      <c r="G49" s="461" t="s">
        <v>934</v>
      </c>
      <c r="H49" s="460"/>
      <c r="I49" s="462">
        <v>0</v>
      </c>
      <c r="J49" s="462">
        <v>0</v>
      </c>
      <c r="K49" s="462">
        <v>0</v>
      </c>
      <c r="L49" s="462">
        <v>0</v>
      </c>
      <c r="M49" s="462">
        <v>0</v>
      </c>
      <c r="N49" s="462">
        <v>0</v>
      </c>
      <c r="O49" s="462">
        <v>0</v>
      </c>
      <c r="P49" s="462">
        <v>9000000</v>
      </c>
      <c r="Q49" s="463">
        <v>0</v>
      </c>
    </row>
    <row r="50" spans="1:17" ht="25.5" outlineLevel="5">
      <c r="A50" s="459" t="s">
        <v>906</v>
      </c>
      <c r="B50" s="460" t="s">
        <v>907</v>
      </c>
      <c r="C50" s="460" t="s">
        <v>930</v>
      </c>
      <c r="D50" s="460" t="s">
        <v>931</v>
      </c>
      <c r="E50" s="460" t="s">
        <v>932</v>
      </c>
      <c r="F50" s="460" t="s">
        <v>933</v>
      </c>
      <c r="G50" s="461" t="s">
        <v>934</v>
      </c>
      <c r="H50" s="460" t="s">
        <v>912</v>
      </c>
      <c r="I50" s="462">
        <v>9000000</v>
      </c>
      <c r="J50" s="462">
        <v>0</v>
      </c>
      <c r="K50" s="462">
        <v>9000000</v>
      </c>
      <c r="L50" s="462">
        <v>0</v>
      </c>
      <c r="M50" s="462">
        <v>9000000</v>
      </c>
      <c r="N50" s="462">
        <v>9000000</v>
      </c>
      <c r="O50" s="462">
        <v>9000000</v>
      </c>
      <c r="P50" s="462">
        <v>0</v>
      </c>
      <c r="Q50" s="463">
        <v>0</v>
      </c>
    </row>
    <row r="51" spans="1:17" outlineLevel="2">
      <c r="A51" s="444" t="s">
        <v>906</v>
      </c>
      <c r="B51" s="445" t="s">
        <v>907</v>
      </c>
      <c r="C51" s="445" t="s">
        <v>935</v>
      </c>
      <c r="D51" s="445"/>
      <c r="E51" s="445"/>
      <c r="F51" s="445"/>
      <c r="G51" s="446"/>
      <c r="H51" s="445"/>
      <c r="I51" s="447">
        <v>138000000</v>
      </c>
      <c r="J51" s="447">
        <v>-18000000</v>
      </c>
      <c r="K51" s="447">
        <v>120000000</v>
      </c>
      <c r="L51" s="447">
        <v>0</v>
      </c>
      <c r="M51" s="447">
        <v>120000000</v>
      </c>
      <c r="N51" s="447">
        <v>120000000</v>
      </c>
      <c r="O51" s="447">
        <v>111489356.48</v>
      </c>
      <c r="P51" s="447">
        <v>111489356.48</v>
      </c>
      <c r="Q51" s="448">
        <v>8510643.5199999996</v>
      </c>
    </row>
    <row r="52" spans="1:17" outlineLevel="3">
      <c r="A52" s="449" t="s">
        <v>906</v>
      </c>
      <c r="B52" s="450" t="s">
        <v>907</v>
      </c>
      <c r="C52" s="450" t="s">
        <v>935</v>
      </c>
      <c r="D52" s="450" t="s">
        <v>931</v>
      </c>
      <c r="E52" s="450"/>
      <c r="F52" s="450"/>
      <c r="G52" s="451"/>
      <c r="H52" s="450"/>
      <c r="I52" s="452">
        <v>138000000</v>
      </c>
      <c r="J52" s="452">
        <v>-18000000</v>
      </c>
      <c r="K52" s="452">
        <v>120000000</v>
      </c>
      <c r="L52" s="452">
        <v>0</v>
      </c>
      <c r="M52" s="452">
        <v>120000000</v>
      </c>
      <c r="N52" s="452">
        <v>120000000</v>
      </c>
      <c r="O52" s="452">
        <v>111489356.48</v>
      </c>
      <c r="P52" s="452">
        <v>111489356.48</v>
      </c>
      <c r="Q52" s="453">
        <v>8510643.5199999996</v>
      </c>
    </row>
    <row r="53" spans="1:17" outlineLevel="4">
      <c r="A53" s="454" t="s">
        <v>906</v>
      </c>
      <c r="B53" s="455" t="s">
        <v>907</v>
      </c>
      <c r="C53" s="455" t="s">
        <v>935</v>
      </c>
      <c r="D53" s="455" t="s">
        <v>931</v>
      </c>
      <c r="E53" s="455" t="s">
        <v>936</v>
      </c>
      <c r="F53" s="455"/>
      <c r="G53" s="456"/>
      <c r="H53" s="455"/>
      <c r="I53" s="457">
        <v>138000000</v>
      </c>
      <c r="J53" s="457">
        <v>-18000000</v>
      </c>
      <c r="K53" s="457">
        <v>120000000</v>
      </c>
      <c r="L53" s="457">
        <v>0</v>
      </c>
      <c r="M53" s="457">
        <v>120000000</v>
      </c>
      <c r="N53" s="457">
        <v>120000000</v>
      </c>
      <c r="O53" s="457">
        <v>111489356.48</v>
      </c>
      <c r="P53" s="457">
        <v>111489356.48</v>
      </c>
      <c r="Q53" s="458">
        <v>8510643.5199999996</v>
      </c>
    </row>
    <row r="54" spans="1:17" ht="25.5" outlineLevel="5">
      <c r="A54" s="459" t="s">
        <v>906</v>
      </c>
      <c r="B54" s="460" t="s">
        <v>907</v>
      </c>
      <c r="C54" s="460" t="s">
        <v>935</v>
      </c>
      <c r="D54" s="460" t="s">
        <v>931</v>
      </c>
      <c r="E54" s="460" t="s">
        <v>936</v>
      </c>
      <c r="F54" s="460" t="s">
        <v>937</v>
      </c>
      <c r="G54" s="461" t="s">
        <v>163</v>
      </c>
      <c r="H54" s="460"/>
      <c r="I54" s="462">
        <v>0</v>
      </c>
      <c r="J54" s="462">
        <v>0</v>
      </c>
      <c r="K54" s="462">
        <v>0</v>
      </c>
      <c r="L54" s="462">
        <v>0</v>
      </c>
      <c r="M54" s="462">
        <v>0</v>
      </c>
      <c r="N54" s="462">
        <v>0</v>
      </c>
      <c r="O54" s="462">
        <v>0</v>
      </c>
      <c r="P54" s="462">
        <v>111489356.48</v>
      </c>
      <c r="Q54" s="463">
        <v>0</v>
      </c>
    </row>
    <row r="55" spans="1:17" ht="25.5" outlineLevel="5">
      <c r="A55" s="459" t="s">
        <v>906</v>
      </c>
      <c r="B55" s="460" t="s">
        <v>907</v>
      </c>
      <c r="C55" s="460" t="s">
        <v>935</v>
      </c>
      <c r="D55" s="460" t="s">
        <v>931</v>
      </c>
      <c r="E55" s="460" t="s">
        <v>936</v>
      </c>
      <c r="F55" s="460" t="s">
        <v>937</v>
      </c>
      <c r="G55" s="461" t="s">
        <v>163</v>
      </c>
      <c r="H55" s="460" t="s">
        <v>912</v>
      </c>
      <c r="I55" s="462">
        <v>138000000</v>
      </c>
      <c r="J55" s="462">
        <v>-18000000</v>
      </c>
      <c r="K55" s="462">
        <v>120000000</v>
      </c>
      <c r="L55" s="462">
        <v>0</v>
      </c>
      <c r="M55" s="462">
        <v>120000000</v>
      </c>
      <c r="N55" s="462">
        <v>120000000</v>
      </c>
      <c r="O55" s="462">
        <v>111489356.48</v>
      </c>
      <c r="P55" s="462">
        <v>0</v>
      </c>
      <c r="Q55" s="463">
        <v>8510643.5199999996</v>
      </c>
    </row>
    <row r="56" spans="1:17" outlineLevel="2">
      <c r="A56" s="444" t="s">
        <v>906</v>
      </c>
      <c r="B56" s="445" t="s">
        <v>907</v>
      </c>
      <c r="C56" s="445" t="s">
        <v>938</v>
      </c>
      <c r="D56" s="445"/>
      <c r="E56" s="445"/>
      <c r="F56" s="445"/>
      <c r="G56" s="446"/>
      <c r="H56" s="445"/>
      <c r="I56" s="447">
        <v>16000000</v>
      </c>
      <c r="J56" s="447">
        <v>-828.8</v>
      </c>
      <c r="K56" s="447">
        <v>15999171.199999999</v>
      </c>
      <c r="L56" s="447">
        <v>0</v>
      </c>
      <c r="M56" s="447">
        <v>15999171.199999999</v>
      </c>
      <c r="N56" s="447">
        <v>15999171.199999999</v>
      </c>
      <c r="O56" s="447">
        <v>15999171.199999999</v>
      </c>
      <c r="P56" s="447">
        <v>15999171.199999999</v>
      </c>
      <c r="Q56" s="448">
        <v>0</v>
      </c>
    </row>
    <row r="57" spans="1:17" outlineLevel="3">
      <c r="A57" s="449" t="s">
        <v>906</v>
      </c>
      <c r="B57" s="450" t="s">
        <v>907</v>
      </c>
      <c r="C57" s="450" t="s">
        <v>938</v>
      </c>
      <c r="D57" s="450" t="s">
        <v>909</v>
      </c>
      <c r="E57" s="450"/>
      <c r="F57" s="450"/>
      <c r="G57" s="451"/>
      <c r="H57" s="450"/>
      <c r="I57" s="452">
        <v>16000000</v>
      </c>
      <c r="J57" s="452">
        <v>-828.8</v>
      </c>
      <c r="K57" s="452">
        <v>15999171.199999999</v>
      </c>
      <c r="L57" s="452">
        <v>0</v>
      </c>
      <c r="M57" s="452">
        <v>15999171.199999999</v>
      </c>
      <c r="N57" s="452">
        <v>15999171.199999999</v>
      </c>
      <c r="O57" s="452">
        <v>15999171.199999999</v>
      </c>
      <c r="P57" s="452">
        <v>15999171.199999999</v>
      </c>
      <c r="Q57" s="453">
        <v>0</v>
      </c>
    </row>
    <row r="58" spans="1:17" outlineLevel="4">
      <c r="A58" s="454" t="s">
        <v>906</v>
      </c>
      <c r="B58" s="455" t="s">
        <v>907</v>
      </c>
      <c r="C58" s="455" t="s">
        <v>938</v>
      </c>
      <c r="D58" s="455" t="s">
        <v>909</v>
      </c>
      <c r="E58" s="455" t="s">
        <v>910</v>
      </c>
      <c r="F58" s="455"/>
      <c r="G58" s="456"/>
      <c r="H58" s="455"/>
      <c r="I58" s="457">
        <v>16000000</v>
      </c>
      <c r="J58" s="457">
        <v>-828.8</v>
      </c>
      <c r="K58" s="457">
        <v>15999171.199999999</v>
      </c>
      <c r="L58" s="457">
        <v>0</v>
      </c>
      <c r="M58" s="457">
        <v>15999171.199999999</v>
      </c>
      <c r="N58" s="457">
        <v>15999171.199999999</v>
      </c>
      <c r="O58" s="457">
        <v>15999171.199999999</v>
      </c>
      <c r="P58" s="457">
        <v>15999171.199999999</v>
      </c>
      <c r="Q58" s="458">
        <v>0</v>
      </c>
    </row>
    <row r="59" spans="1:17" ht="38.25" outlineLevel="5">
      <c r="A59" s="459" t="s">
        <v>906</v>
      </c>
      <c r="B59" s="460" t="s">
        <v>907</v>
      </c>
      <c r="C59" s="460" t="s">
        <v>938</v>
      </c>
      <c r="D59" s="460" t="s">
        <v>909</v>
      </c>
      <c r="E59" s="460" t="s">
        <v>910</v>
      </c>
      <c r="F59" s="460" t="s">
        <v>939</v>
      </c>
      <c r="G59" s="461" t="s">
        <v>940</v>
      </c>
      <c r="H59" s="460"/>
      <c r="I59" s="462">
        <v>0</v>
      </c>
      <c r="J59" s="462">
        <v>0</v>
      </c>
      <c r="K59" s="462">
        <v>0</v>
      </c>
      <c r="L59" s="462">
        <v>0</v>
      </c>
      <c r="M59" s="462">
        <v>0</v>
      </c>
      <c r="N59" s="462">
        <v>0</v>
      </c>
      <c r="O59" s="462">
        <v>0</v>
      </c>
      <c r="P59" s="462">
        <v>7999171.2000000002</v>
      </c>
      <c r="Q59" s="463">
        <v>0</v>
      </c>
    </row>
    <row r="60" spans="1:17" ht="38.25" outlineLevel="5">
      <c r="A60" s="459" t="s">
        <v>906</v>
      </c>
      <c r="B60" s="460" t="s">
        <v>907</v>
      </c>
      <c r="C60" s="460" t="s">
        <v>938</v>
      </c>
      <c r="D60" s="460" t="s">
        <v>909</v>
      </c>
      <c r="E60" s="460" t="s">
        <v>910</v>
      </c>
      <c r="F60" s="460" t="s">
        <v>939</v>
      </c>
      <c r="G60" s="461" t="s">
        <v>940</v>
      </c>
      <c r="H60" s="460" t="s">
        <v>912</v>
      </c>
      <c r="I60" s="462">
        <v>8000000</v>
      </c>
      <c r="J60" s="462">
        <v>-828.8</v>
      </c>
      <c r="K60" s="462">
        <v>7999171.2000000002</v>
      </c>
      <c r="L60" s="462">
        <v>0</v>
      </c>
      <c r="M60" s="462">
        <v>7999171.2000000002</v>
      </c>
      <c r="N60" s="462">
        <v>7999171.2000000002</v>
      </c>
      <c r="O60" s="462">
        <v>7999171.2000000002</v>
      </c>
      <c r="P60" s="462">
        <v>0</v>
      </c>
      <c r="Q60" s="463">
        <v>0</v>
      </c>
    </row>
    <row r="61" spans="1:17" ht="114.75" outlineLevel="5">
      <c r="A61" s="459" t="s">
        <v>906</v>
      </c>
      <c r="B61" s="460" t="s">
        <v>907</v>
      </c>
      <c r="C61" s="460" t="s">
        <v>938</v>
      </c>
      <c r="D61" s="460" t="s">
        <v>909</v>
      </c>
      <c r="E61" s="460" t="s">
        <v>910</v>
      </c>
      <c r="F61" s="460" t="s">
        <v>941</v>
      </c>
      <c r="G61" s="461" t="s">
        <v>158</v>
      </c>
      <c r="H61" s="460"/>
      <c r="I61" s="462">
        <v>0</v>
      </c>
      <c r="J61" s="462">
        <v>0</v>
      </c>
      <c r="K61" s="462">
        <v>0</v>
      </c>
      <c r="L61" s="462">
        <v>0</v>
      </c>
      <c r="M61" s="462">
        <v>0</v>
      </c>
      <c r="N61" s="462">
        <v>0</v>
      </c>
      <c r="O61" s="462">
        <v>0</v>
      </c>
      <c r="P61" s="462">
        <v>5154940</v>
      </c>
      <c r="Q61" s="463">
        <v>0</v>
      </c>
    </row>
    <row r="62" spans="1:17" ht="114.75" outlineLevel="5">
      <c r="A62" s="459" t="s">
        <v>906</v>
      </c>
      <c r="B62" s="460" t="s">
        <v>907</v>
      </c>
      <c r="C62" s="460" t="s">
        <v>938</v>
      </c>
      <c r="D62" s="460" t="s">
        <v>909</v>
      </c>
      <c r="E62" s="460" t="s">
        <v>910</v>
      </c>
      <c r="F62" s="460" t="s">
        <v>941</v>
      </c>
      <c r="G62" s="461" t="s">
        <v>158</v>
      </c>
      <c r="H62" s="460" t="s">
        <v>912</v>
      </c>
      <c r="I62" s="462">
        <v>8000000</v>
      </c>
      <c r="J62" s="462">
        <v>0</v>
      </c>
      <c r="K62" s="462">
        <v>8000000</v>
      </c>
      <c r="L62" s="462">
        <v>0</v>
      </c>
      <c r="M62" s="462">
        <v>8000000</v>
      </c>
      <c r="N62" s="462">
        <v>8000000</v>
      </c>
      <c r="O62" s="462">
        <v>8000000</v>
      </c>
      <c r="P62" s="462">
        <v>2845060</v>
      </c>
      <c r="Q62" s="463">
        <v>0</v>
      </c>
    </row>
    <row r="63" spans="1:17" outlineLevel="2">
      <c r="A63" s="444" t="s">
        <v>906</v>
      </c>
      <c r="B63" s="445" t="s">
        <v>907</v>
      </c>
      <c r="C63" s="445" t="s">
        <v>942</v>
      </c>
      <c r="D63" s="445"/>
      <c r="E63" s="445"/>
      <c r="F63" s="445"/>
      <c r="G63" s="446"/>
      <c r="H63" s="445"/>
      <c r="I63" s="447">
        <v>126760563.38</v>
      </c>
      <c r="J63" s="447">
        <v>-27671915.460000001</v>
      </c>
      <c r="K63" s="447">
        <v>99088647.920000002</v>
      </c>
      <c r="L63" s="447">
        <v>240293937.53999999</v>
      </c>
      <c r="M63" s="447">
        <v>-11000000</v>
      </c>
      <c r="N63" s="447">
        <v>98859154.930000007</v>
      </c>
      <c r="O63" s="447">
        <v>98859154.930000007</v>
      </c>
      <c r="P63" s="447">
        <v>98859154.930000007</v>
      </c>
      <c r="Q63" s="448">
        <v>229492.99</v>
      </c>
    </row>
    <row r="64" spans="1:17" outlineLevel="3">
      <c r="A64" s="449" t="s">
        <v>906</v>
      </c>
      <c r="B64" s="450" t="s">
        <v>907</v>
      </c>
      <c r="C64" s="450" t="s">
        <v>942</v>
      </c>
      <c r="D64" s="450" t="s">
        <v>909</v>
      </c>
      <c r="E64" s="450"/>
      <c r="F64" s="450"/>
      <c r="G64" s="451"/>
      <c r="H64" s="450"/>
      <c r="I64" s="452">
        <v>126760563.38</v>
      </c>
      <c r="J64" s="452">
        <v>-126760563.38</v>
      </c>
      <c r="K64" s="452">
        <v>0</v>
      </c>
      <c r="L64" s="452">
        <v>240293937.53999999</v>
      </c>
      <c r="M64" s="452">
        <v>-109859154.93000001</v>
      </c>
      <c r="N64" s="452">
        <v>0</v>
      </c>
      <c r="O64" s="452">
        <v>0</v>
      </c>
      <c r="P64" s="452">
        <v>0</v>
      </c>
      <c r="Q64" s="453">
        <v>0</v>
      </c>
    </row>
    <row r="65" spans="1:18" outlineLevel="4">
      <c r="A65" s="454" t="s">
        <v>906</v>
      </c>
      <c r="B65" s="455" t="s">
        <v>907</v>
      </c>
      <c r="C65" s="455" t="s">
        <v>942</v>
      </c>
      <c r="D65" s="455" t="s">
        <v>909</v>
      </c>
      <c r="E65" s="455" t="s">
        <v>943</v>
      </c>
      <c r="F65" s="455"/>
      <c r="G65" s="456"/>
      <c r="H65" s="455"/>
      <c r="I65" s="457">
        <v>126760563.38</v>
      </c>
      <c r="J65" s="457">
        <v>-126760563.38</v>
      </c>
      <c r="K65" s="457">
        <v>0</v>
      </c>
      <c r="L65" s="457">
        <v>109859154.93000001</v>
      </c>
      <c r="M65" s="457">
        <v>-109859154.93000001</v>
      </c>
      <c r="N65" s="457">
        <v>0</v>
      </c>
      <c r="O65" s="457">
        <v>0</v>
      </c>
      <c r="P65" s="457">
        <v>0</v>
      </c>
      <c r="Q65" s="458">
        <v>0</v>
      </c>
    </row>
    <row r="66" spans="1:18" ht="38.25" outlineLevel="5">
      <c r="A66" s="459" t="s">
        <v>906</v>
      </c>
      <c r="B66" s="460" t="s">
        <v>907</v>
      </c>
      <c r="C66" s="460" t="s">
        <v>942</v>
      </c>
      <c r="D66" s="460" t="s">
        <v>909</v>
      </c>
      <c r="E66" s="460" t="s">
        <v>943</v>
      </c>
      <c r="F66" s="460" t="s">
        <v>944</v>
      </c>
      <c r="G66" s="461" t="s">
        <v>559</v>
      </c>
      <c r="H66" s="460" t="s">
        <v>945</v>
      </c>
      <c r="I66" s="462">
        <v>90000000</v>
      </c>
      <c r="J66" s="462">
        <v>-90000000</v>
      </c>
      <c r="K66" s="462">
        <v>0</v>
      </c>
      <c r="L66" s="462">
        <v>78000000</v>
      </c>
      <c r="M66" s="462">
        <v>-78000000</v>
      </c>
      <c r="N66" s="462">
        <v>0</v>
      </c>
      <c r="O66" s="462">
        <v>0</v>
      </c>
      <c r="P66" s="462">
        <v>0</v>
      </c>
      <c r="Q66" s="463">
        <v>0</v>
      </c>
    </row>
    <row r="67" spans="1:18" ht="38.25" outlineLevel="5">
      <c r="A67" s="459" t="s">
        <v>906</v>
      </c>
      <c r="B67" s="460" t="s">
        <v>907</v>
      </c>
      <c r="C67" s="460" t="s">
        <v>942</v>
      </c>
      <c r="D67" s="460" t="s">
        <v>909</v>
      </c>
      <c r="E67" s="460" t="s">
        <v>943</v>
      </c>
      <c r="F67" s="460" t="s">
        <v>944</v>
      </c>
      <c r="G67" s="461" t="s">
        <v>559</v>
      </c>
      <c r="H67" s="460" t="s">
        <v>912</v>
      </c>
      <c r="I67" s="462">
        <v>36760563.380000003</v>
      </c>
      <c r="J67" s="462">
        <v>-36760563.380000003</v>
      </c>
      <c r="K67" s="462">
        <v>0</v>
      </c>
      <c r="L67" s="462">
        <v>31859154.93</v>
      </c>
      <c r="M67" s="462">
        <v>-31859154.93</v>
      </c>
      <c r="N67" s="462">
        <v>0</v>
      </c>
      <c r="O67" s="462">
        <v>0</v>
      </c>
      <c r="P67" s="462">
        <v>0</v>
      </c>
      <c r="Q67" s="463">
        <v>0</v>
      </c>
    </row>
    <row r="68" spans="1:18" outlineLevel="4">
      <c r="A68" s="454" t="s">
        <v>906</v>
      </c>
      <c r="B68" s="455" t="s">
        <v>907</v>
      </c>
      <c r="C68" s="455" t="s">
        <v>942</v>
      </c>
      <c r="D68" s="455" t="s">
        <v>909</v>
      </c>
      <c r="E68" s="455" t="s">
        <v>946</v>
      </c>
      <c r="F68" s="455"/>
      <c r="G68" s="456"/>
      <c r="H68" s="455"/>
      <c r="I68" s="457">
        <v>0</v>
      </c>
      <c r="J68" s="457">
        <v>0</v>
      </c>
      <c r="K68" s="457">
        <v>0</v>
      </c>
      <c r="L68" s="457">
        <v>130434782.61</v>
      </c>
      <c r="M68" s="457">
        <v>0</v>
      </c>
      <c r="N68" s="457">
        <v>0</v>
      </c>
      <c r="O68" s="457">
        <v>0</v>
      </c>
      <c r="P68" s="457">
        <v>0</v>
      </c>
      <c r="Q68" s="458">
        <v>0</v>
      </c>
    </row>
    <row r="69" spans="1:18" ht="38.25" outlineLevel="5">
      <c r="A69" s="459" t="s">
        <v>906</v>
      </c>
      <c r="B69" s="460" t="s">
        <v>907</v>
      </c>
      <c r="C69" s="460" t="s">
        <v>942</v>
      </c>
      <c r="D69" s="460" t="s">
        <v>909</v>
      </c>
      <c r="E69" s="460" t="s">
        <v>946</v>
      </c>
      <c r="F69" s="460" t="s">
        <v>944</v>
      </c>
      <c r="G69" s="461" t="s">
        <v>559</v>
      </c>
      <c r="H69" s="460" t="s">
        <v>945</v>
      </c>
      <c r="I69" s="462">
        <v>0</v>
      </c>
      <c r="J69" s="462">
        <v>0</v>
      </c>
      <c r="K69" s="462">
        <v>0</v>
      </c>
      <c r="L69" s="462">
        <v>90000000</v>
      </c>
      <c r="M69" s="462">
        <v>0</v>
      </c>
      <c r="N69" s="462">
        <v>0</v>
      </c>
      <c r="O69" s="462">
        <v>0</v>
      </c>
      <c r="P69" s="462">
        <v>0</v>
      </c>
      <c r="Q69" s="463">
        <v>0</v>
      </c>
    </row>
    <row r="70" spans="1:18" ht="38.25" outlineLevel="5">
      <c r="A70" s="459" t="s">
        <v>906</v>
      </c>
      <c r="B70" s="460" t="s">
        <v>907</v>
      </c>
      <c r="C70" s="460" t="s">
        <v>942</v>
      </c>
      <c r="D70" s="460" t="s">
        <v>909</v>
      </c>
      <c r="E70" s="460" t="s">
        <v>946</v>
      </c>
      <c r="F70" s="460" t="s">
        <v>944</v>
      </c>
      <c r="G70" s="461" t="s">
        <v>559</v>
      </c>
      <c r="H70" s="460" t="s">
        <v>912</v>
      </c>
      <c r="I70" s="462">
        <v>0</v>
      </c>
      <c r="J70" s="462">
        <v>0</v>
      </c>
      <c r="K70" s="462">
        <v>0</v>
      </c>
      <c r="L70" s="462">
        <v>40434782.609999999</v>
      </c>
      <c r="M70" s="462">
        <v>0</v>
      </c>
      <c r="N70" s="462">
        <v>0</v>
      </c>
      <c r="O70" s="462">
        <v>0</v>
      </c>
      <c r="P70" s="462">
        <v>0</v>
      </c>
      <c r="Q70" s="463">
        <v>0</v>
      </c>
    </row>
    <row r="71" spans="1:18" outlineLevel="3">
      <c r="A71" s="449" t="s">
        <v>906</v>
      </c>
      <c r="B71" s="450" t="s">
        <v>907</v>
      </c>
      <c r="C71" s="450" t="s">
        <v>942</v>
      </c>
      <c r="D71" s="450" t="s">
        <v>947</v>
      </c>
      <c r="E71" s="450"/>
      <c r="F71" s="450"/>
      <c r="G71" s="451"/>
      <c r="H71" s="450"/>
      <c r="I71" s="452">
        <v>0</v>
      </c>
      <c r="J71" s="452">
        <v>99088647.920000002</v>
      </c>
      <c r="K71" s="452">
        <v>99088647.920000002</v>
      </c>
      <c r="L71" s="452">
        <v>0</v>
      </c>
      <c r="M71" s="452">
        <v>98859154.930000007</v>
      </c>
      <c r="N71" s="452">
        <v>98859154.930000007</v>
      </c>
      <c r="O71" s="452">
        <v>98859154.930000007</v>
      </c>
      <c r="P71" s="452">
        <v>98859154.930000007</v>
      </c>
      <c r="Q71" s="453">
        <v>229492.99</v>
      </c>
    </row>
    <row r="72" spans="1:18" outlineLevel="4">
      <c r="A72" s="454" t="s">
        <v>906</v>
      </c>
      <c r="B72" s="455" t="s">
        <v>907</v>
      </c>
      <c r="C72" s="455" t="s">
        <v>942</v>
      </c>
      <c r="D72" s="455" t="s">
        <v>947</v>
      </c>
      <c r="E72" s="455"/>
      <c r="F72" s="455"/>
      <c r="G72" s="456"/>
      <c r="H72" s="455"/>
      <c r="I72" s="457">
        <v>0</v>
      </c>
      <c r="J72" s="457">
        <v>0</v>
      </c>
      <c r="K72" s="457">
        <v>0</v>
      </c>
      <c r="L72" s="457">
        <v>0</v>
      </c>
      <c r="M72" s="457">
        <v>0</v>
      </c>
      <c r="N72" s="457">
        <v>0</v>
      </c>
      <c r="O72" s="457">
        <v>0</v>
      </c>
      <c r="P72" s="457">
        <v>28669154.93</v>
      </c>
      <c r="Q72" s="458">
        <v>0</v>
      </c>
    </row>
    <row r="73" spans="1:18" ht="38.25" outlineLevel="5">
      <c r="A73" s="459" t="s">
        <v>906</v>
      </c>
      <c r="B73" s="460" t="s">
        <v>907</v>
      </c>
      <c r="C73" s="460" t="s">
        <v>942</v>
      </c>
      <c r="D73" s="460" t="s">
        <v>947</v>
      </c>
      <c r="E73" s="460"/>
      <c r="F73" s="460" t="s">
        <v>944</v>
      </c>
      <c r="G73" s="461" t="s">
        <v>559</v>
      </c>
      <c r="H73" s="460" t="s">
        <v>945</v>
      </c>
      <c r="I73" s="462">
        <v>0</v>
      </c>
      <c r="J73" s="462">
        <v>0</v>
      </c>
      <c r="K73" s="462">
        <v>0</v>
      </c>
      <c r="L73" s="462">
        <v>0</v>
      </c>
      <c r="M73" s="462">
        <v>0</v>
      </c>
      <c r="N73" s="462">
        <v>0</v>
      </c>
      <c r="O73" s="462">
        <v>0</v>
      </c>
      <c r="P73" s="462">
        <v>20068408.449999999</v>
      </c>
      <c r="Q73" s="463">
        <v>0</v>
      </c>
    </row>
    <row r="74" spans="1:18" ht="38.25" outlineLevel="5">
      <c r="A74" s="459" t="s">
        <v>906</v>
      </c>
      <c r="B74" s="460" t="s">
        <v>907</v>
      </c>
      <c r="C74" s="460" t="s">
        <v>942</v>
      </c>
      <c r="D74" s="460" t="s">
        <v>947</v>
      </c>
      <c r="E74" s="460"/>
      <c r="F74" s="460" t="s">
        <v>944</v>
      </c>
      <c r="G74" s="461" t="s">
        <v>559</v>
      </c>
      <c r="H74" s="460" t="s">
        <v>912</v>
      </c>
      <c r="I74" s="462">
        <v>0</v>
      </c>
      <c r="J74" s="462">
        <v>0</v>
      </c>
      <c r="K74" s="462">
        <v>0</v>
      </c>
      <c r="L74" s="462">
        <v>0</v>
      </c>
      <c r="M74" s="462">
        <v>0</v>
      </c>
      <c r="N74" s="462">
        <v>0</v>
      </c>
      <c r="O74" s="462">
        <v>0</v>
      </c>
      <c r="P74" s="462">
        <v>8600746.4800000004</v>
      </c>
      <c r="Q74" s="463">
        <v>0</v>
      </c>
    </row>
    <row r="75" spans="1:18" outlineLevel="4">
      <c r="A75" s="454" t="s">
        <v>906</v>
      </c>
      <c r="B75" s="455" t="s">
        <v>907</v>
      </c>
      <c r="C75" s="455" t="s">
        <v>942</v>
      </c>
      <c r="D75" s="455" t="s">
        <v>947</v>
      </c>
      <c r="E75" s="455" t="s">
        <v>946</v>
      </c>
      <c r="F75" s="455"/>
      <c r="G75" s="456"/>
      <c r="H75" s="455"/>
      <c r="I75" s="457">
        <v>0</v>
      </c>
      <c r="J75" s="457">
        <v>99088647.920000002</v>
      </c>
      <c r="K75" s="457">
        <v>99088647.920000002</v>
      </c>
      <c r="L75" s="457">
        <v>0</v>
      </c>
      <c r="M75" s="457">
        <v>98859154.930000007</v>
      </c>
      <c r="N75" s="457">
        <v>98859154.930000007</v>
      </c>
      <c r="O75" s="457">
        <v>98859154.930000007</v>
      </c>
      <c r="P75" s="457">
        <v>98859154.930000007</v>
      </c>
      <c r="Q75" s="458">
        <v>229492.99</v>
      </c>
    </row>
    <row r="76" spans="1:18" outlineLevel="5">
      <c r="A76" s="459" t="s">
        <v>906</v>
      </c>
      <c r="B76" s="460" t="s">
        <v>907</v>
      </c>
      <c r="C76" s="460" t="s">
        <v>942</v>
      </c>
      <c r="D76" s="460" t="s">
        <v>947</v>
      </c>
      <c r="E76" s="460" t="s">
        <v>946</v>
      </c>
      <c r="F76" s="460"/>
      <c r="G76" s="461"/>
      <c r="H76" s="460"/>
      <c r="I76" s="462">
        <v>0</v>
      </c>
      <c r="J76" s="462">
        <v>0</v>
      </c>
      <c r="K76" s="462">
        <v>0</v>
      </c>
      <c r="L76" s="462">
        <v>0</v>
      </c>
      <c r="M76" s="462">
        <v>0</v>
      </c>
      <c r="N76" s="462">
        <v>0</v>
      </c>
      <c r="O76" s="462">
        <v>0</v>
      </c>
      <c r="P76" s="462">
        <v>29657746.48</v>
      </c>
      <c r="Q76" s="463">
        <v>0</v>
      </c>
    </row>
    <row r="77" spans="1:18" ht="38.25" outlineLevel="5">
      <c r="A77" s="459" t="s">
        <v>906</v>
      </c>
      <c r="B77" s="460" t="s">
        <v>907</v>
      </c>
      <c r="C77" s="460" t="s">
        <v>942</v>
      </c>
      <c r="D77" s="460" t="s">
        <v>947</v>
      </c>
      <c r="E77" s="460" t="s">
        <v>946</v>
      </c>
      <c r="F77" s="460" t="s">
        <v>944</v>
      </c>
      <c r="G77" s="461" t="s">
        <v>559</v>
      </c>
      <c r="H77" s="460"/>
      <c r="I77" s="462">
        <v>0</v>
      </c>
      <c r="J77" s="462">
        <v>0</v>
      </c>
      <c r="K77" s="462">
        <v>0</v>
      </c>
      <c r="L77" s="462">
        <v>0</v>
      </c>
      <c r="M77" s="462">
        <v>0</v>
      </c>
      <c r="N77" s="462">
        <v>0</v>
      </c>
      <c r="O77" s="462">
        <v>0</v>
      </c>
      <c r="P77" s="462">
        <v>69201408.450000003</v>
      </c>
      <c r="Q77" s="463">
        <v>0</v>
      </c>
      <c r="R77" s="426">
        <v>69201.408450000003</v>
      </c>
    </row>
    <row r="78" spans="1:18" ht="38.25" outlineLevel="5">
      <c r="A78" s="459" t="s">
        <v>906</v>
      </c>
      <c r="B78" s="460" t="s">
        <v>907</v>
      </c>
      <c r="C78" s="460" t="s">
        <v>942</v>
      </c>
      <c r="D78" s="460" t="s">
        <v>947</v>
      </c>
      <c r="E78" s="460" t="s">
        <v>946</v>
      </c>
      <c r="F78" s="460" t="s">
        <v>944</v>
      </c>
      <c r="G78" s="461" t="s">
        <v>559</v>
      </c>
      <c r="H78" s="460" t="s">
        <v>945</v>
      </c>
      <c r="I78" s="462">
        <v>0</v>
      </c>
      <c r="J78" s="462">
        <v>70190000</v>
      </c>
      <c r="K78" s="462">
        <v>70190000</v>
      </c>
      <c r="L78" s="462">
        <v>0</v>
      </c>
      <c r="M78" s="462">
        <v>70190000</v>
      </c>
      <c r="N78" s="462">
        <v>70190000</v>
      </c>
      <c r="O78" s="462">
        <v>70190000</v>
      </c>
      <c r="P78" s="462">
        <v>70190000</v>
      </c>
      <c r="Q78" s="463">
        <v>0</v>
      </c>
    </row>
    <row r="79" spans="1:18" ht="38.25" outlineLevel="5">
      <c r="A79" s="459" t="s">
        <v>906</v>
      </c>
      <c r="B79" s="460" t="s">
        <v>907</v>
      </c>
      <c r="C79" s="460" t="s">
        <v>942</v>
      </c>
      <c r="D79" s="460" t="s">
        <v>947</v>
      </c>
      <c r="E79" s="460" t="s">
        <v>946</v>
      </c>
      <c r="F79" s="460" t="s">
        <v>944</v>
      </c>
      <c r="G79" s="461" t="s">
        <v>559</v>
      </c>
      <c r="H79" s="460" t="s">
        <v>912</v>
      </c>
      <c r="I79" s="462">
        <v>0</v>
      </c>
      <c r="J79" s="462">
        <v>28898647.920000002</v>
      </c>
      <c r="K79" s="462">
        <v>28898647.920000002</v>
      </c>
      <c r="L79" s="462">
        <v>0</v>
      </c>
      <c r="M79" s="462">
        <v>28669154.93</v>
      </c>
      <c r="N79" s="462">
        <v>28669154.93</v>
      </c>
      <c r="O79" s="462">
        <v>28669154.93</v>
      </c>
      <c r="P79" s="462">
        <v>28669154.93</v>
      </c>
      <c r="Q79" s="463">
        <v>229492.99</v>
      </c>
      <c r="R79" s="426">
        <v>28898.647919999999</v>
      </c>
    </row>
    <row r="80" spans="1:18" outlineLevel="2">
      <c r="A80" s="444" t="s">
        <v>906</v>
      </c>
      <c r="B80" s="445" t="s">
        <v>907</v>
      </c>
      <c r="C80" s="445" t="s">
        <v>948</v>
      </c>
      <c r="D80" s="445"/>
      <c r="E80" s="445"/>
      <c r="F80" s="445"/>
      <c r="G80" s="446"/>
      <c r="H80" s="445"/>
      <c r="I80" s="447">
        <v>6250000</v>
      </c>
      <c r="J80" s="447">
        <v>-1937500</v>
      </c>
      <c r="K80" s="447">
        <v>4312500</v>
      </c>
      <c r="L80" s="447">
        <v>0</v>
      </c>
      <c r="M80" s="447">
        <v>4312500</v>
      </c>
      <c r="N80" s="447">
        <v>4312500</v>
      </c>
      <c r="O80" s="447">
        <v>4312500</v>
      </c>
      <c r="P80" s="447">
        <v>4312500</v>
      </c>
      <c r="Q80" s="448">
        <v>0</v>
      </c>
    </row>
    <row r="81" spans="1:17" outlineLevel="3">
      <c r="A81" s="449" t="s">
        <v>906</v>
      </c>
      <c r="B81" s="450" t="s">
        <v>907</v>
      </c>
      <c r="C81" s="450" t="s">
        <v>948</v>
      </c>
      <c r="D81" s="450" t="s">
        <v>909</v>
      </c>
      <c r="E81" s="450"/>
      <c r="F81" s="450"/>
      <c r="G81" s="451"/>
      <c r="H81" s="450"/>
      <c r="I81" s="452">
        <v>6250000</v>
      </c>
      <c r="J81" s="452">
        <v>-1937500</v>
      </c>
      <c r="K81" s="452">
        <v>4312500</v>
      </c>
      <c r="L81" s="452">
        <v>0</v>
      </c>
      <c r="M81" s="452">
        <v>4312500</v>
      </c>
      <c r="N81" s="452">
        <v>4312500</v>
      </c>
      <c r="O81" s="452">
        <v>4312500</v>
      </c>
      <c r="P81" s="452">
        <v>4312500</v>
      </c>
      <c r="Q81" s="453">
        <v>0</v>
      </c>
    </row>
    <row r="82" spans="1:17" outlineLevel="4">
      <c r="A82" s="454" t="s">
        <v>906</v>
      </c>
      <c r="B82" s="455" t="s">
        <v>907</v>
      </c>
      <c r="C82" s="455" t="s">
        <v>948</v>
      </c>
      <c r="D82" s="455" t="s">
        <v>909</v>
      </c>
      <c r="E82" s="455" t="s">
        <v>910</v>
      </c>
      <c r="F82" s="455"/>
      <c r="G82" s="456"/>
      <c r="H82" s="455"/>
      <c r="I82" s="457">
        <v>6250000</v>
      </c>
      <c r="J82" s="457">
        <v>-1937500</v>
      </c>
      <c r="K82" s="457">
        <v>4312500</v>
      </c>
      <c r="L82" s="457">
        <v>0</v>
      </c>
      <c r="M82" s="457">
        <v>4312500</v>
      </c>
      <c r="N82" s="457">
        <v>4312500</v>
      </c>
      <c r="O82" s="457">
        <v>4312500</v>
      </c>
      <c r="P82" s="457">
        <v>4312500</v>
      </c>
      <c r="Q82" s="458">
        <v>0</v>
      </c>
    </row>
    <row r="83" spans="1:17" ht="25.5" outlineLevel="5">
      <c r="A83" s="459" t="s">
        <v>906</v>
      </c>
      <c r="B83" s="460" t="s">
        <v>907</v>
      </c>
      <c r="C83" s="460" t="s">
        <v>948</v>
      </c>
      <c r="D83" s="460" t="s">
        <v>909</v>
      </c>
      <c r="E83" s="460" t="s">
        <v>910</v>
      </c>
      <c r="F83" s="460" t="s">
        <v>949</v>
      </c>
      <c r="G83" s="461" t="s">
        <v>950</v>
      </c>
      <c r="H83" s="460"/>
      <c r="I83" s="462">
        <v>0</v>
      </c>
      <c r="J83" s="462">
        <v>0</v>
      </c>
      <c r="K83" s="462">
        <v>0</v>
      </c>
      <c r="L83" s="462">
        <v>0</v>
      </c>
      <c r="M83" s="462">
        <v>0</v>
      </c>
      <c r="N83" s="462">
        <v>0</v>
      </c>
      <c r="O83" s="462">
        <v>0</v>
      </c>
      <c r="P83" s="462">
        <v>4312500</v>
      </c>
      <c r="Q83" s="463">
        <v>0</v>
      </c>
    </row>
    <row r="84" spans="1:17" ht="25.5" outlineLevel="5">
      <c r="A84" s="459" t="s">
        <v>906</v>
      </c>
      <c r="B84" s="460" t="s">
        <v>907</v>
      </c>
      <c r="C84" s="460" t="s">
        <v>948</v>
      </c>
      <c r="D84" s="460" t="s">
        <v>909</v>
      </c>
      <c r="E84" s="460" t="s">
        <v>910</v>
      </c>
      <c r="F84" s="460" t="s">
        <v>949</v>
      </c>
      <c r="G84" s="461" t="s">
        <v>950</v>
      </c>
      <c r="H84" s="460" t="s">
        <v>912</v>
      </c>
      <c r="I84" s="462">
        <v>6250000</v>
      </c>
      <c r="J84" s="462">
        <v>-1937500</v>
      </c>
      <c r="K84" s="462">
        <v>4312500</v>
      </c>
      <c r="L84" s="462">
        <v>0</v>
      </c>
      <c r="M84" s="462">
        <v>4312500</v>
      </c>
      <c r="N84" s="462">
        <v>4312500</v>
      </c>
      <c r="O84" s="462">
        <v>4312500</v>
      </c>
      <c r="P84" s="462">
        <v>0</v>
      </c>
      <c r="Q84" s="463">
        <v>0</v>
      </c>
    </row>
    <row r="85" spans="1:17" outlineLevel="2">
      <c r="A85" s="444" t="s">
        <v>906</v>
      </c>
      <c r="B85" s="445" t="s">
        <v>907</v>
      </c>
      <c r="C85" s="445" t="s">
        <v>951</v>
      </c>
      <c r="D85" s="445"/>
      <c r="E85" s="445"/>
      <c r="F85" s="445"/>
      <c r="G85" s="446"/>
      <c r="H85" s="445"/>
      <c r="I85" s="447">
        <v>0</v>
      </c>
      <c r="J85" s="447">
        <v>11707942.039999999</v>
      </c>
      <c r="K85" s="447">
        <v>11707942.039999999</v>
      </c>
      <c r="L85" s="447">
        <v>0</v>
      </c>
      <c r="M85" s="447">
        <v>11707942.039999999</v>
      </c>
      <c r="N85" s="447">
        <v>11707942.039999999</v>
      </c>
      <c r="O85" s="447">
        <v>11707942.039999999</v>
      </c>
      <c r="P85" s="447">
        <v>11707942.039999999</v>
      </c>
      <c r="Q85" s="448">
        <v>0</v>
      </c>
    </row>
    <row r="86" spans="1:17" outlineLevel="3">
      <c r="A86" s="449" t="s">
        <v>906</v>
      </c>
      <c r="B86" s="450" t="s">
        <v>907</v>
      </c>
      <c r="C86" s="450" t="s">
        <v>951</v>
      </c>
      <c r="D86" s="450" t="s">
        <v>909</v>
      </c>
      <c r="E86" s="450"/>
      <c r="F86" s="450"/>
      <c r="G86" s="451"/>
      <c r="H86" s="450"/>
      <c r="I86" s="452">
        <v>0</v>
      </c>
      <c r="J86" s="452">
        <v>11707942.039999999</v>
      </c>
      <c r="K86" s="452">
        <v>11707942.039999999</v>
      </c>
      <c r="L86" s="452">
        <v>0</v>
      </c>
      <c r="M86" s="452">
        <v>11707942.039999999</v>
      </c>
      <c r="N86" s="452">
        <v>11707942.039999999</v>
      </c>
      <c r="O86" s="452">
        <v>11707942.039999999</v>
      </c>
      <c r="P86" s="452">
        <v>11707942.039999999</v>
      </c>
      <c r="Q86" s="453">
        <v>0</v>
      </c>
    </row>
    <row r="87" spans="1:17" outlineLevel="4">
      <c r="A87" s="454" t="s">
        <v>906</v>
      </c>
      <c r="B87" s="455" t="s">
        <v>907</v>
      </c>
      <c r="C87" s="455" t="s">
        <v>951</v>
      </c>
      <c r="D87" s="455" t="s">
        <v>909</v>
      </c>
      <c r="E87" s="455" t="s">
        <v>952</v>
      </c>
      <c r="F87" s="455"/>
      <c r="G87" s="456"/>
      <c r="H87" s="455"/>
      <c r="I87" s="457">
        <v>0</v>
      </c>
      <c r="J87" s="457">
        <v>11707942.039999999</v>
      </c>
      <c r="K87" s="457">
        <v>11707942.039999999</v>
      </c>
      <c r="L87" s="457">
        <v>0</v>
      </c>
      <c r="M87" s="457">
        <v>11707942.039999999</v>
      </c>
      <c r="N87" s="457">
        <v>11707942.039999999</v>
      </c>
      <c r="O87" s="457">
        <v>11707942.039999999</v>
      </c>
      <c r="P87" s="457">
        <v>11707942.039999999</v>
      </c>
      <c r="Q87" s="458">
        <v>0</v>
      </c>
    </row>
    <row r="88" spans="1:17" ht="25.5" outlineLevel="5">
      <c r="A88" s="459" t="s">
        <v>906</v>
      </c>
      <c r="B88" s="460" t="s">
        <v>907</v>
      </c>
      <c r="C88" s="460" t="s">
        <v>951</v>
      </c>
      <c r="D88" s="460" t="s">
        <v>909</v>
      </c>
      <c r="E88" s="460" t="s">
        <v>952</v>
      </c>
      <c r="F88" s="460" t="s">
        <v>953</v>
      </c>
      <c r="G88" s="461" t="s">
        <v>954</v>
      </c>
      <c r="H88" s="460"/>
      <c r="I88" s="462">
        <v>0</v>
      </c>
      <c r="J88" s="462">
        <v>0</v>
      </c>
      <c r="K88" s="462">
        <v>0</v>
      </c>
      <c r="L88" s="462">
        <v>0</v>
      </c>
      <c r="M88" s="462">
        <v>0</v>
      </c>
      <c r="N88" s="462">
        <v>0</v>
      </c>
      <c r="O88" s="462">
        <v>0</v>
      </c>
      <c r="P88" s="462">
        <v>4007894.47</v>
      </c>
      <c r="Q88" s="463">
        <v>0</v>
      </c>
    </row>
    <row r="89" spans="1:17" ht="25.5" outlineLevel="5">
      <c r="A89" s="459" t="s">
        <v>906</v>
      </c>
      <c r="B89" s="460" t="s">
        <v>907</v>
      </c>
      <c r="C89" s="460" t="s">
        <v>951</v>
      </c>
      <c r="D89" s="460" t="s">
        <v>909</v>
      </c>
      <c r="E89" s="460" t="s">
        <v>952</v>
      </c>
      <c r="F89" s="460" t="s">
        <v>953</v>
      </c>
      <c r="G89" s="461" t="s">
        <v>954</v>
      </c>
      <c r="H89" s="460" t="s">
        <v>912</v>
      </c>
      <c r="I89" s="462">
        <v>0</v>
      </c>
      <c r="J89" s="462">
        <v>4007894.47</v>
      </c>
      <c r="K89" s="462">
        <v>4007894.47</v>
      </c>
      <c r="L89" s="462">
        <v>0</v>
      </c>
      <c r="M89" s="462">
        <v>4007894.47</v>
      </c>
      <c r="N89" s="462">
        <v>4007894.47</v>
      </c>
      <c r="O89" s="462">
        <v>4007894.47</v>
      </c>
      <c r="P89" s="462">
        <v>0</v>
      </c>
      <c r="Q89" s="463">
        <v>0</v>
      </c>
    </row>
    <row r="90" spans="1:17" ht="38.25" outlineLevel="5">
      <c r="A90" s="459" t="s">
        <v>906</v>
      </c>
      <c r="B90" s="460" t="s">
        <v>907</v>
      </c>
      <c r="C90" s="460" t="s">
        <v>951</v>
      </c>
      <c r="D90" s="460" t="s">
        <v>909</v>
      </c>
      <c r="E90" s="460" t="s">
        <v>952</v>
      </c>
      <c r="F90" s="460" t="s">
        <v>955</v>
      </c>
      <c r="G90" s="461" t="s">
        <v>956</v>
      </c>
      <c r="H90" s="460"/>
      <c r="I90" s="462">
        <v>0</v>
      </c>
      <c r="J90" s="462">
        <v>0</v>
      </c>
      <c r="K90" s="462">
        <v>0</v>
      </c>
      <c r="L90" s="462">
        <v>0</v>
      </c>
      <c r="M90" s="462">
        <v>0</v>
      </c>
      <c r="N90" s="462">
        <v>0</v>
      </c>
      <c r="O90" s="462">
        <v>0</v>
      </c>
      <c r="P90" s="462">
        <v>7700047.5700000003</v>
      </c>
      <c r="Q90" s="463">
        <v>0</v>
      </c>
    </row>
    <row r="91" spans="1:17" ht="38.25" outlineLevel="5">
      <c r="A91" s="459" t="s">
        <v>906</v>
      </c>
      <c r="B91" s="460" t="s">
        <v>907</v>
      </c>
      <c r="C91" s="460" t="s">
        <v>951</v>
      </c>
      <c r="D91" s="460" t="s">
        <v>909</v>
      </c>
      <c r="E91" s="460" t="s">
        <v>952</v>
      </c>
      <c r="F91" s="460" t="s">
        <v>955</v>
      </c>
      <c r="G91" s="461" t="s">
        <v>956</v>
      </c>
      <c r="H91" s="460" t="s">
        <v>912</v>
      </c>
      <c r="I91" s="462">
        <v>0</v>
      </c>
      <c r="J91" s="462">
        <v>7700047.5700000003</v>
      </c>
      <c r="K91" s="462">
        <v>7700047.5700000003</v>
      </c>
      <c r="L91" s="462">
        <v>0</v>
      </c>
      <c r="M91" s="462">
        <v>7700047.5700000003</v>
      </c>
      <c r="N91" s="462">
        <v>7700047.5700000003</v>
      </c>
      <c r="O91" s="462">
        <v>7700047.5700000003</v>
      </c>
      <c r="P91" s="462">
        <v>0</v>
      </c>
      <c r="Q91" s="463">
        <v>0</v>
      </c>
    </row>
    <row r="92" spans="1:17" outlineLevel="1">
      <c r="A92" s="439" t="s">
        <v>906</v>
      </c>
      <c r="B92" s="440" t="s">
        <v>957</v>
      </c>
      <c r="C92" s="440"/>
      <c r="D92" s="440"/>
      <c r="E92" s="440"/>
      <c r="F92" s="440"/>
      <c r="G92" s="441"/>
      <c r="H92" s="440"/>
      <c r="I92" s="442">
        <v>1559136095.46</v>
      </c>
      <c r="J92" s="442">
        <v>21818446.16</v>
      </c>
      <c r="K92" s="442">
        <v>1580954541.6199999</v>
      </c>
      <c r="L92" s="442">
        <v>96489855.489999995</v>
      </c>
      <c r="M92" s="442">
        <v>1525649658.1300001</v>
      </c>
      <c r="N92" s="442">
        <v>1580739513.6199999</v>
      </c>
      <c r="O92" s="442">
        <v>1579051475.2</v>
      </c>
      <c r="P92" s="442">
        <v>1579051475.2</v>
      </c>
      <c r="Q92" s="443">
        <v>1903066.42</v>
      </c>
    </row>
    <row r="93" spans="1:17" outlineLevel="2">
      <c r="A93" s="444" t="s">
        <v>906</v>
      </c>
      <c r="B93" s="445" t="s">
        <v>957</v>
      </c>
      <c r="C93" s="445" t="s">
        <v>958</v>
      </c>
      <c r="D93" s="445"/>
      <c r="E93" s="445"/>
      <c r="F93" s="445"/>
      <c r="G93" s="446"/>
      <c r="H93" s="445"/>
      <c r="I93" s="447">
        <v>55000000</v>
      </c>
      <c r="J93" s="447">
        <v>0</v>
      </c>
      <c r="K93" s="447">
        <v>55000000</v>
      </c>
      <c r="L93" s="447">
        <v>0</v>
      </c>
      <c r="M93" s="447">
        <v>55000000</v>
      </c>
      <c r="N93" s="447">
        <v>55000000</v>
      </c>
      <c r="O93" s="447">
        <v>55000000</v>
      </c>
      <c r="P93" s="447">
        <v>55000000</v>
      </c>
      <c r="Q93" s="448">
        <v>0</v>
      </c>
    </row>
    <row r="94" spans="1:17" outlineLevel="3">
      <c r="A94" s="449" t="s">
        <v>906</v>
      </c>
      <c r="B94" s="450" t="s">
        <v>957</v>
      </c>
      <c r="C94" s="450" t="s">
        <v>958</v>
      </c>
      <c r="D94" s="450" t="s">
        <v>918</v>
      </c>
      <c r="E94" s="450"/>
      <c r="F94" s="450"/>
      <c r="G94" s="451"/>
      <c r="H94" s="450"/>
      <c r="I94" s="452">
        <v>55000000</v>
      </c>
      <c r="J94" s="452">
        <v>0</v>
      </c>
      <c r="K94" s="452">
        <v>55000000</v>
      </c>
      <c r="L94" s="452">
        <v>0</v>
      </c>
      <c r="M94" s="452">
        <v>55000000</v>
      </c>
      <c r="N94" s="452">
        <v>55000000</v>
      </c>
      <c r="O94" s="452">
        <v>55000000</v>
      </c>
      <c r="P94" s="452">
        <v>55000000</v>
      </c>
      <c r="Q94" s="453">
        <v>0</v>
      </c>
    </row>
    <row r="95" spans="1:17" outlineLevel="4">
      <c r="A95" s="454" t="s">
        <v>906</v>
      </c>
      <c r="B95" s="455" t="s">
        <v>957</v>
      </c>
      <c r="C95" s="455" t="s">
        <v>958</v>
      </c>
      <c r="D95" s="455" t="s">
        <v>918</v>
      </c>
      <c r="E95" s="455" t="s">
        <v>910</v>
      </c>
      <c r="F95" s="455"/>
      <c r="G95" s="456"/>
      <c r="H95" s="455"/>
      <c r="I95" s="457">
        <v>55000000</v>
      </c>
      <c r="J95" s="457">
        <v>0</v>
      </c>
      <c r="K95" s="457">
        <v>55000000</v>
      </c>
      <c r="L95" s="457">
        <v>0</v>
      </c>
      <c r="M95" s="457">
        <v>55000000</v>
      </c>
      <c r="N95" s="457">
        <v>55000000</v>
      </c>
      <c r="O95" s="457">
        <v>55000000</v>
      </c>
      <c r="P95" s="457">
        <v>55000000</v>
      </c>
      <c r="Q95" s="458">
        <v>0</v>
      </c>
    </row>
    <row r="96" spans="1:17" ht="76.5" outlineLevel="5">
      <c r="A96" s="459" t="s">
        <v>906</v>
      </c>
      <c r="B96" s="460" t="s">
        <v>957</v>
      </c>
      <c r="C96" s="460" t="s">
        <v>958</v>
      </c>
      <c r="D96" s="460" t="s">
        <v>918</v>
      </c>
      <c r="E96" s="460" t="s">
        <v>910</v>
      </c>
      <c r="F96" s="460" t="s">
        <v>959</v>
      </c>
      <c r="G96" s="461" t="s">
        <v>960</v>
      </c>
      <c r="H96" s="460"/>
      <c r="I96" s="462">
        <v>0</v>
      </c>
      <c r="J96" s="462">
        <v>0</v>
      </c>
      <c r="K96" s="462">
        <v>0</v>
      </c>
      <c r="L96" s="462">
        <v>0</v>
      </c>
      <c r="M96" s="462">
        <v>0</v>
      </c>
      <c r="N96" s="462">
        <v>0</v>
      </c>
      <c r="O96" s="462">
        <v>0</v>
      </c>
      <c r="P96" s="462">
        <v>27500000</v>
      </c>
      <c r="Q96" s="463">
        <v>0</v>
      </c>
    </row>
    <row r="97" spans="1:17" ht="76.5" outlineLevel="5">
      <c r="A97" s="459" t="s">
        <v>906</v>
      </c>
      <c r="B97" s="460" t="s">
        <v>957</v>
      </c>
      <c r="C97" s="460" t="s">
        <v>958</v>
      </c>
      <c r="D97" s="460" t="s">
        <v>918</v>
      </c>
      <c r="E97" s="460" t="s">
        <v>910</v>
      </c>
      <c r="F97" s="460" t="s">
        <v>959</v>
      </c>
      <c r="G97" s="461" t="s">
        <v>960</v>
      </c>
      <c r="H97" s="460" t="s">
        <v>912</v>
      </c>
      <c r="I97" s="462">
        <v>55000000</v>
      </c>
      <c r="J97" s="462">
        <v>0</v>
      </c>
      <c r="K97" s="462">
        <v>55000000</v>
      </c>
      <c r="L97" s="462">
        <v>0</v>
      </c>
      <c r="M97" s="462">
        <v>55000000</v>
      </c>
      <c r="N97" s="462">
        <v>55000000</v>
      </c>
      <c r="O97" s="462">
        <v>55000000</v>
      </c>
      <c r="P97" s="462">
        <v>27500000</v>
      </c>
      <c r="Q97" s="463">
        <v>0</v>
      </c>
    </row>
    <row r="98" spans="1:17" outlineLevel="2">
      <c r="A98" s="444" t="s">
        <v>906</v>
      </c>
      <c r="B98" s="445" t="s">
        <v>957</v>
      </c>
      <c r="C98" s="445" t="s">
        <v>961</v>
      </c>
      <c r="D98" s="445"/>
      <c r="E98" s="445"/>
      <c r="F98" s="445"/>
      <c r="G98" s="446"/>
      <c r="H98" s="445"/>
      <c r="I98" s="447">
        <v>20000000</v>
      </c>
      <c r="J98" s="447">
        <v>0</v>
      </c>
      <c r="K98" s="447">
        <v>20000000</v>
      </c>
      <c r="L98" s="447">
        <v>0</v>
      </c>
      <c r="M98" s="447">
        <v>20000000</v>
      </c>
      <c r="N98" s="447">
        <v>20000000</v>
      </c>
      <c r="O98" s="447">
        <v>20000000</v>
      </c>
      <c r="P98" s="447">
        <v>20000000</v>
      </c>
      <c r="Q98" s="448">
        <v>0</v>
      </c>
    </row>
    <row r="99" spans="1:17" outlineLevel="3">
      <c r="A99" s="449" t="s">
        <v>906</v>
      </c>
      <c r="B99" s="450" t="s">
        <v>957</v>
      </c>
      <c r="C99" s="450" t="s">
        <v>961</v>
      </c>
      <c r="D99" s="450" t="s">
        <v>918</v>
      </c>
      <c r="E99" s="450"/>
      <c r="F99" s="450"/>
      <c r="G99" s="451"/>
      <c r="H99" s="450"/>
      <c r="I99" s="452">
        <v>20000000</v>
      </c>
      <c r="J99" s="452">
        <v>0</v>
      </c>
      <c r="K99" s="452">
        <v>20000000</v>
      </c>
      <c r="L99" s="452">
        <v>0</v>
      </c>
      <c r="M99" s="452">
        <v>20000000</v>
      </c>
      <c r="N99" s="452">
        <v>20000000</v>
      </c>
      <c r="O99" s="452">
        <v>20000000</v>
      </c>
      <c r="P99" s="452">
        <v>20000000</v>
      </c>
      <c r="Q99" s="453">
        <v>0</v>
      </c>
    </row>
    <row r="100" spans="1:17" outlineLevel="4">
      <c r="A100" s="454" t="s">
        <v>906</v>
      </c>
      <c r="B100" s="455" t="s">
        <v>957</v>
      </c>
      <c r="C100" s="455" t="s">
        <v>961</v>
      </c>
      <c r="D100" s="455" t="s">
        <v>918</v>
      </c>
      <c r="E100" s="455" t="s">
        <v>910</v>
      </c>
      <c r="F100" s="455"/>
      <c r="G100" s="456"/>
      <c r="H100" s="455"/>
      <c r="I100" s="457">
        <v>20000000</v>
      </c>
      <c r="J100" s="457">
        <v>0</v>
      </c>
      <c r="K100" s="457">
        <v>20000000</v>
      </c>
      <c r="L100" s="457">
        <v>0</v>
      </c>
      <c r="M100" s="457">
        <v>20000000</v>
      </c>
      <c r="N100" s="457">
        <v>20000000</v>
      </c>
      <c r="O100" s="457">
        <v>20000000</v>
      </c>
      <c r="P100" s="457">
        <v>20000000</v>
      </c>
      <c r="Q100" s="458">
        <v>0</v>
      </c>
    </row>
    <row r="101" spans="1:17" ht="76.5" outlineLevel="5">
      <c r="A101" s="459" t="s">
        <v>906</v>
      </c>
      <c r="B101" s="460" t="s">
        <v>957</v>
      </c>
      <c r="C101" s="460" t="s">
        <v>961</v>
      </c>
      <c r="D101" s="460" t="s">
        <v>918</v>
      </c>
      <c r="E101" s="460" t="s">
        <v>910</v>
      </c>
      <c r="F101" s="460" t="s">
        <v>962</v>
      </c>
      <c r="G101" s="461" t="s">
        <v>963</v>
      </c>
      <c r="H101" s="460"/>
      <c r="I101" s="462">
        <v>0</v>
      </c>
      <c r="J101" s="462">
        <v>0</v>
      </c>
      <c r="K101" s="462">
        <v>0</v>
      </c>
      <c r="L101" s="462">
        <v>0</v>
      </c>
      <c r="M101" s="462">
        <v>0</v>
      </c>
      <c r="N101" s="462">
        <v>0</v>
      </c>
      <c r="O101" s="462">
        <v>0</v>
      </c>
      <c r="P101" s="462">
        <v>14000000</v>
      </c>
      <c r="Q101" s="463">
        <v>0</v>
      </c>
    </row>
    <row r="102" spans="1:17" ht="76.5" outlineLevel="5">
      <c r="A102" s="459" t="s">
        <v>906</v>
      </c>
      <c r="B102" s="460" t="s">
        <v>957</v>
      </c>
      <c r="C102" s="460" t="s">
        <v>961</v>
      </c>
      <c r="D102" s="460" t="s">
        <v>918</v>
      </c>
      <c r="E102" s="460" t="s">
        <v>910</v>
      </c>
      <c r="F102" s="460" t="s">
        <v>962</v>
      </c>
      <c r="G102" s="461" t="s">
        <v>963</v>
      </c>
      <c r="H102" s="460" t="s">
        <v>912</v>
      </c>
      <c r="I102" s="462">
        <v>20000000</v>
      </c>
      <c r="J102" s="462">
        <v>0</v>
      </c>
      <c r="K102" s="462">
        <v>20000000</v>
      </c>
      <c r="L102" s="462">
        <v>0</v>
      </c>
      <c r="M102" s="462">
        <v>20000000</v>
      </c>
      <c r="N102" s="462">
        <v>20000000</v>
      </c>
      <c r="O102" s="462">
        <v>20000000</v>
      </c>
      <c r="P102" s="462">
        <v>6000000</v>
      </c>
      <c r="Q102" s="463">
        <v>0</v>
      </c>
    </row>
    <row r="103" spans="1:17" outlineLevel="2">
      <c r="A103" s="444" t="s">
        <v>906</v>
      </c>
      <c r="B103" s="445" t="s">
        <v>957</v>
      </c>
      <c r="C103" s="445" t="s">
        <v>964</v>
      </c>
      <c r="D103" s="445"/>
      <c r="E103" s="445"/>
      <c r="F103" s="445"/>
      <c r="G103" s="446"/>
      <c r="H103" s="445"/>
      <c r="I103" s="447">
        <v>65000000</v>
      </c>
      <c r="J103" s="447">
        <v>17011627</v>
      </c>
      <c r="K103" s="447">
        <v>82011627</v>
      </c>
      <c r="L103" s="447">
        <v>0</v>
      </c>
      <c r="M103" s="447">
        <v>82011627</v>
      </c>
      <c r="N103" s="447">
        <v>82011627</v>
      </c>
      <c r="O103" s="447">
        <v>82011627</v>
      </c>
      <c r="P103" s="447">
        <v>82011627</v>
      </c>
      <c r="Q103" s="448">
        <v>0</v>
      </c>
    </row>
    <row r="104" spans="1:17" outlineLevel="3">
      <c r="A104" s="449" t="s">
        <v>906</v>
      </c>
      <c r="B104" s="450" t="s">
        <v>957</v>
      </c>
      <c r="C104" s="450" t="s">
        <v>964</v>
      </c>
      <c r="D104" s="450" t="s">
        <v>918</v>
      </c>
      <c r="E104" s="450"/>
      <c r="F104" s="450"/>
      <c r="G104" s="451"/>
      <c r="H104" s="450"/>
      <c r="I104" s="452">
        <v>65000000</v>
      </c>
      <c r="J104" s="452">
        <v>17011627</v>
      </c>
      <c r="K104" s="452">
        <v>82011627</v>
      </c>
      <c r="L104" s="452">
        <v>0</v>
      </c>
      <c r="M104" s="452">
        <v>82011627</v>
      </c>
      <c r="N104" s="452">
        <v>82011627</v>
      </c>
      <c r="O104" s="452">
        <v>82011627</v>
      </c>
      <c r="P104" s="452">
        <v>82011627</v>
      </c>
      <c r="Q104" s="453">
        <v>0</v>
      </c>
    </row>
    <row r="105" spans="1:17" outlineLevel="4">
      <c r="A105" s="454" t="s">
        <v>906</v>
      </c>
      <c r="B105" s="455" t="s">
        <v>957</v>
      </c>
      <c r="C105" s="455" t="s">
        <v>964</v>
      </c>
      <c r="D105" s="455" t="s">
        <v>918</v>
      </c>
      <c r="E105" s="455" t="s">
        <v>910</v>
      </c>
      <c r="F105" s="455"/>
      <c r="G105" s="456"/>
      <c r="H105" s="455"/>
      <c r="I105" s="457">
        <v>65000000</v>
      </c>
      <c r="J105" s="457">
        <v>17011627</v>
      </c>
      <c r="K105" s="457">
        <v>82011627</v>
      </c>
      <c r="L105" s="457">
        <v>0</v>
      </c>
      <c r="M105" s="457">
        <v>82011627</v>
      </c>
      <c r="N105" s="457">
        <v>82011627</v>
      </c>
      <c r="O105" s="457">
        <v>82011627</v>
      </c>
      <c r="P105" s="457">
        <v>82011627</v>
      </c>
      <c r="Q105" s="458">
        <v>0</v>
      </c>
    </row>
    <row r="106" spans="1:17" ht="89.25" outlineLevel="5">
      <c r="A106" s="459" t="s">
        <v>906</v>
      </c>
      <c r="B106" s="460" t="s">
        <v>957</v>
      </c>
      <c r="C106" s="460" t="s">
        <v>964</v>
      </c>
      <c r="D106" s="460" t="s">
        <v>918</v>
      </c>
      <c r="E106" s="460" t="s">
        <v>910</v>
      </c>
      <c r="F106" s="460" t="s">
        <v>965</v>
      </c>
      <c r="G106" s="461" t="s">
        <v>966</v>
      </c>
      <c r="H106" s="460"/>
      <c r="I106" s="462">
        <v>0</v>
      </c>
      <c r="J106" s="462">
        <v>0</v>
      </c>
      <c r="K106" s="462">
        <v>0</v>
      </c>
      <c r="L106" s="462">
        <v>0</v>
      </c>
      <c r="M106" s="462">
        <v>0</v>
      </c>
      <c r="N106" s="462">
        <v>0</v>
      </c>
      <c r="O106" s="462">
        <v>0</v>
      </c>
      <c r="P106" s="462">
        <v>29511627</v>
      </c>
      <c r="Q106" s="463">
        <v>0</v>
      </c>
    </row>
    <row r="107" spans="1:17" ht="89.25" outlineLevel="5">
      <c r="A107" s="459" t="s">
        <v>906</v>
      </c>
      <c r="B107" s="460" t="s">
        <v>957</v>
      </c>
      <c r="C107" s="460" t="s">
        <v>964</v>
      </c>
      <c r="D107" s="460" t="s">
        <v>918</v>
      </c>
      <c r="E107" s="460" t="s">
        <v>910</v>
      </c>
      <c r="F107" s="460" t="s">
        <v>965</v>
      </c>
      <c r="G107" s="461" t="s">
        <v>966</v>
      </c>
      <c r="H107" s="460" t="s">
        <v>912</v>
      </c>
      <c r="I107" s="462">
        <v>65000000</v>
      </c>
      <c r="J107" s="462">
        <v>17011627</v>
      </c>
      <c r="K107" s="462">
        <v>82011627</v>
      </c>
      <c r="L107" s="462">
        <v>0</v>
      </c>
      <c r="M107" s="462">
        <v>82011627</v>
      </c>
      <c r="N107" s="462">
        <v>82011627</v>
      </c>
      <c r="O107" s="462">
        <v>82011627</v>
      </c>
      <c r="P107" s="462">
        <v>52500000</v>
      </c>
      <c r="Q107" s="463">
        <v>0</v>
      </c>
    </row>
    <row r="108" spans="1:17" outlineLevel="2">
      <c r="A108" s="444" t="s">
        <v>906</v>
      </c>
      <c r="B108" s="445" t="s">
        <v>957</v>
      </c>
      <c r="C108" s="445" t="s">
        <v>967</v>
      </c>
      <c r="D108" s="445"/>
      <c r="E108" s="445"/>
      <c r="F108" s="445"/>
      <c r="G108" s="446"/>
      <c r="H108" s="445"/>
      <c r="I108" s="447">
        <v>1292848671.8099999</v>
      </c>
      <c r="J108" s="447">
        <v>-20485454.280000001</v>
      </c>
      <c r="K108" s="447">
        <v>1272363217.53</v>
      </c>
      <c r="L108" s="447">
        <v>0</v>
      </c>
      <c r="M108" s="447">
        <v>1272363217.53</v>
      </c>
      <c r="N108" s="447">
        <v>1272363217.53</v>
      </c>
      <c r="O108" s="447">
        <v>1271765934.51</v>
      </c>
      <c r="P108" s="447">
        <v>1271765934.51</v>
      </c>
      <c r="Q108" s="448">
        <v>597283.02</v>
      </c>
    </row>
    <row r="109" spans="1:17" outlineLevel="3">
      <c r="A109" s="449" t="s">
        <v>906</v>
      </c>
      <c r="B109" s="450" t="s">
        <v>957</v>
      </c>
      <c r="C109" s="450" t="s">
        <v>967</v>
      </c>
      <c r="D109" s="450" t="s">
        <v>968</v>
      </c>
      <c r="E109" s="450"/>
      <c r="F109" s="450"/>
      <c r="G109" s="451"/>
      <c r="H109" s="450"/>
      <c r="I109" s="452">
        <v>69385190.5</v>
      </c>
      <c r="J109" s="452">
        <v>2068978.67</v>
      </c>
      <c r="K109" s="452">
        <v>71454169.170000002</v>
      </c>
      <c r="L109" s="452">
        <v>0</v>
      </c>
      <c r="M109" s="452">
        <v>71454169.170000002</v>
      </c>
      <c r="N109" s="452">
        <v>71454169.170000002</v>
      </c>
      <c r="O109" s="452">
        <v>71454169.170000002</v>
      </c>
      <c r="P109" s="452">
        <v>71454169.170000002</v>
      </c>
      <c r="Q109" s="453">
        <v>0</v>
      </c>
    </row>
    <row r="110" spans="1:17" outlineLevel="4">
      <c r="A110" s="454" t="s">
        <v>906</v>
      </c>
      <c r="B110" s="455" t="s">
        <v>957</v>
      </c>
      <c r="C110" s="455" t="s">
        <v>967</v>
      </c>
      <c r="D110" s="455" t="s">
        <v>968</v>
      </c>
      <c r="E110" s="455" t="s">
        <v>910</v>
      </c>
      <c r="F110" s="455"/>
      <c r="G110" s="456"/>
      <c r="H110" s="455"/>
      <c r="I110" s="457">
        <v>69385190.5</v>
      </c>
      <c r="J110" s="457">
        <v>2068978.67</v>
      </c>
      <c r="K110" s="457">
        <v>71454169.170000002</v>
      </c>
      <c r="L110" s="457">
        <v>0</v>
      </c>
      <c r="M110" s="457">
        <v>71454169.170000002</v>
      </c>
      <c r="N110" s="457">
        <v>71454169.170000002</v>
      </c>
      <c r="O110" s="457">
        <v>71454169.170000002</v>
      </c>
      <c r="P110" s="457">
        <v>71454169.170000002</v>
      </c>
      <c r="Q110" s="458">
        <v>0</v>
      </c>
    </row>
    <row r="111" spans="1:17" ht="38.25" outlineLevel="5">
      <c r="A111" s="459" t="s">
        <v>906</v>
      </c>
      <c r="B111" s="460" t="s">
        <v>957</v>
      </c>
      <c r="C111" s="460" t="s">
        <v>967</v>
      </c>
      <c r="D111" s="460" t="s">
        <v>968</v>
      </c>
      <c r="E111" s="460" t="s">
        <v>910</v>
      </c>
      <c r="F111" s="460" t="s">
        <v>969</v>
      </c>
      <c r="G111" s="461" t="s">
        <v>9</v>
      </c>
      <c r="H111" s="460"/>
      <c r="I111" s="462">
        <v>0</v>
      </c>
      <c r="J111" s="462">
        <v>0</v>
      </c>
      <c r="K111" s="462">
        <v>0</v>
      </c>
      <c r="L111" s="462">
        <v>0</v>
      </c>
      <c r="M111" s="462">
        <v>0</v>
      </c>
      <c r="N111" s="462">
        <v>0</v>
      </c>
      <c r="O111" s="462">
        <v>0</v>
      </c>
      <c r="P111" s="462">
        <v>42954169.170000002</v>
      </c>
      <c r="Q111" s="463">
        <v>0</v>
      </c>
    </row>
    <row r="112" spans="1:17" ht="38.25" outlineLevel="5">
      <c r="A112" s="459" t="s">
        <v>906</v>
      </c>
      <c r="B112" s="460" t="s">
        <v>957</v>
      </c>
      <c r="C112" s="460" t="s">
        <v>967</v>
      </c>
      <c r="D112" s="460" t="s">
        <v>968</v>
      </c>
      <c r="E112" s="460" t="s">
        <v>910</v>
      </c>
      <c r="F112" s="460" t="s">
        <v>969</v>
      </c>
      <c r="G112" s="461" t="s">
        <v>9</v>
      </c>
      <c r="H112" s="460" t="s">
        <v>912</v>
      </c>
      <c r="I112" s="462">
        <v>69385190.5</v>
      </c>
      <c r="J112" s="462">
        <v>2068978.67</v>
      </c>
      <c r="K112" s="462">
        <v>71454169.170000002</v>
      </c>
      <c r="L112" s="462">
        <v>0</v>
      </c>
      <c r="M112" s="462">
        <v>71454169.170000002</v>
      </c>
      <c r="N112" s="462">
        <v>71454169.170000002</v>
      </c>
      <c r="O112" s="462">
        <v>71454169.170000002</v>
      </c>
      <c r="P112" s="462">
        <v>28500000</v>
      </c>
      <c r="Q112" s="463">
        <v>0</v>
      </c>
    </row>
    <row r="113" spans="1:17" outlineLevel="3">
      <c r="A113" s="449" t="s">
        <v>906</v>
      </c>
      <c r="B113" s="450" t="s">
        <v>957</v>
      </c>
      <c r="C113" s="450" t="s">
        <v>967</v>
      </c>
      <c r="D113" s="450" t="s">
        <v>970</v>
      </c>
      <c r="E113" s="450"/>
      <c r="F113" s="450"/>
      <c r="G113" s="451"/>
      <c r="H113" s="450"/>
      <c r="I113" s="452">
        <v>8160</v>
      </c>
      <c r="J113" s="452">
        <v>148640</v>
      </c>
      <c r="K113" s="452">
        <v>156800</v>
      </c>
      <c r="L113" s="452">
        <v>0</v>
      </c>
      <c r="M113" s="452">
        <v>156800</v>
      </c>
      <c r="N113" s="452">
        <v>156800</v>
      </c>
      <c r="O113" s="452">
        <v>148640</v>
      </c>
      <c r="P113" s="452">
        <v>148640</v>
      </c>
      <c r="Q113" s="453">
        <v>8160</v>
      </c>
    </row>
    <row r="114" spans="1:17" outlineLevel="4">
      <c r="A114" s="454" t="s">
        <v>906</v>
      </c>
      <c r="B114" s="455" t="s">
        <v>957</v>
      </c>
      <c r="C114" s="455" t="s">
        <v>967</v>
      </c>
      <c r="D114" s="455" t="s">
        <v>970</v>
      </c>
      <c r="E114" s="455" t="s">
        <v>910</v>
      </c>
      <c r="F114" s="455"/>
      <c r="G114" s="456"/>
      <c r="H114" s="455"/>
      <c r="I114" s="457">
        <v>8160</v>
      </c>
      <c r="J114" s="457">
        <v>148640</v>
      </c>
      <c r="K114" s="457">
        <v>156800</v>
      </c>
      <c r="L114" s="457">
        <v>0</v>
      </c>
      <c r="M114" s="457">
        <v>156800</v>
      </c>
      <c r="N114" s="457">
        <v>156800</v>
      </c>
      <c r="O114" s="457">
        <v>148640</v>
      </c>
      <c r="P114" s="457">
        <v>148640</v>
      </c>
      <c r="Q114" s="458">
        <v>8160</v>
      </c>
    </row>
    <row r="115" spans="1:17" ht="76.5" outlineLevel="5">
      <c r="A115" s="459" t="s">
        <v>906</v>
      </c>
      <c r="B115" s="460" t="s">
        <v>957</v>
      </c>
      <c r="C115" s="460" t="s">
        <v>967</v>
      </c>
      <c r="D115" s="460" t="s">
        <v>970</v>
      </c>
      <c r="E115" s="460" t="s">
        <v>910</v>
      </c>
      <c r="F115" s="460" t="s">
        <v>971</v>
      </c>
      <c r="G115" s="461" t="s">
        <v>36</v>
      </c>
      <c r="H115" s="460" t="s">
        <v>912</v>
      </c>
      <c r="I115" s="462">
        <v>8160</v>
      </c>
      <c r="J115" s="462">
        <v>0</v>
      </c>
      <c r="K115" s="462">
        <v>8160</v>
      </c>
      <c r="L115" s="462">
        <v>0</v>
      </c>
      <c r="M115" s="462">
        <v>8160</v>
      </c>
      <c r="N115" s="462">
        <v>8160</v>
      </c>
      <c r="O115" s="462">
        <v>0</v>
      </c>
      <c r="P115" s="462">
        <v>0</v>
      </c>
      <c r="Q115" s="463">
        <v>8160</v>
      </c>
    </row>
    <row r="116" spans="1:17" ht="38.25" outlineLevel="5">
      <c r="A116" s="459" t="s">
        <v>906</v>
      </c>
      <c r="B116" s="460" t="s">
        <v>957</v>
      </c>
      <c r="C116" s="460" t="s">
        <v>967</v>
      </c>
      <c r="D116" s="460" t="s">
        <v>970</v>
      </c>
      <c r="E116" s="460" t="s">
        <v>910</v>
      </c>
      <c r="F116" s="460" t="s">
        <v>972</v>
      </c>
      <c r="G116" s="461" t="s">
        <v>155</v>
      </c>
      <c r="H116" s="460"/>
      <c r="I116" s="462">
        <v>0</v>
      </c>
      <c r="J116" s="462">
        <v>0</v>
      </c>
      <c r="K116" s="462">
        <v>0</v>
      </c>
      <c r="L116" s="462">
        <v>0</v>
      </c>
      <c r="M116" s="462">
        <v>0</v>
      </c>
      <c r="N116" s="462">
        <v>0</v>
      </c>
      <c r="O116" s="462">
        <v>0</v>
      </c>
      <c r="P116" s="462">
        <v>148640</v>
      </c>
      <c r="Q116" s="463">
        <v>0</v>
      </c>
    </row>
    <row r="117" spans="1:17" ht="38.25" outlineLevel="5">
      <c r="A117" s="459" t="s">
        <v>906</v>
      </c>
      <c r="B117" s="460" t="s">
        <v>957</v>
      </c>
      <c r="C117" s="460" t="s">
        <v>967</v>
      </c>
      <c r="D117" s="460" t="s">
        <v>970</v>
      </c>
      <c r="E117" s="460" t="s">
        <v>910</v>
      </c>
      <c r="F117" s="460" t="s">
        <v>972</v>
      </c>
      <c r="G117" s="461" t="s">
        <v>155</v>
      </c>
      <c r="H117" s="460" t="s">
        <v>912</v>
      </c>
      <c r="I117" s="462">
        <v>0</v>
      </c>
      <c r="J117" s="462">
        <v>148640</v>
      </c>
      <c r="K117" s="462">
        <v>148640</v>
      </c>
      <c r="L117" s="462">
        <v>0</v>
      </c>
      <c r="M117" s="462">
        <v>148640</v>
      </c>
      <c r="N117" s="462">
        <v>148640</v>
      </c>
      <c r="O117" s="462">
        <v>148640</v>
      </c>
      <c r="P117" s="462">
        <v>0</v>
      </c>
      <c r="Q117" s="463">
        <v>0</v>
      </c>
    </row>
    <row r="118" spans="1:17" outlineLevel="3">
      <c r="A118" s="449" t="s">
        <v>906</v>
      </c>
      <c r="B118" s="450" t="s">
        <v>957</v>
      </c>
      <c r="C118" s="450" t="s">
        <v>967</v>
      </c>
      <c r="D118" s="450" t="s">
        <v>973</v>
      </c>
      <c r="E118" s="450"/>
      <c r="F118" s="450"/>
      <c r="G118" s="451"/>
      <c r="H118" s="450"/>
      <c r="I118" s="452">
        <v>1096173535.52</v>
      </c>
      <c r="J118" s="452">
        <v>-19080605.670000002</v>
      </c>
      <c r="K118" s="452">
        <v>1077092929.8499999</v>
      </c>
      <c r="L118" s="452">
        <v>0</v>
      </c>
      <c r="M118" s="452">
        <v>1077092929.8499999</v>
      </c>
      <c r="N118" s="452">
        <v>1077092929.8499999</v>
      </c>
      <c r="O118" s="452">
        <v>1077092929.8499999</v>
      </c>
      <c r="P118" s="452">
        <v>1077092929.8499999</v>
      </c>
      <c r="Q118" s="453">
        <v>0</v>
      </c>
    </row>
    <row r="119" spans="1:17" outlineLevel="4">
      <c r="A119" s="454" t="s">
        <v>906</v>
      </c>
      <c r="B119" s="455" t="s">
        <v>957</v>
      </c>
      <c r="C119" s="455" t="s">
        <v>967</v>
      </c>
      <c r="D119" s="455" t="s">
        <v>973</v>
      </c>
      <c r="E119" s="455" t="s">
        <v>910</v>
      </c>
      <c r="F119" s="455"/>
      <c r="G119" s="456"/>
      <c r="H119" s="455"/>
      <c r="I119" s="457">
        <v>1096173535.52</v>
      </c>
      <c r="J119" s="457">
        <v>-19080605.670000002</v>
      </c>
      <c r="K119" s="457">
        <v>1077092929.8499999</v>
      </c>
      <c r="L119" s="457">
        <v>0</v>
      </c>
      <c r="M119" s="457">
        <v>1077092929.8499999</v>
      </c>
      <c r="N119" s="457">
        <v>1077092929.8499999</v>
      </c>
      <c r="O119" s="457">
        <v>1077092929.8499999</v>
      </c>
      <c r="P119" s="457">
        <v>1077092929.8499999</v>
      </c>
      <c r="Q119" s="458">
        <v>0</v>
      </c>
    </row>
    <row r="120" spans="1:17" ht="38.25" outlineLevel="5">
      <c r="A120" s="459" t="s">
        <v>906</v>
      </c>
      <c r="B120" s="460" t="s">
        <v>957</v>
      </c>
      <c r="C120" s="460" t="s">
        <v>967</v>
      </c>
      <c r="D120" s="460" t="s">
        <v>973</v>
      </c>
      <c r="E120" s="460" t="s">
        <v>910</v>
      </c>
      <c r="F120" s="460" t="s">
        <v>969</v>
      </c>
      <c r="G120" s="461" t="s">
        <v>9</v>
      </c>
      <c r="H120" s="460"/>
      <c r="I120" s="462">
        <v>0</v>
      </c>
      <c r="J120" s="462">
        <v>0</v>
      </c>
      <c r="K120" s="462">
        <v>0</v>
      </c>
      <c r="L120" s="462">
        <v>0</v>
      </c>
      <c r="M120" s="462">
        <v>0</v>
      </c>
      <c r="N120" s="462">
        <v>0</v>
      </c>
      <c r="O120" s="462">
        <v>0</v>
      </c>
      <c r="P120" s="462">
        <v>564392929.85000002</v>
      </c>
      <c r="Q120" s="463">
        <v>0</v>
      </c>
    </row>
    <row r="121" spans="1:17" ht="38.25" outlineLevel="5">
      <c r="A121" s="459" t="s">
        <v>906</v>
      </c>
      <c r="B121" s="460" t="s">
        <v>957</v>
      </c>
      <c r="C121" s="460" t="s">
        <v>967</v>
      </c>
      <c r="D121" s="460" t="s">
        <v>973</v>
      </c>
      <c r="E121" s="460" t="s">
        <v>910</v>
      </c>
      <c r="F121" s="460" t="s">
        <v>969</v>
      </c>
      <c r="G121" s="461" t="s">
        <v>9</v>
      </c>
      <c r="H121" s="460" t="s">
        <v>912</v>
      </c>
      <c r="I121" s="462">
        <v>1096173535.52</v>
      </c>
      <c r="J121" s="462">
        <v>-19080605.670000002</v>
      </c>
      <c r="K121" s="462">
        <v>1077092929.8499999</v>
      </c>
      <c r="L121" s="462">
        <v>0</v>
      </c>
      <c r="M121" s="462">
        <v>1077092929.8499999</v>
      </c>
      <c r="N121" s="462">
        <v>1077092929.8499999</v>
      </c>
      <c r="O121" s="462">
        <v>1077092929.8499999</v>
      </c>
      <c r="P121" s="462">
        <v>512700000</v>
      </c>
      <c r="Q121" s="463">
        <v>0</v>
      </c>
    </row>
    <row r="122" spans="1:17" outlineLevel="3">
      <c r="A122" s="449" t="s">
        <v>906</v>
      </c>
      <c r="B122" s="450" t="s">
        <v>957</v>
      </c>
      <c r="C122" s="450" t="s">
        <v>967</v>
      </c>
      <c r="D122" s="450" t="s">
        <v>947</v>
      </c>
      <c r="E122" s="450"/>
      <c r="F122" s="450"/>
      <c r="G122" s="451"/>
      <c r="H122" s="450"/>
      <c r="I122" s="452">
        <v>127281785.79000001</v>
      </c>
      <c r="J122" s="452">
        <v>-3622467.28</v>
      </c>
      <c r="K122" s="452">
        <v>123659318.51000001</v>
      </c>
      <c r="L122" s="452">
        <v>0</v>
      </c>
      <c r="M122" s="452">
        <v>123659318.51000001</v>
      </c>
      <c r="N122" s="452">
        <v>123659318.51000001</v>
      </c>
      <c r="O122" s="452">
        <v>123070195.48999999</v>
      </c>
      <c r="P122" s="452">
        <v>123070195.48999999</v>
      </c>
      <c r="Q122" s="453">
        <v>589123.02</v>
      </c>
    </row>
    <row r="123" spans="1:17" outlineLevel="4">
      <c r="A123" s="454" t="s">
        <v>906</v>
      </c>
      <c r="B123" s="455" t="s">
        <v>957</v>
      </c>
      <c r="C123" s="455" t="s">
        <v>967</v>
      </c>
      <c r="D123" s="455" t="s">
        <v>947</v>
      </c>
      <c r="E123" s="455" t="s">
        <v>910</v>
      </c>
      <c r="F123" s="455"/>
      <c r="G123" s="456"/>
      <c r="H123" s="455"/>
      <c r="I123" s="457">
        <v>127281785.79000001</v>
      </c>
      <c r="J123" s="457">
        <v>-3622467.28</v>
      </c>
      <c r="K123" s="457">
        <v>123659318.51000001</v>
      </c>
      <c r="L123" s="457">
        <v>0</v>
      </c>
      <c r="M123" s="457">
        <v>123659318.51000001</v>
      </c>
      <c r="N123" s="457">
        <v>123659318.51000001</v>
      </c>
      <c r="O123" s="457">
        <v>123070195.48999999</v>
      </c>
      <c r="P123" s="457">
        <v>123070195.48999999</v>
      </c>
      <c r="Q123" s="458">
        <v>589123.02</v>
      </c>
    </row>
    <row r="124" spans="1:17" ht="76.5" outlineLevel="5">
      <c r="A124" s="459" t="s">
        <v>906</v>
      </c>
      <c r="B124" s="460" t="s">
        <v>957</v>
      </c>
      <c r="C124" s="460" t="s">
        <v>967</v>
      </c>
      <c r="D124" s="460" t="s">
        <v>947</v>
      </c>
      <c r="E124" s="460" t="s">
        <v>910</v>
      </c>
      <c r="F124" s="460" t="s">
        <v>971</v>
      </c>
      <c r="G124" s="461" t="s">
        <v>36</v>
      </c>
      <c r="H124" s="460"/>
      <c r="I124" s="462">
        <v>0</v>
      </c>
      <c r="J124" s="462">
        <v>0</v>
      </c>
      <c r="K124" s="462">
        <v>0</v>
      </c>
      <c r="L124" s="462">
        <v>0</v>
      </c>
      <c r="M124" s="462">
        <v>0</v>
      </c>
      <c r="N124" s="462">
        <v>0</v>
      </c>
      <c r="O124" s="462">
        <v>0</v>
      </c>
      <c r="P124" s="462">
        <v>11000</v>
      </c>
      <c r="Q124" s="463">
        <v>0</v>
      </c>
    </row>
    <row r="125" spans="1:17" ht="76.5" outlineLevel="5">
      <c r="A125" s="459" t="s">
        <v>906</v>
      </c>
      <c r="B125" s="460" t="s">
        <v>957</v>
      </c>
      <c r="C125" s="460" t="s">
        <v>967</v>
      </c>
      <c r="D125" s="460" t="s">
        <v>947</v>
      </c>
      <c r="E125" s="460" t="s">
        <v>910</v>
      </c>
      <c r="F125" s="460" t="s">
        <v>971</v>
      </c>
      <c r="G125" s="461" t="s">
        <v>36</v>
      </c>
      <c r="H125" s="460" t="s">
        <v>912</v>
      </c>
      <c r="I125" s="462">
        <v>36660</v>
      </c>
      <c r="J125" s="462">
        <v>0</v>
      </c>
      <c r="K125" s="462">
        <v>36660</v>
      </c>
      <c r="L125" s="462">
        <v>0</v>
      </c>
      <c r="M125" s="462">
        <v>36660</v>
      </c>
      <c r="N125" s="462">
        <v>36660</v>
      </c>
      <c r="O125" s="462">
        <v>32389.599999999999</v>
      </c>
      <c r="P125" s="462">
        <v>21389.599999999999</v>
      </c>
      <c r="Q125" s="463">
        <v>4270.3999999999996</v>
      </c>
    </row>
    <row r="126" spans="1:17" ht="51" outlineLevel="5">
      <c r="A126" s="459" t="s">
        <v>906</v>
      </c>
      <c r="B126" s="460" t="s">
        <v>957</v>
      </c>
      <c r="C126" s="460" t="s">
        <v>967</v>
      </c>
      <c r="D126" s="460" t="s">
        <v>947</v>
      </c>
      <c r="E126" s="460" t="s">
        <v>910</v>
      </c>
      <c r="F126" s="460" t="s">
        <v>974</v>
      </c>
      <c r="G126" s="461" t="s">
        <v>118</v>
      </c>
      <c r="H126" s="460"/>
      <c r="I126" s="462">
        <v>0</v>
      </c>
      <c r="J126" s="462">
        <v>0</v>
      </c>
      <c r="K126" s="462">
        <v>0</v>
      </c>
      <c r="L126" s="462">
        <v>0</v>
      </c>
      <c r="M126" s="462">
        <v>0</v>
      </c>
      <c r="N126" s="462">
        <v>0</v>
      </c>
      <c r="O126" s="462">
        <v>0</v>
      </c>
      <c r="P126" s="462">
        <v>-3463729.78</v>
      </c>
      <c r="Q126" s="463">
        <v>0</v>
      </c>
    </row>
    <row r="127" spans="1:17" ht="51" outlineLevel="5">
      <c r="A127" s="459" t="s">
        <v>906</v>
      </c>
      <c r="B127" s="460" t="s">
        <v>957</v>
      </c>
      <c r="C127" s="460" t="s">
        <v>967</v>
      </c>
      <c r="D127" s="460" t="s">
        <v>947</v>
      </c>
      <c r="E127" s="460" t="s">
        <v>910</v>
      </c>
      <c r="F127" s="460" t="s">
        <v>974</v>
      </c>
      <c r="G127" s="461" t="s">
        <v>118</v>
      </c>
      <c r="H127" s="460" t="s">
        <v>912</v>
      </c>
      <c r="I127" s="462">
        <v>39294720.789999999</v>
      </c>
      <c r="J127" s="462">
        <v>-3463729.78</v>
      </c>
      <c r="K127" s="462">
        <v>35830991.009999998</v>
      </c>
      <c r="L127" s="462">
        <v>0</v>
      </c>
      <c r="M127" s="462">
        <v>35830991.009999998</v>
      </c>
      <c r="N127" s="462">
        <v>35830991.009999998</v>
      </c>
      <c r="O127" s="462">
        <v>35830991.009999998</v>
      </c>
      <c r="P127" s="462">
        <v>39294720.789999999</v>
      </c>
      <c r="Q127" s="463">
        <v>0</v>
      </c>
    </row>
    <row r="128" spans="1:17" ht="38.25" outlineLevel="5">
      <c r="A128" s="459" t="s">
        <v>906</v>
      </c>
      <c r="B128" s="460" t="s">
        <v>957</v>
      </c>
      <c r="C128" s="460" t="s">
        <v>967</v>
      </c>
      <c r="D128" s="460" t="s">
        <v>947</v>
      </c>
      <c r="E128" s="460" t="s">
        <v>910</v>
      </c>
      <c r="F128" s="460" t="s">
        <v>972</v>
      </c>
      <c r="G128" s="461" t="s">
        <v>155</v>
      </c>
      <c r="H128" s="460"/>
      <c r="I128" s="462">
        <v>0</v>
      </c>
      <c r="J128" s="462">
        <v>0</v>
      </c>
      <c r="K128" s="462">
        <v>0</v>
      </c>
      <c r="L128" s="462">
        <v>0</v>
      </c>
      <c r="M128" s="462">
        <v>0</v>
      </c>
      <c r="N128" s="462">
        <v>0</v>
      </c>
      <c r="O128" s="462">
        <v>0</v>
      </c>
      <c r="P128" s="462">
        <v>6648842.8799999999</v>
      </c>
      <c r="Q128" s="463">
        <v>0</v>
      </c>
    </row>
    <row r="129" spans="1:18" ht="38.25" outlineLevel="5">
      <c r="A129" s="459" t="s">
        <v>906</v>
      </c>
      <c r="B129" s="460" t="s">
        <v>957</v>
      </c>
      <c r="C129" s="460" t="s">
        <v>967</v>
      </c>
      <c r="D129" s="460" t="s">
        <v>947</v>
      </c>
      <c r="E129" s="460" t="s">
        <v>910</v>
      </c>
      <c r="F129" s="460" t="s">
        <v>972</v>
      </c>
      <c r="G129" s="461" t="s">
        <v>155</v>
      </c>
      <c r="H129" s="460" t="s">
        <v>912</v>
      </c>
      <c r="I129" s="462">
        <v>0</v>
      </c>
      <c r="J129" s="462">
        <v>6995987.5</v>
      </c>
      <c r="K129" s="462">
        <v>6995987.5</v>
      </c>
      <c r="L129" s="462">
        <v>0</v>
      </c>
      <c r="M129" s="462">
        <v>6995987.5</v>
      </c>
      <c r="N129" s="462">
        <v>6995987.5</v>
      </c>
      <c r="O129" s="462">
        <v>6648842.8799999999</v>
      </c>
      <c r="P129" s="462">
        <v>0</v>
      </c>
      <c r="Q129" s="463">
        <v>347144.62</v>
      </c>
    </row>
    <row r="130" spans="1:18" ht="114.75" outlineLevel="5">
      <c r="A130" s="459" t="s">
        <v>906</v>
      </c>
      <c r="B130" s="460" t="s">
        <v>957</v>
      </c>
      <c r="C130" s="460" t="s">
        <v>967</v>
      </c>
      <c r="D130" s="460" t="s">
        <v>947</v>
      </c>
      <c r="E130" s="460" t="s">
        <v>910</v>
      </c>
      <c r="F130" s="460" t="s">
        <v>975</v>
      </c>
      <c r="G130" s="461" t="s">
        <v>151</v>
      </c>
      <c r="H130" s="460"/>
      <c r="I130" s="462">
        <v>0</v>
      </c>
      <c r="J130" s="462">
        <v>0</v>
      </c>
      <c r="K130" s="462">
        <v>0</v>
      </c>
      <c r="L130" s="462">
        <v>0</v>
      </c>
      <c r="M130" s="462">
        <v>0</v>
      </c>
      <c r="N130" s="462">
        <v>0</v>
      </c>
      <c r="O130" s="462">
        <v>0</v>
      </c>
      <c r="P130" s="462">
        <v>127972</v>
      </c>
      <c r="Q130" s="463">
        <v>0</v>
      </c>
    </row>
    <row r="131" spans="1:18" ht="114.75" outlineLevel="5">
      <c r="A131" s="459" t="s">
        <v>906</v>
      </c>
      <c r="B131" s="460" t="s">
        <v>957</v>
      </c>
      <c r="C131" s="460" t="s">
        <v>967</v>
      </c>
      <c r="D131" s="460" t="s">
        <v>947</v>
      </c>
      <c r="E131" s="460" t="s">
        <v>910</v>
      </c>
      <c r="F131" s="460" t="s">
        <v>975</v>
      </c>
      <c r="G131" s="461" t="s">
        <v>151</v>
      </c>
      <c r="H131" s="460" t="s">
        <v>912</v>
      </c>
      <c r="I131" s="462">
        <v>7950405</v>
      </c>
      <c r="J131" s="462">
        <v>-7154725</v>
      </c>
      <c r="K131" s="462">
        <v>795680</v>
      </c>
      <c r="L131" s="462">
        <v>0</v>
      </c>
      <c r="M131" s="462">
        <v>795680</v>
      </c>
      <c r="N131" s="462">
        <v>795680</v>
      </c>
      <c r="O131" s="462">
        <v>557972</v>
      </c>
      <c r="P131" s="462">
        <v>430000</v>
      </c>
      <c r="Q131" s="463">
        <v>237708</v>
      </c>
    </row>
    <row r="132" spans="1:18" ht="51" outlineLevel="5">
      <c r="A132" s="459" t="s">
        <v>906</v>
      </c>
      <c r="B132" s="460" t="s">
        <v>957</v>
      </c>
      <c r="C132" s="460" t="s">
        <v>967</v>
      </c>
      <c r="D132" s="460" t="s">
        <v>947</v>
      </c>
      <c r="E132" s="460" t="s">
        <v>910</v>
      </c>
      <c r="F132" s="460" t="s">
        <v>976</v>
      </c>
      <c r="G132" s="461" t="s">
        <v>977</v>
      </c>
      <c r="H132" s="460"/>
      <c r="I132" s="462">
        <v>0</v>
      </c>
      <c r="J132" s="462">
        <v>0</v>
      </c>
      <c r="K132" s="462">
        <v>0</v>
      </c>
      <c r="L132" s="462">
        <v>0</v>
      </c>
      <c r="M132" s="462">
        <v>0</v>
      </c>
      <c r="N132" s="462">
        <v>0</v>
      </c>
      <c r="O132" s="462">
        <v>0</v>
      </c>
      <c r="P132" s="462">
        <v>80000000</v>
      </c>
      <c r="Q132" s="463">
        <v>0</v>
      </c>
    </row>
    <row r="133" spans="1:18" ht="51" outlineLevel="5">
      <c r="A133" s="459" t="s">
        <v>906</v>
      </c>
      <c r="B133" s="460" t="s">
        <v>957</v>
      </c>
      <c r="C133" s="460" t="s">
        <v>967</v>
      </c>
      <c r="D133" s="460" t="s">
        <v>947</v>
      </c>
      <c r="E133" s="460" t="s">
        <v>910</v>
      </c>
      <c r="F133" s="460" t="s">
        <v>976</v>
      </c>
      <c r="G133" s="461" t="s">
        <v>977</v>
      </c>
      <c r="H133" s="460" t="s">
        <v>912</v>
      </c>
      <c r="I133" s="462">
        <v>80000000</v>
      </c>
      <c r="J133" s="462">
        <v>0</v>
      </c>
      <c r="K133" s="462">
        <v>80000000</v>
      </c>
      <c r="L133" s="462">
        <v>0</v>
      </c>
      <c r="M133" s="462">
        <v>80000000</v>
      </c>
      <c r="N133" s="462">
        <v>80000000</v>
      </c>
      <c r="O133" s="462">
        <v>80000000</v>
      </c>
      <c r="P133" s="462">
        <v>0</v>
      </c>
      <c r="Q133" s="463">
        <v>0</v>
      </c>
    </row>
    <row r="134" spans="1:18" outlineLevel="2">
      <c r="A134" s="444" t="s">
        <v>906</v>
      </c>
      <c r="B134" s="445" t="s">
        <v>957</v>
      </c>
      <c r="C134" s="445" t="s">
        <v>978</v>
      </c>
      <c r="D134" s="445"/>
      <c r="E134" s="445"/>
      <c r="F134" s="445"/>
      <c r="G134" s="446"/>
      <c r="H134" s="445"/>
      <c r="I134" s="447">
        <v>5394000</v>
      </c>
      <c r="J134" s="447">
        <v>852647.06</v>
      </c>
      <c r="K134" s="447">
        <v>6246647.0599999996</v>
      </c>
      <c r="L134" s="447">
        <v>0</v>
      </c>
      <c r="M134" s="447">
        <v>6246647.0599999996</v>
      </c>
      <c r="N134" s="447">
        <v>6246647.0599999996</v>
      </c>
      <c r="O134" s="447">
        <v>6122491.1399999997</v>
      </c>
      <c r="P134" s="447">
        <v>6122491.1399999997</v>
      </c>
      <c r="Q134" s="448">
        <v>124155.92</v>
      </c>
      <c r="R134" s="482">
        <v>6246.6470600000002</v>
      </c>
    </row>
    <row r="135" spans="1:18" outlineLevel="3">
      <c r="A135" s="449" t="s">
        <v>906</v>
      </c>
      <c r="B135" s="450" t="s">
        <v>957</v>
      </c>
      <c r="C135" s="450" t="s">
        <v>978</v>
      </c>
      <c r="D135" s="450" t="s">
        <v>970</v>
      </c>
      <c r="E135" s="450"/>
      <c r="F135" s="450"/>
      <c r="G135" s="451"/>
      <c r="H135" s="450"/>
      <c r="I135" s="452">
        <v>567700</v>
      </c>
      <c r="J135" s="452">
        <v>541918.05000000005</v>
      </c>
      <c r="K135" s="452">
        <v>1109618.05</v>
      </c>
      <c r="L135" s="452">
        <v>0</v>
      </c>
      <c r="M135" s="452">
        <v>1109618.05</v>
      </c>
      <c r="N135" s="452">
        <v>1109618.05</v>
      </c>
      <c r="O135" s="452">
        <v>1109618.05</v>
      </c>
      <c r="P135" s="452">
        <v>1109618.05</v>
      </c>
      <c r="Q135" s="453">
        <v>0</v>
      </c>
      <c r="R135" s="482">
        <v>6122.4911400000001</v>
      </c>
    </row>
    <row r="136" spans="1:18" outlineLevel="4">
      <c r="A136" s="454" t="s">
        <v>906</v>
      </c>
      <c r="B136" s="455" t="s">
        <v>957</v>
      </c>
      <c r="C136" s="455" t="s">
        <v>978</v>
      </c>
      <c r="D136" s="455" t="s">
        <v>970</v>
      </c>
      <c r="E136" s="455" t="s">
        <v>910</v>
      </c>
      <c r="F136" s="455"/>
      <c r="G136" s="456"/>
      <c r="H136" s="455"/>
      <c r="I136" s="457">
        <v>567700</v>
      </c>
      <c r="J136" s="457">
        <v>541918.05000000005</v>
      </c>
      <c r="K136" s="457">
        <v>1109618.05</v>
      </c>
      <c r="L136" s="457">
        <v>0</v>
      </c>
      <c r="M136" s="457">
        <v>1109618.05</v>
      </c>
      <c r="N136" s="457">
        <v>1109618.05</v>
      </c>
      <c r="O136" s="457">
        <v>1109618.05</v>
      </c>
      <c r="P136" s="457">
        <v>1109618.05</v>
      </c>
      <c r="Q136" s="458">
        <v>0</v>
      </c>
      <c r="R136" s="482"/>
    </row>
    <row r="137" spans="1:18" ht="89.25" outlineLevel="5">
      <c r="A137" s="459" t="s">
        <v>906</v>
      </c>
      <c r="B137" s="460" t="s">
        <v>957</v>
      </c>
      <c r="C137" s="460" t="s">
        <v>978</v>
      </c>
      <c r="D137" s="460" t="s">
        <v>970</v>
      </c>
      <c r="E137" s="460" t="s">
        <v>910</v>
      </c>
      <c r="F137" s="460" t="s">
        <v>979</v>
      </c>
      <c r="G137" s="461" t="s">
        <v>319</v>
      </c>
      <c r="H137" s="460"/>
      <c r="I137" s="462">
        <v>0</v>
      </c>
      <c r="J137" s="462">
        <v>0</v>
      </c>
      <c r="K137" s="462">
        <v>0</v>
      </c>
      <c r="L137" s="462">
        <v>0</v>
      </c>
      <c r="M137" s="462">
        <v>0</v>
      </c>
      <c r="N137" s="462">
        <v>0</v>
      </c>
      <c r="O137" s="462">
        <v>0</v>
      </c>
      <c r="P137" s="462">
        <v>600618.05000000005</v>
      </c>
      <c r="Q137" s="463">
        <v>0</v>
      </c>
      <c r="R137" s="482"/>
    </row>
    <row r="138" spans="1:18" ht="89.25" outlineLevel="5">
      <c r="A138" s="459" t="s">
        <v>906</v>
      </c>
      <c r="B138" s="460" t="s">
        <v>957</v>
      </c>
      <c r="C138" s="460" t="s">
        <v>978</v>
      </c>
      <c r="D138" s="460" t="s">
        <v>970</v>
      </c>
      <c r="E138" s="460" t="s">
        <v>910</v>
      </c>
      <c r="F138" s="460" t="s">
        <v>979</v>
      </c>
      <c r="G138" s="461" t="s">
        <v>319</v>
      </c>
      <c r="H138" s="460" t="s">
        <v>912</v>
      </c>
      <c r="I138" s="462">
        <v>567700</v>
      </c>
      <c r="J138" s="462">
        <v>541918.05000000005</v>
      </c>
      <c r="K138" s="462">
        <v>1109618.05</v>
      </c>
      <c r="L138" s="462">
        <v>0</v>
      </c>
      <c r="M138" s="462">
        <v>1109618.05</v>
      </c>
      <c r="N138" s="462">
        <v>1109618.05</v>
      </c>
      <c r="O138" s="462">
        <v>1109618.05</v>
      </c>
      <c r="P138" s="462">
        <v>509000</v>
      </c>
      <c r="Q138" s="463">
        <v>0</v>
      </c>
      <c r="R138" s="482"/>
    </row>
    <row r="139" spans="1:18" outlineLevel="3">
      <c r="A139" s="449" t="s">
        <v>906</v>
      </c>
      <c r="B139" s="450" t="s">
        <v>957</v>
      </c>
      <c r="C139" s="450" t="s">
        <v>978</v>
      </c>
      <c r="D139" s="450" t="s">
        <v>947</v>
      </c>
      <c r="E139" s="450"/>
      <c r="F139" s="450"/>
      <c r="G139" s="451"/>
      <c r="H139" s="450"/>
      <c r="I139" s="452">
        <v>4826300</v>
      </c>
      <c r="J139" s="452">
        <v>310729.01</v>
      </c>
      <c r="K139" s="452">
        <v>5137029.01</v>
      </c>
      <c r="L139" s="452">
        <v>0</v>
      </c>
      <c r="M139" s="452">
        <v>5137029.01</v>
      </c>
      <c r="N139" s="452">
        <v>5137029.01</v>
      </c>
      <c r="O139" s="452">
        <v>5012873.09</v>
      </c>
      <c r="P139" s="452">
        <v>5012873.09</v>
      </c>
      <c r="Q139" s="453">
        <v>124155.92</v>
      </c>
      <c r="R139" s="482"/>
    </row>
    <row r="140" spans="1:18" outlineLevel="4">
      <c r="A140" s="454" t="s">
        <v>906</v>
      </c>
      <c r="B140" s="455" t="s">
        <v>957</v>
      </c>
      <c r="C140" s="455" t="s">
        <v>978</v>
      </c>
      <c r="D140" s="455" t="s">
        <v>947</v>
      </c>
      <c r="E140" s="455" t="s">
        <v>910</v>
      </c>
      <c r="F140" s="455"/>
      <c r="G140" s="456"/>
      <c r="H140" s="455"/>
      <c r="I140" s="457">
        <v>4826300</v>
      </c>
      <c r="J140" s="457">
        <v>310729.01</v>
      </c>
      <c r="K140" s="457">
        <v>5137029.01</v>
      </c>
      <c r="L140" s="457">
        <v>0</v>
      </c>
      <c r="M140" s="457">
        <v>5137029.01</v>
      </c>
      <c r="N140" s="457">
        <v>5137029.01</v>
      </c>
      <c r="O140" s="457">
        <v>5012873.09</v>
      </c>
      <c r="P140" s="457">
        <v>5012873.09</v>
      </c>
      <c r="Q140" s="458">
        <v>124155.92</v>
      </c>
      <c r="R140" s="482"/>
    </row>
    <row r="141" spans="1:18" ht="89.25" outlineLevel="5">
      <c r="A141" s="459" t="s">
        <v>906</v>
      </c>
      <c r="B141" s="460" t="s">
        <v>957</v>
      </c>
      <c r="C141" s="460" t="s">
        <v>978</v>
      </c>
      <c r="D141" s="460" t="s">
        <v>947</v>
      </c>
      <c r="E141" s="460" t="s">
        <v>910</v>
      </c>
      <c r="F141" s="460" t="s">
        <v>979</v>
      </c>
      <c r="G141" s="461" t="s">
        <v>319</v>
      </c>
      <c r="H141" s="460"/>
      <c r="I141" s="462">
        <v>0</v>
      </c>
      <c r="J141" s="462">
        <v>0</v>
      </c>
      <c r="K141" s="462">
        <v>0</v>
      </c>
      <c r="L141" s="462">
        <v>0</v>
      </c>
      <c r="M141" s="462">
        <v>0</v>
      </c>
      <c r="N141" s="462">
        <v>0</v>
      </c>
      <c r="O141" s="462">
        <v>0</v>
      </c>
      <c r="P141" s="462">
        <v>2912873.09</v>
      </c>
      <c r="Q141" s="463">
        <v>0</v>
      </c>
      <c r="R141" s="482"/>
    </row>
    <row r="142" spans="1:18" ht="89.25" outlineLevel="5">
      <c r="A142" s="459" t="s">
        <v>906</v>
      </c>
      <c r="B142" s="460" t="s">
        <v>957</v>
      </c>
      <c r="C142" s="460" t="s">
        <v>978</v>
      </c>
      <c r="D142" s="460" t="s">
        <v>947</v>
      </c>
      <c r="E142" s="460" t="s">
        <v>910</v>
      </c>
      <c r="F142" s="460" t="s">
        <v>979</v>
      </c>
      <c r="G142" s="461" t="s">
        <v>319</v>
      </c>
      <c r="H142" s="460" t="s">
        <v>912</v>
      </c>
      <c r="I142" s="462">
        <v>4826300</v>
      </c>
      <c r="J142" s="462">
        <v>310729.01</v>
      </c>
      <c r="K142" s="462">
        <v>5137029.01</v>
      </c>
      <c r="L142" s="462">
        <v>0</v>
      </c>
      <c r="M142" s="462">
        <v>5137029.01</v>
      </c>
      <c r="N142" s="462">
        <v>5137029.01</v>
      </c>
      <c r="O142" s="462">
        <v>5012873.09</v>
      </c>
      <c r="P142" s="462">
        <v>2100000</v>
      </c>
      <c r="Q142" s="463">
        <v>124155.92</v>
      </c>
      <c r="R142" s="482"/>
    </row>
    <row r="143" spans="1:18" outlineLevel="2">
      <c r="A143" s="444" t="s">
        <v>906</v>
      </c>
      <c r="B143" s="445" t="s">
        <v>957</v>
      </c>
      <c r="C143" s="445" t="s">
        <v>980</v>
      </c>
      <c r="D143" s="445"/>
      <c r="E143" s="445"/>
      <c r="F143" s="445"/>
      <c r="G143" s="446"/>
      <c r="H143" s="445"/>
      <c r="I143" s="447">
        <v>0</v>
      </c>
      <c r="J143" s="447">
        <v>118588.96</v>
      </c>
      <c r="K143" s="447">
        <v>118588.96</v>
      </c>
      <c r="L143" s="447">
        <v>0</v>
      </c>
      <c r="M143" s="447">
        <v>118588.96</v>
      </c>
      <c r="N143" s="447">
        <v>118588.96</v>
      </c>
      <c r="O143" s="447">
        <v>118588.96</v>
      </c>
      <c r="P143" s="447">
        <v>118588.96</v>
      </c>
      <c r="Q143" s="448">
        <v>0</v>
      </c>
    </row>
    <row r="144" spans="1:18" outlineLevel="3">
      <c r="A144" s="449" t="s">
        <v>906</v>
      </c>
      <c r="B144" s="450" t="s">
        <v>957</v>
      </c>
      <c r="C144" s="450" t="s">
        <v>980</v>
      </c>
      <c r="D144" s="450" t="s">
        <v>970</v>
      </c>
      <c r="E144" s="450"/>
      <c r="F144" s="450"/>
      <c r="G144" s="451"/>
      <c r="H144" s="450"/>
      <c r="I144" s="452">
        <v>0</v>
      </c>
      <c r="J144" s="452">
        <v>60000</v>
      </c>
      <c r="K144" s="452">
        <v>60000</v>
      </c>
      <c r="L144" s="452">
        <v>0</v>
      </c>
      <c r="M144" s="452">
        <v>60000</v>
      </c>
      <c r="N144" s="452">
        <v>60000</v>
      </c>
      <c r="O144" s="452">
        <v>60000</v>
      </c>
      <c r="P144" s="452">
        <v>60000</v>
      </c>
      <c r="Q144" s="453">
        <v>0</v>
      </c>
    </row>
    <row r="145" spans="1:17" outlineLevel="4">
      <c r="A145" s="454" t="s">
        <v>906</v>
      </c>
      <c r="B145" s="455" t="s">
        <v>957</v>
      </c>
      <c r="C145" s="455" t="s">
        <v>980</v>
      </c>
      <c r="D145" s="455" t="s">
        <v>970</v>
      </c>
      <c r="E145" s="455" t="s">
        <v>910</v>
      </c>
      <c r="F145" s="455"/>
      <c r="G145" s="456"/>
      <c r="H145" s="455"/>
      <c r="I145" s="457">
        <v>0</v>
      </c>
      <c r="J145" s="457">
        <v>60000</v>
      </c>
      <c r="K145" s="457">
        <v>60000</v>
      </c>
      <c r="L145" s="457">
        <v>0</v>
      </c>
      <c r="M145" s="457">
        <v>60000</v>
      </c>
      <c r="N145" s="457">
        <v>60000</v>
      </c>
      <c r="O145" s="457">
        <v>60000</v>
      </c>
      <c r="P145" s="457">
        <v>60000</v>
      </c>
      <c r="Q145" s="458">
        <v>0</v>
      </c>
    </row>
    <row r="146" spans="1:17" ht="127.5" outlineLevel="5">
      <c r="A146" s="459" t="s">
        <v>906</v>
      </c>
      <c r="B146" s="460" t="s">
        <v>957</v>
      </c>
      <c r="C146" s="460" t="s">
        <v>980</v>
      </c>
      <c r="D146" s="460" t="s">
        <v>970</v>
      </c>
      <c r="E146" s="460" t="s">
        <v>910</v>
      </c>
      <c r="F146" s="460" t="s">
        <v>981</v>
      </c>
      <c r="G146" s="461" t="s">
        <v>330</v>
      </c>
      <c r="H146" s="460"/>
      <c r="I146" s="462">
        <v>0</v>
      </c>
      <c r="J146" s="462">
        <v>0</v>
      </c>
      <c r="K146" s="462">
        <v>0</v>
      </c>
      <c r="L146" s="462">
        <v>0</v>
      </c>
      <c r="M146" s="462">
        <v>0</v>
      </c>
      <c r="N146" s="462">
        <v>0</v>
      </c>
      <c r="O146" s="462">
        <v>0</v>
      </c>
      <c r="P146" s="462">
        <v>60000</v>
      </c>
      <c r="Q146" s="463">
        <v>0</v>
      </c>
    </row>
    <row r="147" spans="1:17" ht="127.5" outlineLevel="5">
      <c r="A147" s="459" t="s">
        <v>906</v>
      </c>
      <c r="B147" s="460" t="s">
        <v>957</v>
      </c>
      <c r="C147" s="460" t="s">
        <v>980</v>
      </c>
      <c r="D147" s="460" t="s">
        <v>970</v>
      </c>
      <c r="E147" s="460" t="s">
        <v>910</v>
      </c>
      <c r="F147" s="460" t="s">
        <v>981</v>
      </c>
      <c r="G147" s="461" t="s">
        <v>330</v>
      </c>
      <c r="H147" s="460" t="s">
        <v>912</v>
      </c>
      <c r="I147" s="462">
        <v>0</v>
      </c>
      <c r="J147" s="462">
        <v>60000</v>
      </c>
      <c r="K147" s="462">
        <v>60000</v>
      </c>
      <c r="L147" s="462">
        <v>0</v>
      </c>
      <c r="M147" s="462">
        <v>60000</v>
      </c>
      <c r="N147" s="462">
        <v>60000</v>
      </c>
      <c r="O147" s="462">
        <v>60000</v>
      </c>
      <c r="P147" s="462">
        <v>0</v>
      </c>
      <c r="Q147" s="463">
        <v>0</v>
      </c>
    </row>
    <row r="148" spans="1:17" outlineLevel="3">
      <c r="A148" s="449" t="s">
        <v>906</v>
      </c>
      <c r="B148" s="450" t="s">
        <v>957</v>
      </c>
      <c r="C148" s="450" t="s">
        <v>980</v>
      </c>
      <c r="D148" s="450" t="s">
        <v>947</v>
      </c>
      <c r="E148" s="450"/>
      <c r="F148" s="450"/>
      <c r="G148" s="451"/>
      <c r="H148" s="450"/>
      <c r="I148" s="452">
        <v>0</v>
      </c>
      <c r="J148" s="452">
        <v>58588.959999999999</v>
      </c>
      <c r="K148" s="452">
        <v>58588.959999999999</v>
      </c>
      <c r="L148" s="452">
        <v>0</v>
      </c>
      <c r="M148" s="452">
        <v>58588.959999999999</v>
      </c>
      <c r="N148" s="452">
        <v>58588.959999999999</v>
      </c>
      <c r="O148" s="452">
        <v>58588.959999999999</v>
      </c>
      <c r="P148" s="452">
        <v>58588.959999999999</v>
      </c>
      <c r="Q148" s="453">
        <v>0</v>
      </c>
    </row>
    <row r="149" spans="1:17" outlineLevel="4">
      <c r="A149" s="454" t="s">
        <v>906</v>
      </c>
      <c r="B149" s="455" t="s">
        <v>957</v>
      </c>
      <c r="C149" s="455" t="s">
        <v>980</v>
      </c>
      <c r="D149" s="455" t="s">
        <v>947</v>
      </c>
      <c r="E149" s="455" t="s">
        <v>910</v>
      </c>
      <c r="F149" s="455"/>
      <c r="G149" s="456"/>
      <c r="H149" s="455"/>
      <c r="I149" s="457">
        <v>0</v>
      </c>
      <c r="J149" s="457">
        <v>58588.959999999999</v>
      </c>
      <c r="K149" s="457">
        <v>58588.959999999999</v>
      </c>
      <c r="L149" s="457">
        <v>0</v>
      </c>
      <c r="M149" s="457">
        <v>58588.959999999999</v>
      </c>
      <c r="N149" s="457">
        <v>58588.959999999999</v>
      </c>
      <c r="O149" s="457">
        <v>58588.959999999999</v>
      </c>
      <c r="P149" s="457">
        <v>58588.959999999999</v>
      </c>
      <c r="Q149" s="458">
        <v>0</v>
      </c>
    </row>
    <row r="150" spans="1:17" ht="127.5" outlineLevel="5">
      <c r="A150" s="459" t="s">
        <v>906</v>
      </c>
      <c r="B150" s="460" t="s">
        <v>957</v>
      </c>
      <c r="C150" s="460" t="s">
        <v>980</v>
      </c>
      <c r="D150" s="460" t="s">
        <v>947</v>
      </c>
      <c r="E150" s="460" t="s">
        <v>910</v>
      </c>
      <c r="F150" s="460" t="s">
        <v>981</v>
      </c>
      <c r="G150" s="461" t="s">
        <v>330</v>
      </c>
      <c r="H150" s="460"/>
      <c r="I150" s="462">
        <v>0</v>
      </c>
      <c r="J150" s="462">
        <v>0</v>
      </c>
      <c r="K150" s="462">
        <v>0</v>
      </c>
      <c r="L150" s="462">
        <v>0</v>
      </c>
      <c r="M150" s="462">
        <v>0</v>
      </c>
      <c r="N150" s="462">
        <v>0</v>
      </c>
      <c r="O150" s="462">
        <v>0</v>
      </c>
      <c r="P150" s="462">
        <v>58588.959999999999</v>
      </c>
      <c r="Q150" s="463">
        <v>0</v>
      </c>
    </row>
    <row r="151" spans="1:17" ht="127.5" outlineLevel="5">
      <c r="A151" s="459" t="s">
        <v>906</v>
      </c>
      <c r="B151" s="460" t="s">
        <v>957</v>
      </c>
      <c r="C151" s="460" t="s">
        <v>980</v>
      </c>
      <c r="D151" s="460" t="s">
        <v>947</v>
      </c>
      <c r="E151" s="460" t="s">
        <v>910</v>
      </c>
      <c r="F151" s="460" t="s">
        <v>981</v>
      </c>
      <c r="G151" s="461" t="s">
        <v>330</v>
      </c>
      <c r="H151" s="460" t="s">
        <v>912</v>
      </c>
      <c r="I151" s="462">
        <v>0</v>
      </c>
      <c r="J151" s="462">
        <v>58588.959999999999</v>
      </c>
      <c r="K151" s="462">
        <v>58588.959999999999</v>
      </c>
      <c r="L151" s="462">
        <v>0</v>
      </c>
      <c r="M151" s="462">
        <v>58588.959999999999</v>
      </c>
      <c r="N151" s="462">
        <v>58588.959999999999</v>
      </c>
      <c r="O151" s="462">
        <v>58588.959999999999</v>
      </c>
      <c r="P151" s="462">
        <v>0</v>
      </c>
      <c r="Q151" s="463">
        <v>0</v>
      </c>
    </row>
    <row r="152" spans="1:17" outlineLevel="2">
      <c r="A152" s="444" t="s">
        <v>906</v>
      </c>
      <c r="B152" s="445" t="s">
        <v>957</v>
      </c>
      <c r="C152" s="445" t="s">
        <v>982</v>
      </c>
      <c r="D152" s="445"/>
      <c r="E152" s="445"/>
      <c r="F152" s="445"/>
      <c r="G152" s="446"/>
      <c r="H152" s="445"/>
      <c r="I152" s="447">
        <v>54110657.700000003</v>
      </c>
      <c r="J152" s="447">
        <v>21596000</v>
      </c>
      <c r="K152" s="447">
        <v>75706657.700000003</v>
      </c>
      <c r="L152" s="447">
        <v>0</v>
      </c>
      <c r="M152" s="447">
        <v>75491629.700000003</v>
      </c>
      <c r="N152" s="447">
        <v>75491629.700000003</v>
      </c>
      <c r="O152" s="447">
        <v>75095905</v>
      </c>
      <c r="P152" s="447">
        <v>75095905</v>
      </c>
      <c r="Q152" s="448">
        <v>610752.69999999995</v>
      </c>
    </row>
    <row r="153" spans="1:17" outlineLevel="3">
      <c r="A153" s="449" t="s">
        <v>906</v>
      </c>
      <c r="B153" s="450" t="s">
        <v>957</v>
      </c>
      <c r="C153" s="450" t="s">
        <v>982</v>
      </c>
      <c r="D153" s="450" t="s">
        <v>909</v>
      </c>
      <c r="E153" s="450"/>
      <c r="F153" s="450"/>
      <c r="G153" s="451"/>
      <c r="H153" s="450"/>
      <c r="I153" s="452">
        <v>2106657.7000000002</v>
      </c>
      <c r="J153" s="452">
        <v>-900000</v>
      </c>
      <c r="K153" s="452">
        <v>1206657.7</v>
      </c>
      <c r="L153" s="452">
        <v>0</v>
      </c>
      <c r="M153" s="452">
        <v>991629.7</v>
      </c>
      <c r="N153" s="452">
        <v>991629.7</v>
      </c>
      <c r="O153" s="452">
        <v>685905</v>
      </c>
      <c r="P153" s="452">
        <v>685905</v>
      </c>
      <c r="Q153" s="453">
        <v>520752.7</v>
      </c>
    </row>
    <row r="154" spans="1:17" outlineLevel="4">
      <c r="A154" s="454" t="s">
        <v>906</v>
      </c>
      <c r="B154" s="455" t="s">
        <v>957</v>
      </c>
      <c r="C154" s="455" t="s">
        <v>982</v>
      </c>
      <c r="D154" s="455" t="s">
        <v>909</v>
      </c>
      <c r="E154" s="455" t="s">
        <v>910</v>
      </c>
      <c r="F154" s="455"/>
      <c r="G154" s="456"/>
      <c r="H154" s="455"/>
      <c r="I154" s="457">
        <v>2106657.7000000002</v>
      </c>
      <c r="J154" s="457">
        <v>-900000</v>
      </c>
      <c r="K154" s="457">
        <v>1206657.7</v>
      </c>
      <c r="L154" s="457">
        <v>0</v>
      </c>
      <c r="M154" s="457">
        <v>991629.7</v>
      </c>
      <c r="N154" s="457">
        <v>991629.7</v>
      </c>
      <c r="O154" s="457">
        <v>685905</v>
      </c>
      <c r="P154" s="457">
        <v>685905</v>
      </c>
      <c r="Q154" s="458">
        <v>520752.7</v>
      </c>
    </row>
    <row r="155" spans="1:17" ht="76.5" outlineLevel="5">
      <c r="A155" s="459" t="s">
        <v>906</v>
      </c>
      <c r="B155" s="460" t="s">
        <v>957</v>
      </c>
      <c r="C155" s="460" t="s">
        <v>982</v>
      </c>
      <c r="D155" s="460" t="s">
        <v>909</v>
      </c>
      <c r="E155" s="460" t="s">
        <v>910</v>
      </c>
      <c r="F155" s="460" t="s">
        <v>983</v>
      </c>
      <c r="G155" s="461" t="s">
        <v>14</v>
      </c>
      <c r="H155" s="460"/>
      <c r="I155" s="462">
        <v>0</v>
      </c>
      <c r="J155" s="462">
        <v>0</v>
      </c>
      <c r="K155" s="462">
        <v>0</v>
      </c>
      <c r="L155" s="462">
        <v>0</v>
      </c>
      <c r="M155" s="462">
        <v>0</v>
      </c>
      <c r="N155" s="462">
        <v>0</v>
      </c>
      <c r="O155" s="462">
        <v>0</v>
      </c>
      <c r="P155" s="462">
        <v>637905</v>
      </c>
      <c r="Q155" s="463">
        <v>0</v>
      </c>
    </row>
    <row r="156" spans="1:17" ht="76.5" outlineLevel="5">
      <c r="A156" s="459" t="s">
        <v>906</v>
      </c>
      <c r="B156" s="460" t="s">
        <v>957</v>
      </c>
      <c r="C156" s="460" t="s">
        <v>982</v>
      </c>
      <c r="D156" s="460" t="s">
        <v>909</v>
      </c>
      <c r="E156" s="460" t="s">
        <v>910</v>
      </c>
      <c r="F156" s="460" t="s">
        <v>983</v>
      </c>
      <c r="G156" s="461" t="s">
        <v>14</v>
      </c>
      <c r="H156" s="460" t="s">
        <v>912</v>
      </c>
      <c r="I156" s="462">
        <v>2106657.7000000002</v>
      </c>
      <c r="J156" s="462">
        <v>-900000</v>
      </c>
      <c r="K156" s="462">
        <v>1206657.7</v>
      </c>
      <c r="L156" s="462">
        <v>0</v>
      </c>
      <c r="M156" s="462">
        <v>991629.7</v>
      </c>
      <c r="N156" s="462">
        <v>991629.7</v>
      </c>
      <c r="O156" s="462">
        <v>685905</v>
      </c>
      <c r="P156" s="462">
        <v>48000</v>
      </c>
      <c r="Q156" s="463">
        <v>520752.7</v>
      </c>
    </row>
    <row r="157" spans="1:17" outlineLevel="3">
      <c r="A157" s="449" t="s">
        <v>906</v>
      </c>
      <c r="B157" s="450" t="s">
        <v>957</v>
      </c>
      <c r="C157" s="450" t="s">
        <v>982</v>
      </c>
      <c r="D157" s="450" t="s">
        <v>914</v>
      </c>
      <c r="E157" s="450"/>
      <c r="F157" s="450"/>
      <c r="G157" s="451"/>
      <c r="H157" s="450"/>
      <c r="I157" s="452">
        <v>52004000</v>
      </c>
      <c r="J157" s="452">
        <v>22496000</v>
      </c>
      <c r="K157" s="452">
        <v>74500000</v>
      </c>
      <c r="L157" s="452">
        <v>0</v>
      </c>
      <c r="M157" s="452">
        <v>74500000</v>
      </c>
      <c r="N157" s="452">
        <v>74500000</v>
      </c>
      <c r="O157" s="452">
        <v>74410000</v>
      </c>
      <c r="P157" s="452">
        <v>74410000</v>
      </c>
      <c r="Q157" s="453">
        <v>90000</v>
      </c>
    </row>
    <row r="158" spans="1:17" outlineLevel="4">
      <c r="A158" s="454" t="s">
        <v>906</v>
      </c>
      <c r="B158" s="455" t="s">
        <v>957</v>
      </c>
      <c r="C158" s="455" t="s">
        <v>982</v>
      </c>
      <c r="D158" s="455" t="s">
        <v>914</v>
      </c>
      <c r="E158" s="455" t="s">
        <v>910</v>
      </c>
      <c r="F158" s="455"/>
      <c r="G158" s="456"/>
      <c r="H158" s="455"/>
      <c r="I158" s="457">
        <v>52004000</v>
      </c>
      <c r="J158" s="457">
        <v>22496000</v>
      </c>
      <c r="K158" s="457">
        <v>74500000</v>
      </c>
      <c r="L158" s="457">
        <v>0</v>
      </c>
      <c r="M158" s="457">
        <v>74500000</v>
      </c>
      <c r="N158" s="457">
        <v>74500000</v>
      </c>
      <c r="O158" s="457">
        <v>74410000</v>
      </c>
      <c r="P158" s="457">
        <v>74410000</v>
      </c>
      <c r="Q158" s="458">
        <v>90000</v>
      </c>
    </row>
    <row r="159" spans="1:17" outlineLevel="5">
      <c r="A159" s="459" t="s">
        <v>906</v>
      </c>
      <c r="B159" s="460" t="s">
        <v>957</v>
      </c>
      <c r="C159" s="460" t="s">
        <v>982</v>
      </c>
      <c r="D159" s="460" t="s">
        <v>914</v>
      </c>
      <c r="E159" s="460" t="s">
        <v>910</v>
      </c>
      <c r="F159" s="460"/>
      <c r="G159" s="461"/>
      <c r="H159" s="460"/>
      <c r="I159" s="462">
        <v>0</v>
      </c>
      <c r="J159" s="462">
        <v>0</v>
      </c>
      <c r="K159" s="462">
        <v>0</v>
      </c>
      <c r="L159" s="462">
        <v>0</v>
      </c>
      <c r="M159" s="462">
        <v>0</v>
      </c>
      <c r="N159" s="462">
        <v>0</v>
      </c>
      <c r="O159" s="462">
        <v>0</v>
      </c>
      <c r="P159" s="462">
        <v>-696000</v>
      </c>
      <c r="Q159" s="463">
        <v>0</v>
      </c>
    </row>
    <row r="160" spans="1:17" outlineLevel="5">
      <c r="A160" s="459" t="s">
        <v>906</v>
      </c>
      <c r="B160" s="460" t="s">
        <v>957</v>
      </c>
      <c r="C160" s="460" t="s">
        <v>982</v>
      </c>
      <c r="D160" s="460" t="s">
        <v>914</v>
      </c>
      <c r="E160" s="460" t="s">
        <v>910</v>
      </c>
      <c r="F160" s="460"/>
      <c r="G160" s="461"/>
      <c r="H160" s="460" t="s">
        <v>912</v>
      </c>
      <c r="I160" s="462">
        <v>0</v>
      </c>
      <c r="J160" s="462">
        <v>0</v>
      </c>
      <c r="K160" s="462">
        <v>0</v>
      </c>
      <c r="L160" s="462">
        <v>0</v>
      </c>
      <c r="M160" s="462">
        <v>0</v>
      </c>
      <c r="N160" s="462">
        <v>0</v>
      </c>
      <c r="O160" s="462">
        <v>0</v>
      </c>
      <c r="P160" s="462">
        <v>-261000</v>
      </c>
      <c r="Q160" s="463">
        <v>0</v>
      </c>
    </row>
    <row r="161" spans="1:18" ht="191.25" outlineLevel="5">
      <c r="A161" s="459" t="s">
        <v>906</v>
      </c>
      <c r="B161" s="460" t="s">
        <v>957</v>
      </c>
      <c r="C161" s="460" t="s">
        <v>982</v>
      </c>
      <c r="D161" s="460" t="s">
        <v>914</v>
      </c>
      <c r="E161" s="460" t="s">
        <v>910</v>
      </c>
      <c r="F161" s="460" t="s">
        <v>984</v>
      </c>
      <c r="G161" s="461" t="s">
        <v>985</v>
      </c>
      <c r="H161" s="460"/>
      <c r="I161" s="462">
        <v>0</v>
      </c>
      <c r="J161" s="462">
        <v>0</v>
      </c>
      <c r="K161" s="462">
        <v>0</v>
      </c>
      <c r="L161" s="462">
        <v>0</v>
      </c>
      <c r="M161" s="462">
        <v>0</v>
      </c>
      <c r="N161" s="462">
        <v>0</v>
      </c>
      <c r="O161" s="462">
        <v>0</v>
      </c>
      <c r="P161" s="462">
        <v>74818000</v>
      </c>
      <c r="Q161" s="463">
        <v>0</v>
      </c>
    </row>
    <row r="162" spans="1:18" ht="191.25" outlineLevel="5">
      <c r="A162" s="459" t="s">
        <v>906</v>
      </c>
      <c r="B162" s="460" t="s">
        <v>957</v>
      </c>
      <c r="C162" s="460" t="s">
        <v>982</v>
      </c>
      <c r="D162" s="460" t="s">
        <v>914</v>
      </c>
      <c r="E162" s="460" t="s">
        <v>910</v>
      </c>
      <c r="F162" s="460" t="s">
        <v>984</v>
      </c>
      <c r="G162" s="461" t="s">
        <v>985</v>
      </c>
      <c r="H162" s="460" t="s">
        <v>912</v>
      </c>
      <c r="I162" s="462">
        <v>52004000</v>
      </c>
      <c r="J162" s="462">
        <v>21596000</v>
      </c>
      <c r="K162" s="462">
        <v>73600000</v>
      </c>
      <c r="L162" s="462">
        <v>0</v>
      </c>
      <c r="M162" s="462">
        <v>73600000</v>
      </c>
      <c r="N162" s="462">
        <v>73600000</v>
      </c>
      <c r="O162" s="462">
        <v>73600000</v>
      </c>
      <c r="P162" s="462">
        <v>-261000</v>
      </c>
      <c r="Q162" s="463">
        <v>0</v>
      </c>
    </row>
    <row r="163" spans="1:18" ht="76.5" outlineLevel="5">
      <c r="A163" s="459" t="s">
        <v>906</v>
      </c>
      <c r="B163" s="460" t="s">
        <v>957</v>
      </c>
      <c r="C163" s="460" t="s">
        <v>982</v>
      </c>
      <c r="D163" s="460" t="s">
        <v>914</v>
      </c>
      <c r="E163" s="460" t="s">
        <v>910</v>
      </c>
      <c r="F163" s="460" t="s">
        <v>983</v>
      </c>
      <c r="G163" s="461" t="s">
        <v>14</v>
      </c>
      <c r="H163" s="460"/>
      <c r="I163" s="462">
        <v>0</v>
      </c>
      <c r="J163" s="462">
        <v>0</v>
      </c>
      <c r="K163" s="462">
        <v>0</v>
      </c>
      <c r="L163" s="462">
        <v>0</v>
      </c>
      <c r="M163" s="462">
        <v>0</v>
      </c>
      <c r="N163" s="462">
        <v>0</v>
      </c>
      <c r="O163" s="462">
        <v>0</v>
      </c>
      <c r="P163" s="462">
        <v>810000</v>
      </c>
      <c r="Q163" s="463">
        <v>0</v>
      </c>
    </row>
    <row r="164" spans="1:18" ht="76.5" outlineLevel="5">
      <c r="A164" s="459" t="s">
        <v>906</v>
      </c>
      <c r="B164" s="460" t="s">
        <v>957</v>
      </c>
      <c r="C164" s="460" t="s">
        <v>982</v>
      </c>
      <c r="D164" s="460" t="s">
        <v>914</v>
      </c>
      <c r="E164" s="460" t="s">
        <v>910</v>
      </c>
      <c r="F164" s="460" t="s">
        <v>983</v>
      </c>
      <c r="G164" s="461" t="s">
        <v>14</v>
      </c>
      <c r="H164" s="460" t="s">
        <v>912</v>
      </c>
      <c r="I164" s="462">
        <v>0</v>
      </c>
      <c r="J164" s="462">
        <v>900000</v>
      </c>
      <c r="K164" s="462">
        <v>900000</v>
      </c>
      <c r="L164" s="462">
        <v>0</v>
      </c>
      <c r="M164" s="462">
        <v>900000</v>
      </c>
      <c r="N164" s="462">
        <v>900000</v>
      </c>
      <c r="O164" s="462">
        <v>810000</v>
      </c>
      <c r="P164" s="462">
        <v>0</v>
      </c>
      <c r="Q164" s="463">
        <v>90000</v>
      </c>
    </row>
    <row r="165" spans="1:18" outlineLevel="2">
      <c r="A165" s="444" t="s">
        <v>906</v>
      </c>
      <c r="B165" s="445" t="s">
        <v>957</v>
      </c>
      <c r="C165" s="445" t="s">
        <v>986</v>
      </c>
      <c r="D165" s="445"/>
      <c r="E165" s="445"/>
      <c r="F165" s="445"/>
      <c r="G165" s="446"/>
      <c r="H165" s="445"/>
      <c r="I165" s="447">
        <v>47800000</v>
      </c>
      <c r="J165" s="447">
        <v>0</v>
      </c>
      <c r="K165" s="447">
        <v>47800000</v>
      </c>
      <c r="L165" s="447">
        <v>82800000</v>
      </c>
      <c r="M165" s="447">
        <v>6400000</v>
      </c>
      <c r="N165" s="447">
        <v>47800000</v>
      </c>
      <c r="O165" s="447">
        <v>47800000</v>
      </c>
      <c r="P165" s="447">
        <v>47800000</v>
      </c>
      <c r="Q165" s="448">
        <v>0</v>
      </c>
    </row>
    <row r="166" spans="1:18" outlineLevel="3">
      <c r="A166" s="449" t="s">
        <v>906</v>
      </c>
      <c r="B166" s="450" t="s">
        <v>957</v>
      </c>
      <c r="C166" s="450" t="s">
        <v>986</v>
      </c>
      <c r="D166" s="450" t="s">
        <v>931</v>
      </c>
      <c r="E166" s="450"/>
      <c r="F166" s="450"/>
      <c r="G166" s="451"/>
      <c r="H166" s="450"/>
      <c r="I166" s="452">
        <v>47800000</v>
      </c>
      <c r="J166" s="452">
        <v>0</v>
      </c>
      <c r="K166" s="452">
        <v>47800000</v>
      </c>
      <c r="L166" s="452">
        <v>82800000</v>
      </c>
      <c r="M166" s="452">
        <v>6400000</v>
      </c>
      <c r="N166" s="452">
        <v>47800000</v>
      </c>
      <c r="O166" s="452">
        <v>47800000</v>
      </c>
      <c r="P166" s="452">
        <v>47800000</v>
      </c>
      <c r="Q166" s="453">
        <v>0</v>
      </c>
    </row>
    <row r="167" spans="1:18" outlineLevel="4">
      <c r="A167" s="454" t="s">
        <v>906</v>
      </c>
      <c r="B167" s="455" t="s">
        <v>957</v>
      </c>
      <c r="C167" s="455" t="s">
        <v>986</v>
      </c>
      <c r="D167" s="455" t="s">
        <v>931</v>
      </c>
      <c r="E167" s="455" t="s">
        <v>987</v>
      </c>
      <c r="F167" s="455"/>
      <c r="G167" s="456"/>
      <c r="H167" s="455"/>
      <c r="I167" s="457">
        <v>0</v>
      </c>
      <c r="J167" s="457">
        <v>0</v>
      </c>
      <c r="K167" s="457">
        <v>0</v>
      </c>
      <c r="L167" s="457">
        <v>41400000</v>
      </c>
      <c r="M167" s="457">
        <v>-41400000</v>
      </c>
      <c r="N167" s="457">
        <v>0</v>
      </c>
      <c r="O167" s="457">
        <v>0</v>
      </c>
      <c r="P167" s="457">
        <v>0</v>
      </c>
      <c r="Q167" s="458">
        <v>0</v>
      </c>
    </row>
    <row r="168" spans="1:18" ht="114.75" outlineLevel="5">
      <c r="A168" s="459" t="s">
        <v>906</v>
      </c>
      <c r="B168" s="460" t="s">
        <v>957</v>
      </c>
      <c r="C168" s="460" t="s">
        <v>986</v>
      </c>
      <c r="D168" s="460" t="s">
        <v>931</v>
      </c>
      <c r="E168" s="460" t="s">
        <v>987</v>
      </c>
      <c r="F168" s="460" t="s">
        <v>988</v>
      </c>
      <c r="G168" s="461" t="s">
        <v>78</v>
      </c>
      <c r="H168" s="460" t="s">
        <v>912</v>
      </c>
      <c r="I168" s="462">
        <v>0</v>
      </c>
      <c r="J168" s="462">
        <v>0</v>
      </c>
      <c r="K168" s="462">
        <v>0</v>
      </c>
      <c r="L168" s="462">
        <v>41400000</v>
      </c>
      <c r="M168" s="462">
        <v>-41400000</v>
      </c>
      <c r="N168" s="462">
        <v>0</v>
      </c>
      <c r="O168" s="462">
        <v>0</v>
      </c>
      <c r="P168" s="462">
        <v>0</v>
      </c>
      <c r="Q168" s="463">
        <v>0</v>
      </c>
    </row>
    <row r="169" spans="1:18" outlineLevel="4">
      <c r="A169" s="454" t="s">
        <v>906</v>
      </c>
      <c r="B169" s="455" t="s">
        <v>957</v>
      </c>
      <c r="C169" s="455" t="s">
        <v>986</v>
      </c>
      <c r="D169" s="455" t="s">
        <v>931</v>
      </c>
      <c r="E169" s="455" t="s">
        <v>989</v>
      </c>
      <c r="F169" s="455"/>
      <c r="G169" s="456"/>
      <c r="H169" s="455"/>
      <c r="I169" s="457">
        <v>41400000</v>
      </c>
      <c r="J169" s="457">
        <v>0</v>
      </c>
      <c r="K169" s="457">
        <v>41400000</v>
      </c>
      <c r="L169" s="457">
        <v>41400000</v>
      </c>
      <c r="M169" s="457">
        <v>41400000</v>
      </c>
      <c r="N169" s="457">
        <v>41400000</v>
      </c>
      <c r="O169" s="457">
        <v>41400000</v>
      </c>
      <c r="P169" s="457">
        <v>41400000</v>
      </c>
      <c r="Q169" s="458">
        <v>0</v>
      </c>
    </row>
    <row r="170" spans="1:18" ht="114.75" outlineLevel="5">
      <c r="A170" s="459" t="s">
        <v>906</v>
      </c>
      <c r="B170" s="460" t="s">
        <v>957</v>
      </c>
      <c r="C170" s="460" t="s">
        <v>986</v>
      </c>
      <c r="D170" s="460" t="s">
        <v>931</v>
      </c>
      <c r="E170" s="460" t="s">
        <v>989</v>
      </c>
      <c r="F170" s="460" t="s">
        <v>988</v>
      </c>
      <c r="G170" s="461" t="s">
        <v>78</v>
      </c>
      <c r="H170" s="460"/>
      <c r="I170" s="462">
        <v>0</v>
      </c>
      <c r="J170" s="462">
        <v>0</v>
      </c>
      <c r="K170" s="462">
        <v>0</v>
      </c>
      <c r="L170" s="462">
        <v>0</v>
      </c>
      <c r="M170" s="462">
        <v>0</v>
      </c>
      <c r="N170" s="462">
        <v>0</v>
      </c>
      <c r="O170" s="462">
        <v>0</v>
      </c>
      <c r="P170" s="462">
        <v>41400000</v>
      </c>
      <c r="Q170" s="463">
        <v>0</v>
      </c>
      <c r="R170" s="426">
        <v>41400</v>
      </c>
    </row>
    <row r="171" spans="1:18" ht="114.75" outlineLevel="5">
      <c r="A171" s="459" t="s">
        <v>906</v>
      </c>
      <c r="B171" s="460" t="s">
        <v>957</v>
      </c>
      <c r="C171" s="460" t="s">
        <v>986</v>
      </c>
      <c r="D171" s="460" t="s">
        <v>931</v>
      </c>
      <c r="E171" s="460" t="s">
        <v>989</v>
      </c>
      <c r="F171" s="460" t="s">
        <v>988</v>
      </c>
      <c r="G171" s="461" t="s">
        <v>78</v>
      </c>
      <c r="H171" s="460" t="s">
        <v>912</v>
      </c>
      <c r="I171" s="462">
        <v>41400000</v>
      </c>
      <c r="J171" s="462">
        <v>0</v>
      </c>
      <c r="K171" s="462">
        <v>41400000</v>
      </c>
      <c r="L171" s="462">
        <v>41400000</v>
      </c>
      <c r="M171" s="462">
        <v>41400000</v>
      </c>
      <c r="N171" s="462">
        <v>41400000</v>
      </c>
      <c r="O171" s="462">
        <v>41400000</v>
      </c>
      <c r="P171" s="462">
        <v>0</v>
      </c>
      <c r="Q171" s="463">
        <v>0</v>
      </c>
    </row>
    <row r="172" spans="1:18" outlineLevel="4">
      <c r="A172" s="454" t="s">
        <v>906</v>
      </c>
      <c r="B172" s="455" t="s">
        <v>957</v>
      </c>
      <c r="C172" s="455" t="s">
        <v>986</v>
      </c>
      <c r="D172" s="455" t="s">
        <v>931</v>
      </c>
      <c r="E172" s="455" t="s">
        <v>990</v>
      </c>
      <c r="F172" s="455"/>
      <c r="G172" s="456"/>
      <c r="H172" s="455"/>
      <c r="I172" s="457">
        <v>6400000</v>
      </c>
      <c r="J172" s="457">
        <v>0</v>
      </c>
      <c r="K172" s="457">
        <v>6400000</v>
      </c>
      <c r="L172" s="457">
        <v>0</v>
      </c>
      <c r="M172" s="457">
        <v>6400000</v>
      </c>
      <c r="N172" s="457">
        <v>6400000</v>
      </c>
      <c r="O172" s="457">
        <v>6400000</v>
      </c>
      <c r="P172" s="457">
        <v>6400000</v>
      </c>
      <c r="Q172" s="458">
        <v>0</v>
      </c>
      <c r="R172" s="426">
        <v>6400</v>
      </c>
    </row>
    <row r="173" spans="1:18" ht="165.75" outlineLevel="5">
      <c r="A173" s="459" t="s">
        <v>906</v>
      </c>
      <c r="B173" s="460" t="s">
        <v>957</v>
      </c>
      <c r="C173" s="460" t="s">
        <v>986</v>
      </c>
      <c r="D173" s="460" t="s">
        <v>931</v>
      </c>
      <c r="E173" s="460" t="s">
        <v>990</v>
      </c>
      <c r="F173" s="460" t="s">
        <v>991</v>
      </c>
      <c r="G173" s="461" t="s">
        <v>120</v>
      </c>
      <c r="H173" s="460"/>
      <c r="I173" s="462">
        <v>0</v>
      </c>
      <c r="J173" s="462">
        <v>0</v>
      </c>
      <c r="K173" s="462">
        <v>0</v>
      </c>
      <c r="L173" s="462">
        <v>0</v>
      </c>
      <c r="M173" s="462">
        <v>0</v>
      </c>
      <c r="N173" s="462">
        <v>0</v>
      </c>
      <c r="O173" s="462">
        <v>0</v>
      </c>
      <c r="P173" s="462">
        <v>6400000</v>
      </c>
      <c r="Q173" s="463">
        <v>0</v>
      </c>
    </row>
    <row r="174" spans="1:18" ht="165.75" outlineLevel="5">
      <c r="A174" s="459" t="s">
        <v>906</v>
      </c>
      <c r="B174" s="460" t="s">
        <v>957</v>
      </c>
      <c r="C174" s="460" t="s">
        <v>986</v>
      </c>
      <c r="D174" s="460" t="s">
        <v>931</v>
      </c>
      <c r="E174" s="460" t="s">
        <v>990</v>
      </c>
      <c r="F174" s="460" t="s">
        <v>991</v>
      </c>
      <c r="G174" s="461" t="s">
        <v>120</v>
      </c>
      <c r="H174" s="460" t="s">
        <v>912</v>
      </c>
      <c r="I174" s="462">
        <v>6400000</v>
      </c>
      <c r="J174" s="462">
        <v>0</v>
      </c>
      <c r="K174" s="462">
        <v>6400000</v>
      </c>
      <c r="L174" s="462">
        <v>0</v>
      </c>
      <c r="M174" s="462">
        <v>6400000</v>
      </c>
      <c r="N174" s="462">
        <v>6400000</v>
      </c>
      <c r="O174" s="462">
        <v>6400000</v>
      </c>
      <c r="P174" s="462">
        <v>0</v>
      </c>
      <c r="Q174" s="463">
        <v>0</v>
      </c>
    </row>
    <row r="175" spans="1:18" outlineLevel="2">
      <c r="A175" s="444" t="s">
        <v>906</v>
      </c>
      <c r="B175" s="445" t="s">
        <v>957</v>
      </c>
      <c r="C175" s="445" t="s">
        <v>992</v>
      </c>
      <c r="D175" s="445"/>
      <c r="E175" s="445"/>
      <c r="F175" s="445"/>
      <c r="G175" s="446"/>
      <c r="H175" s="445"/>
      <c r="I175" s="447">
        <v>3630106.38</v>
      </c>
      <c r="J175" s="447">
        <v>1291442.92</v>
      </c>
      <c r="K175" s="447">
        <v>4921549.3</v>
      </c>
      <c r="L175" s="447">
        <v>5715915.4900000002</v>
      </c>
      <c r="M175" s="447">
        <v>-794366.19</v>
      </c>
      <c r="N175" s="447">
        <v>4921549.3</v>
      </c>
      <c r="O175" s="447">
        <v>4921549.3</v>
      </c>
      <c r="P175" s="447">
        <v>4921549.3</v>
      </c>
      <c r="Q175" s="448">
        <v>0</v>
      </c>
    </row>
    <row r="176" spans="1:18" outlineLevel="3">
      <c r="A176" s="449" t="s">
        <v>906</v>
      </c>
      <c r="B176" s="450" t="s">
        <v>957</v>
      </c>
      <c r="C176" s="450" t="s">
        <v>992</v>
      </c>
      <c r="D176" s="450" t="s">
        <v>909</v>
      </c>
      <c r="E176" s="450"/>
      <c r="F176" s="450"/>
      <c r="G176" s="451"/>
      <c r="H176" s="450"/>
      <c r="I176" s="452">
        <v>3630106.38</v>
      </c>
      <c r="J176" s="452">
        <v>1291442.92</v>
      </c>
      <c r="K176" s="452">
        <v>4921549.3</v>
      </c>
      <c r="L176" s="452">
        <v>5715915.4900000002</v>
      </c>
      <c r="M176" s="452">
        <v>-794366.19</v>
      </c>
      <c r="N176" s="452">
        <v>4921549.3</v>
      </c>
      <c r="O176" s="452">
        <v>4921549.3</v>
      </c>
      <c r="P176" s="452">
        <v>4921549.3</v>
      </c>
      <c r="Q176" s="453">
        <v>0</v>
      </c>
    </row>
    <row r="177" spans="1:17" outlineLevel="4">
      <c r="A177" s="454" t="s">
        <v>906</v>
      </c>
      <c r="B177" s="455" t="s">
        <v>957</v>
      </c>
      <c r="C177" s="455" t="s">
        <v>992</v>
      </c>
      <c r="D177" s="455" t="s">
        <v>909</v>
      </c>
      <c r="E177" s="455"/>
      <c r="F177" s="455"/>
      <c r="G177" s="456"/>
      <c r="H177" s="455"/>
      <c r="I177" s="457">
        <v>0</v>
      </c>
      <c r="J177" s="457">
        <v>0</v>
      </c>
      <c r="K177" s="457">
        <v>0</v>
      </c>
      <c r="L177" s="457">
        <v>0</v>
      </c>
      <c r="M177" s="457">
        <v>0</v>
      </c>
      <c r="N177" s="457">
        <v>0</v>
      </c>
      <c r="O177" s="457">
        <v>0</v>
      </c>
      <c r="P177" s="457">
        <v>1427249.3</v>
      </c>
      <c r="Q177" s="458">
        <v>0</v>
      </c>
    </row>
    <row r="178" spans="1:17" outlineLevel="5">
      <c r="A178" s="459" t="s">
        <v>906</v>
      </c>
      <c r="B178" s="460" t="s">
        <v>957</v>
      </c>
      <c r="C178" s="460" t="s">
        <v>992</v>
      </c>
      <c r="D178" s="460" t="s">
        <v>909</v>
      </c>
      <c r="E178" s="460"/>
      <c r="F178" s="460"/>
      <c r="G178" s="461"/>
      <c r="H178" s="460"/>
      <c r="I178" s="462">
        <v>0</v>
      </c>
      <c r="J178" s="462">
        <v>0</v>
      </c>
      <c r="K178" s="462">
        <v>0</v>
      </c>
      <c r="L178" s="462">
        <v>0</v>
      </c>
      <c r="M178" s="462">
        <v>0</v>
      </c>
      <c r="N178" s="462">
        <v>0</v>
      </c>
      <c r="O178" s="462">
        <v>0</v>
      </c>
      <c r="P178" s="462">
        <v>919867.04</v>
      </c>
      <c r="Q178" s="463">
        <v>0</v>
      </c>
    </row>
    <row r="179" spans="1:17" ht="89.25" outlineLevel="5">
      <c r="A179" s="459" t="s">
        <v>906</v>
      </c>
      <c r="B179" s="460" t="s">
        <v>957</v>
      </c>
      <c r="C179" s="460" t="s">
        <v>992</v>
      </c>
      <c r="D179" s="460" t="s">
        <v>909</v>
      </c>
      <c r="E179" s="460"/>
      <c r="F179" s="460" t="s">
        <v>993</v>
      </c>
      <c r="G179" s="461" t="s">
        <v>146</v>
      </c>
      <c r="H179" s="460" t="s">
        <v>912</v>
      </c>
      <c r="I179" s="462">
        <v>0</v>
      </c>
      <c r="J179" s="462">
        <v>0</v>
      </c>
      <c r="K179" s="462">
        <v>0</v>
      </c>
      <c r="L179" s="462">
        <v>0</v>
      </c>
      <c r="M179" s="462">
        <v>0</v>
      </c>
      <c r="N179" s="462">
        <v>0</v>
      </c>
      <c r="O179" s="462">
        <v>0</v>
      </c>
      <c r="P179" s="462">
        <v>507382.26</v>
      </c>
      <c r="Q179" s="463">
        <v>0</v>
      </c>
    </row>
    <row r="180" spans="1:17" outlineLevel="4">
      <c r="A180" s="454" t="s">
        <v>906</v>
      </c>
      <c r="B180" s="455" t="s">
        <v>957</v>
      </c>
      <c r="C180" s="455" t="s">
        <v>992</v>
      </c>
      <c r="D180" s="455" t="s">
        <v>909</v>
      </c>
      <c r="E180" s="455" t="s">
        <v>994</v>
      </c>
      <c r="F180" s="455"/>
      <c r="G180" s="456"/>
      <c r="H180" s="455"/>
      <c r="I180" s="457">
        <v>0</v>
      </c>
      <c r="J180" s="457">
        <v>0</v>
      </c>
      <c r="K180" s="457">
        <v>0</v>
      </c>
      <c r="L180" s="457">
        <v>1398575.06</v>
      </c>
      <c r="M180" s="457">
        <v>-1398575.06</v>
      </c>
      <c r="N180" s="457">
        <v>0</v>
      </c>
      <c r="O180" s="457">
        <v>0</v>
      </c>
      <c r="P180" s="457">
        <v>0</v>
      </c>
      <c r="Q180" s="458">
        <v>0</v>
      </c>
    </row>
    <row r="181" spans="1:17" ht="89.25" outlineLevel="5">
      <c r="A181" s="459" t="s">
        <v>906</v>
      </c>
      <c r="B181" s="460" t="s">
        <v>957</v>
      </c>
      <c r="C181" s="460" t="s">
        <v>992</v>
      </c>
      <c r="D181" s="460" t="s">
        <v>909</v>
      </c>
      <c r="E181" s="460" t="s">
        <v>994</v>
      </c>
      <c r="F181" s="460" t="s">
        <v>993</v>
      </c>
      <c r="G181" s="461" t="s">
        <v>146</v>
      </c>
      <c r="H181" s="460" t="s">
        <v>912</v>
      </c>
      <c r="I181" s="462">
        <v>0</v>
      </c>
      <c r="J181" s="462">
        <v>0</v>
      </c>
      <c r="K181" s="462">
        <v>0</v>
      </c>
      <c r="L181" s="462">
        <v>1398575.06</v>
      </c>
      <c r="M181" s="462">
        <v>-1398575.06</v>
      </c>
      <c r="N181" s="462">
        <v>0</v>
      </c>
      <c r="O181" s="462">
        <v>0</v>
      </c>
      <c r="P181" s="462">
        <v>0</v>
      </c>
      <c r="Q181" s="463">
        <v>0</v>
      </c>
    </row>
    <row r="182" spans="1:17" outlineLevel="4">
      <c r="A182" s="454" t="s">
        <v>906</v>
      </c>
      <c r="B182" s="455" t="s">
        <v>957</v>
      </c>
      <c r="C182" s="455" t="s">
        <v>992</v>
      </c>
      <c r="D182" s="455" t="s">
        <v>909</v>
      </c>
      <c r="E182" s="455" t="s">
        <v>995</v>
      </c>
      <c r="F182" s="455"/>
      <c r="G182" s="456"/>
      <c r="H182" s="455"/>
      <c r="I182" s="457">
        <v>3630106.38</v>
      </c>
      <c r="J182" s="457">
        <v>-3630106.38</v>
      </c>
      <c r="K182" s="457">
        <v>0</v>
      </c>
      <c r="L182" s="457">
        <v>4317340.43</v>
      </c>
      <c r="M182" s="457">
        <v>-4317340.43</v>
      </c>
      <c r="N182" s="457">
        <v>0</v>
      </c>
      <c r="O182" s="457">
        <v>0</v>
      </c>
      <c r="P182" s="457">
        <v>0</v>
      </c>
      <c r="Q182" s="458">
        <v>0</v>
      </c>
    </row>
    <row r="183" spans="1:17" ht="89.25" outlineLevel="5">
      <c r="A183" s="459" t="s">
        <v>906</v>
      </c>
      <c r="B183" s="460" t="s">
        <v>957</v>
      </c>
      <c r="C183" s="460" t="s">
        <v>992</v>
      </c>
      <c r="D183" s="460" t="s">
        <v>909</v>
      </c>
      <c r="E183" s="460" t="s">
        <v>995</v>
      </c>
      <c r="F183" s="460" t="s">
        <v>993</v>
      </c>
      <c r="G183" s="461" t="s">
        <v>146</v>
      </c>
      <c r="H183" s="460" t="s">
        <v>945</v>
      </c>
      <c r="I183" s="462">
        <v>3412300</v>
      </c>
      <c r="J183" s="462">
        <v>-3412300</v>
      </c>
      <c r="K183" s="462">
        <v>0</v>
      </c>
      <c r="L183" s="462">
        <v>4058300</v>
      </c>
      <c r="M183" s="462">
        <v>-4058300</v>
      </c>
      <c r="N183" s="462">
        <v>0</v>
      </c>
      <c r="O183" s="462">
        <v>0</v>
      </c>
      <c r="P183" s="462">
        <v>0</v>
      </c>
      <c r="Q183" s="463">
        <v>0</v>
      </c>
    </row>
    <row r="184" spans="1:17" ht="89.25" outlineLevel="5">
      <c r="A184" s="459" t="s">
        <v>906</v>
      </c>
      <c r="B184" s="460" t="s">
        <v>957</v>
      </c>
      <c r="C184" s="460" t="s">
        <v>992</v>
      </c>
      <c r="D184" s="460" t="s">
        <v>909</v>
      </c>
      <c r="E184" s="460" t="s">
        <v>995</v>
      </c>
      <c r="F184" s="460" t="s">
        <v>993</v>
      </c>
      <c r="G184" s="461" t="s">
        <v>146</v>
      </c>
      <c r="H184" s="460" t="s">
        <v>912</v>
      </c>
      <c r="I184" s="462">
        <v>217806.38</v>
      </c>
      <c r="J184" s="462">
        <v>-217806.38</v>
      </c>
      <c r="K184" s="462">
        <v>0</v>
      </c>
      <c r="L184" s="462">
        <v>259040.43</v>
      </c>
      <c r="M184" s="462">
        <v>-259040.43</v>
      </c>
      <c r="N184" s="462">
        <v>0</v>
      </c>
      <c r="O184" s="462">
        <v>0</v>
      </c>
      <c r="P184" s="462">
        <v>0</v>
      </c>
      <c r="Q184" s="463">
        <v>0</v>
      </c>
    </row>
    <row r="185" spans="1:17" outlineLevel="4">
      <c r="A185" s="454" t="s">
        <v>906</v>
      </c>
      <c r="B185" s="455" t="s">
        <v>957</v>
      </c>
      <c r="C185" s="455" t="s">
        <v>992</v>
      </c>
      <c r="D185" s="455" t="s">
        <v>909</v>
      </c>
      <c r="E185" s="455" t="s">
        <v>996</v>
      </c>
      <c r="F185" s="455"/>
      <c r="G185" s="456"/>
      <c r="H185" s="455"/>
      <c r="I185" s="457">
        <v>0</v>
      </c>
      <c r="J185" s="457">
        <v>4921549.3</v>
      </c>
      <c r="K185" s="457">
        <v>4921549.3</v>
      </c>
      <c r="L185" s="457">
        <v>0</v>
      </c>
      <c r="M185" s="457">
        <v>4921549.3</v>
      </c>
      <c r="N185" s="457">
        <v>4921549.3</v>
      </c>
      <c r="O185" s="457">
        <v>4921549.3</v>
      </c>
      <c r="P185" s="457">
        <v>4921549.3</v>
      </c>
      <c r="Q185" s="458">
        <v>0</v>
      </c>
    </row>
    <row r="186" spans="1:17" outlineLevel="5">
      <c r="A186" s="459" t="s">
        <v>906</v>
      </c>
      <c r="B186" s="460" t="s">
        <v>957</v>
      </c>
      <c r="C186" s="460" t="s">
        <v>992</v>
      </c>
      <c r="D186" s="460" t="s">
        <v>909</v>
      </c>
      <c r="E186" s="460" t="s">
        <v>996</v>
      </c>
      <c r="F186" s="460"/>
      <c r="G186" s="461"/>
      <c r="H186" s="460"/>
      <c r="I186" s="462">
        <v>0</v>
      </c>
      <c r="J186" s="462">
        <v>0</v>
      </c>
      <c r="K186" s="462">
        <v>0</v>
      </c>
      <c r="L186" s="462">
        <v>0</v>
      </c>
      <c r="M186" s="462">
        <v>0</v>
      </c>
      <c r="N186" s="462">
        <v>0</v>
      </c>
      <c r="O186" s="462">
        <v>0</v>
      </c>
      <c r="P186" s="462">
        <v>-855777.04</v>
      </c>
      <c r="Q186" s="463">
        <v>0</v>
      </c>
    </row>
    <row r="187" spans="1:17" ht="89.25" outlineLevel="5">
      <c r="A187" s="459" t="s">
        <v>906</v>
      </c>
      <c r="B187" s="460" t="s">
        <v>957</v>
      </c>
      <c r="C187" s="460" t="s">
        <v>992</v>
      </c>
      <c r="D187" s="460" t="s">
        <v>909</v>
      </c>
      <c r="E187" s="460" t="s">
        <v>996</v>
      </c>
      <c r="F187" s="460" t="s">
        <v>993</v>
      </c>
      <c r="G187" s="461" t="s">
        <v>146</v>
      </c>
      <c r="H187" s="460"/>
      <c r="I187" s="462">
        <v>0</v>
      </c>
      <c r="J187" s="462">
        <v>0</v>
      </c>
      <c r="K187" s="462">
        <v>0</v>
      </c>
      <c r="L187" s="462">
        <v>0</v>
      </c>
      <c r="M187" s="462">
        <v>0</v>
      </c>
      <c r="N187" s="462">
        <v>0</v>
      </c>
      <c r="O187" s="462">
        <v>0</v>
      </c>
      <c r="P187" s="462">
        <v>4921549.3</v>
      </c>
      <c r="Q187" s="463">
        <v>0</v>
      </c>
    </row>
    <row r="188" spans="1:17" ht="89.25" outlineLevel="5">
      <c r="A188" s="459" t="s">
        <v>906</v>
      </c>
      <c r="B188" s="460" t="s">
        <v>957</v>
      </c>
      <c r="C188" s="460" t="s">
        <v>992</v>
      </c>
      <c r="D188" s="460" t="s">
        <v>909</v>
      </c>
      <c r="E188" s="460" t="s">
        <v>996</v>
      </c>
      <c r="F188" s="460" t="s">
        <v>993</v>
      </c>
      <c r="G188" s="461" t="s">
        <v>146</v>
      </c>
      <c r="H188" s="460" t="s">
        <v>945</v>
      </c>
      <c r="I188" s="462">
        <v>0</v>
      </c>
      <c r="J188" s="462">
        <v>3494300</v>
      </c>
      <c r="K188" s="462">
        <v>3494300</v>
      </c>
      <c r="L188" s="462">
        <v>0</v>
      </c>
      <c r="M188" s="462">
        <v>3494300</v>
      </c>
      <c r="N188" s="462">
        <v>3494300</v>
      </c>
      <c r="O188" s="462">
        <v>3494300</v>
      </c>
      <c r="P188" s="462">
        <v>3494300</v>
      </c>
      <c r="Q188" s="463">
        <v>0</v>
      </c>
    </row>
    <row r="189" spans="1:17" ht="89.25" outlineLevel="5">
      <c r="A189" s="459" t="s">
        <v>906</v>
      </c>
      <c r="B189" s="460" t="s">
        <v>957</v>
      </c>
      <c r="C189" s="460" t="s">
        <v>992</v>
      </c>
      <c r="D189" s="460" t="s">
        <v>909</v>
      </c>
      <c r="E189" s="460" t="s">
        <v>996</v>
      </c>
      <c r="F189" s="460" t="s">
        <v>993</v>
      </c>
      <c r="G189" s="461" t="s">
        <v>146</v>
      </c>
      <c r="H189" s="460" t="s">
        <v>912</v>
      </c>
      <c r="I189" s="462">
        <v>0</v>
      </c>
      <c r="J189" s="462">
        <v>1427249.3</v>
      </c>
      <c r="K189" s="462">
        <v>1427249.3</v>
      </c>
      <c r="L189" s="462">
        <v>0</v>
      </c>
      <c r="M189" s="462">
        <v>1427249.3</v>
      </c>
      <c r="N189" s="462">
        <v>1427249.3</v>
      </c>
      <c r="O189" s="462">
        <v>1427249.3</v>
      </c>
      <c r="P189" s="462">
        <v>1427249.3</v>
      </c>
      <c r="Q189" s="463">
        <v>0</v>
      </c>
    </row>
    <row r="190" spans="1:17" outlineLevel="2">
      <c r="A190" s="444" t="s">
        <v>906</v>
      </c>
      <c r="B190" s="445" t="s">
        <v>957</v>
      </c>
      <c r="C190" s="445" t="s">
        <v>997</v>
      </c>
      <c r="D190" s="445"/>
      <c r="E190" s="445"/>
      <c r="F190" s="445"/>
      <c r="G190" s="446"/>
      <c r="H190" s="445"/>
      <c r="I190" s="447">
        <v>4952659.57</v>
      </c>
      <c r="J190" s="447">
        <v>-92703.57</v>
      </c>
      <c r="K190" s="447">
        <v>4859956</v>
      </c>
      <c r="L190" s="447">
        <v>7973940</v>
      </c>
      <c r="M190" s="447">
        <v>-3113984</v>
      </c>
      <c r="N190" s="447">
        <v>4859956</v>
      </c>
      <c r="O190" s="447">
        <v>4859956</v>
      </c>
      <c r="P190" s="447">
        <v>4859956</v>
      </c>
      <c r="Q190" s="448">
        <v>0</v>
      </c>
    </row>
    <row r="191" spans="1:17" outlineLevel="3">
      <c r="A191" s="449" t="s">
        <v>906</v>
      </c>
      <c r="B191" s="450" t="s">
        <v>957</v>
      </c>
      <c r="C191" s="450" t="s">
        <v>997</v>
      </c>
      <c r="D191" s="450" t="s">
        <v>909</v>
      </c>
      <c r="E191" s="450"/>
      <c r="F191" s="450"/>
      <c r="G191" s="451"/>
      <c r="H191" s="450"/>
      <c r="I191" s="452">
        <v>4952659.57</v>
      </c>
      <c r="J191" s="452">
        <v>-92703.57</v>
      </c>
      <c r="K191" s="452">
        <v>4859956</v>
      </c>
      <c r="L191" s="452">
        <v>7973940</v>
      </c>
      <c r="M191" s="452">
        <v>-3113984</v>
      </c>
      <c r="N191" s="452">
        <v>4859956</v>
      </c>
      <c r="O191" s="452">
        <v>4859956</v>
      </c>
      <c r="P191" s="452">
        <v>4859956</v>
      </c>
      <c r="Q191" s="453">
        <v>0</v>
      </c>
    </row>
    <row r="192" spans="1:17" outlineLevel="4">
      <c r="A192" s="454" t="s">
        <v>906</v>
      </c>
      <c r="B192" s="455" t="s">
        <v>957</v>
      </c>
      <c r="C192" s="455" t="s">
        <v>997</v>
      </c>
      <c r="D192" s="455" t="s">
        <v>909</v>
      </c>
      <c r="E192" s="455"/>
      <c r="F192" s="455"/>
      <c r="G192" s="456"/>
      <c r="H192" s="455"/>
      <c r="I192" s="457">
        <v>0</v>
      </c>
      <c r="J192" s="457">
        <v>0</v>
      </c>
      <c r="K192" s="457">
        <v>0</v>
      </c>
      <c r="L192" s="457">
        <v>0</v>
      </c>
      <c r="M192" s="457">
        <v>0</v>
      </c>
      <c r="N192" s="457">
        <v>0</v>
      </c>
      <c r="O192" s="457">
        <v>0</v>
      </c>
      <c r="P192" s="457">
        <v>291597.36</v>
      </c>
      <c r="Q192" s="458">
        <v>0</v>
      </c>
    </row>
    <row r="193" spans="1:17" outlineLevel="5">
      <c r="A193" s="459" t="s">
        <v>906</v>
      </c>
      <c r="B193" s="460" t="s">
        <v>957</v>
      </c>
      <c r="C193" s="460" t="s">
        <v>997</v>
      </c>
      <c r="D193" s="460" t="s">
        <v>909</v>
      </c>
      <c r="E193" s="460"/>
      <c r="F193" s="460"/>
      <c r="G193" s="461"/>
      <c r="H193" s="460"/>
      <c r="I193" s="462">
        <v>0</v>
      </c>
      <c r="J193" s="462">
        <v>0</v>
      </c>
      <c r="K193" s="462">
        <v>0</v>
      </c>
      <c r="L193" s="462">
        <v>0</v>
      </c>
      <c r="M193" s="462">
        <v>0</v>
      </c>
      <c r="N193" s="462">
        <v>0</v>
      </c>
      <c r="O193" s="462">
        <v>0</v>
      </c>
      <c r="P193" s="462">
        <v>255600</v>
      </c>
      <c r="Q193" s="463">
        <v>0</v>
      </c>
    </row>
    <row r="194" spans="1:17" ht="76.5" outlineLevel="5">
      <c r="A194" s="459" t="s">
        <v>906</v>
      </c>
      <c r="B194" s="460" t="s">
        <v>957</v>
      </c>
      <c r="C194" s="460" t="s">
        <v>997</v>
      </c>
      <c r="D194" s="460" t="s">
        <v>909</v>
      </c>
      <c r="E194" s="460"/>
      <c r="F194" s="460" t="s">
        <v>998</v>
      </c>
      <c r="G194" s="461" t="s">
        <v>147</v>
      </c>
      <c r="H194" s="460" t="s">
        <v>912</v>
      </c>
      <c r="I194" s="462">
        <v>0</v>
      </c>
      <c r="J194" s="462">
        <v>0</v>
      </c>
      <c r="K194" s="462">
        <v>0</v>
      </c>
      <c r="L194" s="462">
        <v>0</v>
      </c>
      <c r="M194" s="462">
        <v>0</v>
      </c>
      <c r="N194" s="462">
        <v>0</v>
      </c>
      <c r="O194" s="462">
        <v>0</v>
      </c>
      <c r="P194" s="462">
        <v>35997.360000000001</v>
      </c>
      <c r="Q194" s="463">
        <v>0</v>
      </c>
    </row>
    <row r="195" spans="1:17" outlineLevel="4">
      <c r="A195" s="454" t="s">
        <v>906</v>
      </c>
      <c r="B195" s="455" t="s">
        <v>957</v>
      </c>
      <c r="C195" s="455" t="s">
        <v>997</v>
      </c>
      <c r="D195" s="455" t="s">
        <v>909</v>
      </c>
      <c r="E195" s="455" t="s">
        <v>999</v>
      </c>
      <c r="F195" s="455"/>
      <c r="G195" s="456"/>
      <c r="H195" s="455"/>
      <c r="I195" s="457">
        <v>4952659.57</v>
      </c>
      <c r="J195" s="457">
        <v>-4952659.57</v>
      </c>
      <c r="K195" s="457">
        <v>0</v>
      </c>
      <c r="L195" s="457">
        <v>7973940</v>
      </c>
      <c r="M195" s="457">
        <v>-7973940</v>
      </c>
      <c r="N195" s="457">
        <v>0</v>
      </c>
      <c r="O195" s="457">
        <v>0</v>
      </c>
      <c r="P195" s="457">
        <v>0</v>
      </c>
      <c r="Q195" s="458">
        <v>0</v>
      </c>
    </row>
    <row r="196" spans="1:17" ht="76.5" outlineLevel="5">
      <c r="A196" s="459" t="s">
        <v>906</v>
      </c>
      <c r="B196" s="460" t="s">
        <v>957</v>
      </c>
      <c r="C196" s="460" t="s">
        <v>997</v>
      </c>
      <c r="D196" s="460" t="s">
        <v>909</v>
      </c>
      <c r="E196" s="460" t="s">
        <v>999</v>
      </c>
      <c r="F196" s="460" t="s">
        <v>998</v>
      </c>
      <c r="G196" s="461" t="s">
        <v>147</v>
      </c>
      <c r="H196" s="460" t="s">
        <v>945</v>
      </c>
      <c r="I196" s="462">
        <v>4655500</v>
      </c>
      <c r="J196" s="462">
        <v>-4655500</v>
      </c>
      <c r="K196" s="462">
        <v>0</v>
      </c>
      <c r="L196" s="462">
        <v>7495500</v>
      </c>
      <c r="M196" s="462">
        <v>-7495500</v>
      </c>
      <c r="N196" s="462">
        <v>0</v>
      </c>
      <c r="O196" s="462">
        <v>0</v>
      </c>
      <c r="P196" s="462">
        <v>0</v>
      </c>
      <c r="Q196" s="463">
        <v>0</v>
      </c>
    </row>
    <row r="197" spans="1:17" ht="76.5" outlineLevel="5">
      <c r="A197" s="459" t="s">
        <v>906</v>
      </c>
      <c r="B197" s="460" t="s">
        <v>957</v>
      </c>
      <c r="C197" s="460" t="s">
        <v>997</v>
      </c>
      <c r="D197" s="460" t="s">
        <v>909</v>
      </c>
      <c r="E197" s="460" t="s">
        <v>999</v>
      </c>
      <c r="F197" s="460" t="s">
        <v>998</v>
      </c>
      <c r="G197" s="461" t="s">
        <v>147</v>
      </c>
      <c r="H197" s="460" t="s">
        <v>912</v>
      </c>
      <c r="I197" s="462">
        <v>297159.57</v>
      </c>
      <c r="J197" s="462">
        <v>-297159.57</v>
      </c>
      <c r="K197" s="462">
        <v>0</v>
      </c>
      <c r="L197" s="462">
        <v>478440</v>
      </c>
      <c r="M197" s="462">
        <v>-478440</v>
      </c>
      <c r="N197" s="462">
        <v>0</v>
      </c>
      <c r="O197" s="462">
        <v>0</v>
      </c>
      <c r="P197" s="462">
        <v>0</v>
      </c>
      <c r="Q197" s="463">
        <v>0</v>
      </c>
    </row>
    <row r="198" spans="1:17" outlineLevel="4">
      <c r="A198" s="454" t="s">
        <v>906</v>
      </c>
      <c r="B198" s="455" t="s">
        <v>957</v>
      </c>
      <c r="C198" s="455" t="s">
        <v>997</v>
      </c>
      <c r="D198" s="455" t="s">
        <v>909</v>
      </c>
      <c r="E198" s="455" t="s">
        <v>1000</v>
      </c>
      <c r="F198" s="455"/>
      <c r="G198" s="456"/>
      <c r="H198" s="455"/>
      <c r="I198" s="457">
        <v>0</v>
      </c>
      <c r="J198" s="457">
        <v>4859956</v>
      </c>
      <c r="K198" s="457">
        <v>4859956</v>
      </c>
      <c r="L198" s="457">
        <v>0</v>
      </c>
      <c r="M198" s="457">
        <v>4859956</v>
      </c>
      <c r="N198" s="457">
        <v>4859956</v>
      </c>
      <c r="O198" s="457">
        <v>4859956</v>
      </c>
      <c r="P198" s="457">
        <v>4859956</v>
      </c>
      <c r="Q198" s="458">
        <v>0</v>
      </c>
    </row>
    <row r="199" spans="1:17" outlineLevel="5">
      <c r="A199" s="459" t="s">
        <v>906</v>
      </c>
      <c r="B199" s="460" t="s">
        <v>957</v>
      </c>
      <c r="C199" s="460" t="s">
        <v>997</v>
      </c>
      <c r="D199" s="460" t="s">
        <v>909</v>
      </c>
      <c r="E199" s="460" t="s">
        <v>1000</v>
      </c>
      <c r="F199" s="460"/>
      <c r="G199" s="461"/>
      <c r="H199" s="460"/>
      <c r="I199" s="462">
        <v>0</v>
      </c>
      <c r="J199" s="462">
        <v>0</v>
      </c>
      <c r="K199" s="462">
        <v>0</v>
      </c>
      <c r="L199" s="462">
        <v>0</v>
      </c>
      <c r="M199" s="462">
        <v>0</v>
      </c>
      <c r="N199" s="462">
        <v>0</v>
      </c>
      <c r="O199" s="462">
        <v>0</v>
      </c>
      <c r="P199" s="462">
        <v>-235320</v>
      </c>
      <c r="Q199" s="463">
        <v>0</v>
      </c>
    </row>
    <row r="200" spans="1:17" ht="76.5" outlineLevel="5">
      <c r="A200" s="459" t="s">
        <v>906</v>
      </c>
      <c r="B200" s="460" t="s">
        <v>957</v>
      </c>
      <c r="C200" s="460" t="s">
        <v>997</v>
      </c>
      <c r="D200" s="460" t="s">
        <v>909</v>
      </c>
      <c r="E200" s="460" t="s">
        <v>1000</v>
      </c>
      <c r="F200" s="460" t="s">
        <v>998</v>
      </c>
      <c r="G200" s="461" t="s">
        <v>147</v>
      </c>
      <c r="H200" s="460"/>
      <c r="I200" s="462">
        <v>0</v>
      </c>
      <c r="J200" s="462">
        <v>0</v>
      </c>
      <c r="K200" s="462">
        <v>0</v>
      </c>
      <c r="L200" s="462">
        <v>0</v>
      </c>
      <c r="M200" s="462">
        <v>0</v>
      </c>
      <c r="N200" s="462">
        <v>0</v>
      </c>
      <c r="O200" s="462">
        <v>0</v>
      </c>
      <c r="P200" s="462">
        <v>4859956</v>
      </c>
      <c r="Q200" s="463">
        <v>0</v>
      </c>
    </row>
    <row r="201" spans="1:17" ht="76.5" outlineLevel="5">
      <c r="A201" s="459" t="s">
        <v>906</v>
      </c>
      <c r="B201" s="460" t="s">
        <v>957</v>
      </c>
      <c r="C201" s="460" t="s">
        <v>997</v>
      </c>
      <c r="D201" s="460" t="s">
        <v>909</v>
      </c>
      <c r="E201" s="460" t="s">
        <v>1000</v>
      </c>
      <c r="F201" s="460" t="s">
        <v>998</v>
      </c>
      <c r="G201" s="461" t="s">
        <v>147</v>
      </c>
      <c r="H201" s="460" t="s">
        <v>945</v>
      </c>
      <c r="I201" s="462">
        <v>0</v>
      </c>
      <c r="J201" s="462">
        <v>4568358.6399999997</v>
      </c>
      <c r="K201" s="462">
        <v>4568358.6399999997</v>
      </c>
      <c r="L201" s="462">
        <v>0</v>
      </c>
      <c r="M201" s="462">
        <v>4568358.6399999997</v>
      </c>
      <c r="N201" s="462">
        <v>4568358.6399999997</v>
      </c>
      <c r="O201" s="462">
        <v>4568358.6399999997</v>
      </c>
      <c r="P201" s="462">
        <v>4568358.6399999997</v>
      </c>
      <c r="Q201" s="463">
        <v>0</v>
      </c>
    </row>
    <row r="202" spans="1:17" ht="76.5" outlineLevel="5">
      <c r="A202" s="459" t="s">
        <v>906</v>
      </c>
      <c r="B202" s="460" t="s">
        <v>957</v>
      </c>
      <c r="C202" s="460" t="s">
        <v>997</v>
      </c>
      <c r="D202" s="460" t="s">
        <v>909</v>
      </c>
      <c r="E202" s="460" t="s">
        <v>1000</v>
      </c>
      <c r="F202" s="460" t="s">
        <v>998</v>
      </c>
      <c r="G202" s="461" t="s">
        <v>147</v>
      </c>
      <c r="H202" s="460" t="s">
        <v>912</v>
      </c>
      <c r="I202" s="462">
        <v>0</v>
      </c>
      <c r="J202" s="462">
        <v>291597.36</v>
      </c>
      <c r="K202" s="462">
        <v>291597.36</v>
      </c>
      <c r="L202" s="462">
        <v>0</v>
      </c>
      <c r="M202" s="462">
        <v>291597.36</v>
      </c>
      <c r="N202" s="462">
        <v>291597.36</v>
      </c>
      <c r="O202" s="462">
        <v>291597.36</v>
      </c>
      <c r="P202" s="462">
        <v>291597.36</v>
      </c>
      <c r="Q202" s="463">
        <v>0</v>
      </c>
    </row>
    <row r="203" spans="1:17" outlineLevel="2">
      <c r="A203" s="444" t="s">
        <v>906</v>
      </c>
      <c r="B203" s="445" t="s">
        <v>957</v>
      </c>
      <c r="C203" s="445" t="s">
        <v>1001</v>
      </c>
      <c r="D203" s="445"/>
      <c r="E203" s="445"/>
      <c r="F203" s="445"/>
      <c r="G203" s="446"/>
      <c r="H203" s="445"/>
      <c r="I203" s="447">
        <v>0</v>
      </c>
      <c r="J203" s="447">
        <v>4801729.78</v>
      </c>
      <c r="K203" s="447">
        <v>4801729.78</v>
      </c>
      <c r="L203" s="447">
        <v>0</v>
      </c>
      <c r="M203" s="447">
        <v>4801729.78</v>
      </c>
      <c r="N203" s="447">
        <v>4801729.78</v>
      </c>
      <c r="O203" s="447">
        <v>4230855</v>
      </c>
      <c r="P203" s="447">
        <v>4230855</v>
      </c>
      <c r="Q203" s="448">
        <v>570874.78</v>
      </c>
    </row>
    <row r="204" spans="1:17" outlineLevel="3">
      <c r="A204" s="449" t="s">
        <v>906</v>
      </c>
      <c r="B204" s="450" t="s">
        <v>957</v>
      </c>
      <c r="C204" s="450" t="s">
        <v>1001</v>
      </c>
      <c r="D204" s="450" t="s">
        <v>947</v>
      </c>
      <c r="E204" s="450"/>
      <c r="F204" s="450"/>
      <c r="G204" s="451"/>
      <c r="H204" s="450"/>
      <c r="I204" s="452">
        <v>0</v>
      </c>
      <c r="J204" s="452">
        <v>4801729.78</v>
      </c>
      <c r="K204" s="452">
        <v>4801729.78</v>
      </c>
      <c r="L204" s="452">
        <v>0</v>
      </c>
      <c r="M204" s="452">
        <v>4801729.78</v>
      </c>
      <c r="N204" s="452">
        <v>4801729.78</v>
      </c>
      <c r="O204" s="452">
        <v>4230855</v>
      </c>
      <c r="P204" s="452">
        <v>4230855</v>
      </c>
      <c r="Q204" s="453">
        <v>570874.78</v>
      </c>
    </row>
    <row r="205" spans="1:17" outlineLevel="4">
      <c r="A205" s="454" t="s">
        <v>906</v>
      </c>
      <c r="B205" s="455" t="s">
        <v>957</v>
      </c>
      <c r="C205" s="455" t="s">
        <v>1001</v>
      </c>
      <c r="D205" s="455" t="s">
        <v>947</v>
      </c>
      <c r="E205" s="455" t="s">
        <v>910</v>
      </c>
      <c r="F205" s="455"/>
      <c r="G205" s="456"/>
      <c r="H205" s="455"/>
      <c r="I205" s="457">
        <v>0</v>
      </c>
      <c r="J205" s="457">
        <v>4801729.78</v>
      </c>
      <c r="K205" s="457">
        <v>4801729.78</v>
      </c>
      <c r="L205" s="457">
        <v>0</v>
      </c>
      <c r="M205" s="457">
        <v>4801729.78</v>
      </c>
      <c r="N205" s="457">
        <v>4801729.78</v>
      </c>
      <c r="O205" s="457">
        <v>4230855</v>
      </c>
      <c r="P205" s="457">
        <v>4230855</v>
      </c>
      <c r="Q205" s="458">
        <v>570874.78</v>
      </c>
    </row>
    <row r="206" spans="1:17" ht="38.25" outlineLevel="5">
      <c r="A206" s="459" t="s">
        <v>906</v>
      </c>
      <c r="B206" s="460" t="s">
        <v>957</v>
      </c>
      <c r="C206" s="460" t="s">
        <v>1001</v>
      </c>
      <c r="D206" s="460" t="s">
        <v>947</v>
      </c>
      <c r="E206" s="460" t="s">
        <v>910</v>
      </c>
      <c r="F206" s="460" t="s">
        <v>1002</v>
      </c>
      <c r="G206" s="461" t="s">
        <v>461</v>
      </c>
      <c r="H206" s="460"/>
      <c r="I206" s="462">
        <v>0</v>
      </c>
      <c r="J206" s="462">
        <v>0</v>
      </c>
      <c r="K206" s="462">
        <v>0</v>
      </c>
      <c r="L206" s="462">
        <v>0</v>
      </c>
      <c r="M206" s="462">
        <v>0</v>
      </c>
      <c r="N206" s="462">
        <v>0</v>
      </c>
      <c r="O206" s="462">
        <v>0</v>
      </c>
      <c r="P206" s="462">
        <v>4230855</v>
      </c>
      <c r="Q206" s="463">
        <v>0</v>
      </c>
    </row>
    <row r="207" spans="1:17" ht="38.25" outlineLevel="5">
      <c r="A207" s="459" t="s">
        <v>906</v>
      </c>
      <c r="B207" s="460" t="s">
        <v>957</v>
      </c>
      <c r="C207" s="460" t="s">
        <v>1001</v>
      </c>
      <c r="D207" s="460" t="s">
        <v>947</v>
      </c>
      <c r="E207" s="460" t="s">
        <v>910</v>
      </c>
      <c r="F207" s="460" t="s">
        <v>1002</v>
      </c>
      <c r="G207" s="461" t="s">
        <v>461</v>
      </c>
      <c r="H207" s="460" t="s">
        <v>912</v>
      </c>
      <c r="I207" s="462">
        <v>0</v>
      </c>
      <c r="J207" s="462">
        <v>4801729.78</v>
      </c>
      <c r="K207" s="462">
        <v>4801729.78</v>
      </c>
      <c r="L207" s="462">
        <v>0</v>
      </c>
      <c r="M207" s="462">
        <v>4801729.78</v>
      </c>
      <c r="N207" s="462">
        <v>4801729.78</v>
      </c>
      <c r="O207" s="462">
        <v>4230855</v>
      </c>
      <c r="P207" s="462">
        <v>0</v>
      </c>
      <c r="Q207" s="463">
        <v>570874.78</v>
      </c>
    </row>
    <row r="208" spans="1:17" outlineLevel="2">
      <c r="A208" s="444" t="s">
        <v>906</v>
      </c>
      <c r="B208" s="445" t="s">
        <v>957</v>
      </c>
      <c r="C208" s="445" t="s">
        <v>1003</v>
      </c>
      <c r="D208" s="445"/>
      <c r="E208" s="445"/>
      <c r="F208" s="445"/>
      <c r="G208" s="446"/>
      <c r="H208" s="445"/>
      <c r="I208" s="447">
        <v>4400000</v>
      </c>
      <c r="J208" s="447">
        <v>-3275431.71</v>
      </c>
      <c r="K208" s="447">
        <v>1124568.29</v>
      </c>
      <c r="L208" s="447">
        <v>0</v>
      </c>
      <c r="M208" s="447">
        <v>1124568.29</v>
      </c>
      <c r="N208" s="447">
        <v>1124568.29</v>
      </c>
      <c r="O208" s="447">
        <v>1124568.29</v>
      </c>
      <c r="P208" s="447">
        <v>1124568.29</v>
      </c>
      <c r="Q208" s="448">
        <v>0</v>
      </c>
    </row>
    <row r="209" spans="1:17" outlineLevel="3">
      <c r="A209" s="449" t="s">
        <v>906</v>
      </c>
      <c r="B209" s="450" t="s">
        <v>957</v>
      </c>
      <c r="C209" s="450" t="s">
        <v>1003</v>
      </c>
      <c r="D209" s="450" t="s">
        <v>1004</v>
      </c>
      <c r="E209" s="450"/>
      <c r="F209" s="450"/>
      <c r="G209" s="451"/>
      <c r="H209" s="450"/>
      <c r="I209" s="452">
        <v>4400000</v>
      </c>
      <c r="J209" s="452">
        <v>-3275431.71</v>
      </c>
      <c r="K209" s="452">
        <v>1124568.29</v>
      </c>
      <c r="L209" s="452">
        <v>0</v>
      </c>
      <c r="M209" s="452">
        <v>1124568.29</v>
      </c>
      <c r="N209" s="452">
        <v>1124568.29</v>
      </c>
      <c r="O209" s="452">
        <v>1124568.29</v>
      </c>
      <c r="P209" s="452">
        <v>1124568.29</v>
      </c>
      <c r="Q209" s="453">
        <v>0</v>
      </c>
    </row>
    <row r="210" spans="1:17" outlineLevel="4">
      <c r="A210" s="454" t="s">
        <v>906</v>
      </c>
      <c r="B210" s="455" t="s">
        <v>957</v>
      </c>
      <c r="C210" s="455" t="s">
        <v>1003</v>
      </c>
      <c r="D210" s="455" t="s">
        <v>1004</v>
      </c>
      <c r="E210" s="455" t="s">
        <v>910</v>
      </c>
      <c r="F210" s="455"/>
      <c r="G210" s="456"/>
      <c r="H210" s="455"/>
      <c r="I210" s="457">
        <v>4400000</v>
      </c>
      <c r="J210" s="457">
        <v>-3275431.71</v>
      </c>
      <c r="K210" s="457">
        <v>1124568.29</v>
      </c>
      <c r="L210" s="457">
        <v>0</v>
      </c>
      <c r="M210" s="457">
        <v>1124568.29</v>
      </c>
      <c r="N210" s="457">
        <v>1124568.29</v>
      </c>
      <c r="O210" s="457">
        <v>1124568.29</v>
      </c>
      <c r="P210" s="457">
        <v>1124568.29</v>
      </c>
      <c r="Q210" s="458">
        <v>0</v>
      </c>
    </row>
    <row r="211" spans="1:17" ht="38.25" outlineLevel="5">
      <c r="A211" s="459" t="s">
        <v>906</v>
      </c>
      <c r="B211" s="460" t="s">
        <v>957</v>
      </c>
      <c r="C211" s="460" t="s">
        <v>1003</v>
      </c>
      <c r="D211" s="460" t="s">
        <v>1004</v>
      </c>
      <c r="E211" s="460" t="s">
        <v>910</v>
      </c>
      <c r="F211" s="460" t="s">
        <v>1005</v>
      </c>
      <c r="G211" s="461" t="s">
        <v>1006</v>
      </c>
      <c r="H211" s="460"/>
      <c r="I211" s="462">
        <v>0</v>
      </c>
      <c r="J211" s="462">
        <v>0</v>
      </c>
      <c r="K211" s="462">
        <v>0</v>
      </c>
      <c r="L211" s="462">
        <v>0</v>
      </c>
      <c r="M211" s="462">
        <v>0</v>
      </c>
      <c r="N211" s="462">
        <v>0</v>
      </c>
      <c r="O211" s="462">
        <v>0</v>
      </c>
      <c r="P211" s="462">
        <v>671477.14</v>
      </c>
      <c r="Q211" s="463">
        <v>0</v>
      </c>
    </row>
    <row r="212" spans="1:17" ht="38.25" outlineLevel="5">
      <c r="A212" s="459" t="s">
        <v>906</v>
      </c>
      <c r="B212" s="460" t="s">
        <v>957</v>
      </c>
      <c r="C212" s="460" t="s">
        <v>1003</v>
      </c>
      <c r="D212" s="460" t="s">
        <v>1004</v>
      </c>
      <c r="E212" s="460" t="s">
        <v>910</v>
      </c>
      <c r="F212" s="460" t="s">
        <v>1005</v>
      </c>
      <c r="G212" s="461" t="s">
        <v>1006</v>
      </c>
      <c r="H212" s="460" t="s">
        <v>912</v>
      </c>
      <c r="I212" s="462">
        <v>4400000</v>
      </c>
      <c r="J212" s="462">
        <v>-3275431.71</v>
      </c>
      <c r="K212" s="462">
        <v>1124568.29</v>
      </c>
      <c r="L212" s="462">
        <v>0</v>
      </c>
      <c r="M212" s="462">
        <v>1124568.29</v>
      </c>
      <c r="N212" s="462">
        <v>1124568.29</v>
      </c>
      <c r="O212" s="462">
        <v>1124568.29</v>
      </c>
      <c r="P212" s="462">
        <v>453091.15</v>
      </c>
      <c r="Q212" s="463">
        <v>0</v>
      </c>
    </row>
    <row r="213" spans="1:17" outlineLevel="2">
      <c r="A213" s="444" t="s">
        <v>906</v>
      </c>
      <c r="B213" s="445" t="s">
        <v>957</v>
      </c>
      <c r="C213" s="445" t="s">
        <v>1007</v>
      </c>
      <c r="D213" s="445"/>
      <c r="E213" s="445"/>
      <c r="F213" s="445"/>
      <c r="G213" s="446"/>
      <c r="H213" s="445"/>
      <c r="I213" s="447">
        <v>6000000</v>
      </c>
      <c r="J213" s="447">
        <v>0</v>
      </c>
      <c r="K213" s="447">
        <v>6000000</v>
      </c>
      <c r="L213" s="447">
        <v>0</v>
      </c>
      <c r="M213" s="447">
        <v>6000000</v>
      </c>
      <c r="N213" s="447">
        <v>6000000</v>
      </c>
      <c r="O213" s="447">
        <v>6000000</v>
      </c>
      <c r="P213" s="447">
        <v>6000000</v>
      </c>
      <c r="Q213" s="448">
        <v>0</v>
      </c>
    </row>
    <row r="214" spans="1:17" outlineLevel="3">
      <c r="A214" s="449" t="s">
        <v>906</v>
      </c>
      <c r="B214" s="450" t="s">
        <v>957</v>
      </c>
      <c r="C214" s="450" t="s">
        <v>1007</v>
      </c>
      <c r="D214" s="450" t="s">
        <v>1004</v>
      </c>
      <c r="E214" s="450"/>
      <c r="F214" s="450"/>
      <c r="G214" s="451"/>
      <c r="H214" s="450"/>
      <c r="I214" s="452">
        <v>6000000</v>
      </c>
      <c r="J214" s="452">
        <v>0</v>
      </c>
      <c r="K214" s="452">
        <v>6000000</v>
      </c>
      <c r="L214" s="452">
        <v>0</v>
      </c>
      <c r="M214" s="452">
        <v>6000000</v>
      </c>
      <c r="N214" s="452">
        <v>6000000</v>
      </c>
      <c r="O214" s="452">
        <v>6000000</v>
      </c>
      <c r="P214" s="452">
        <v>6000000</v>
      </c>
      <c r="Q214" s="453">
        <v>0</v>
      </c>
    </row>
    <row r="215" spans="1:17" outlineLevel="4">
      <c r="A215" s="454" t="s">
        <v>906</v>
      </c>
      <c r="B215" s="455" t="s">
        <v>957</v>
      </c>
      <c r="C215" s="455" t="s">
        <v>1007</v>
      </c>
      <c r="D215" s="455" t="s">
        <v>1004</v>
      </c>
      <c r="E215" s="455" t="s">
        <v>910</v>
      </c>
      <c r="F215" s="455"/>
      <c r="G215" s="456"/>
      <c r="H215" s="455"/>
      <c r="I215" s="457">
        <v>6000000</v>
      </c>
      <c r="J215" s="457">
        <v>0</v>
      </c>
      <c r="K215" s="457">
        <v>6000000</v>
      </c>
      <c r="L215" s="457">
        <v>0</v>
      </c>
      <c r="M215" s="457">
        <v>6000000</v>
      </c>
      <c r="N215" s="457">
        <v>6000000</v>
      </c>
      <c r="O215" s="457">
        <v>6000000</v>
      </c>
      <c r="P215" s="457">
        <v>6000000</v>
      </c>
      <c r="Q215" s="458">
        <v>0</v>
      </c>
    </row>
    <row r="216" spans="1:17" ht="38.25" outlineLevel="5">
      <c r="A216" s="459" t="s">
        <v>906</v>
      </c>
      <c r="B216" s="460" t="s">
        <v>957</v>
      </c>
      <c r="C216" s="460" t="s">
        <v>1007</v>
      </c>
      <c r="D216" s="460" t="s">
        <v>1004</v>
      </c>
      <c r="E216" s="460" t="s">
        <v>910</v>
      </c>
      <c r="F216" s="460" t="s">
        <v>1008</v>
      </c>
      <c r="G216" s="461" t="s">
        <v>1009</v>
      </c>
      <c r="H216" s="460"/>
      <c r="I216" s="462">
        <v>0</v>
      </c>
      <c r="J216" s="462">
        <v>0</v>
      </c>
      <c r="K216" s="462">
        <v>0</v>
      </c>
      <c r="L216" s="462">
        <v>0</v>
      </c>
      <c r="M216" s="462">
        <v>0</v>
      </c>
      <c r="N216" s="462">
        <v>0</v>
      </c>
      <c r="O216" s="462">
        <v>0</v>
      </c>
      <c r="P216" s="462">
        <v>6000000</v>
      </c>
      <c r="Q216" s="463">
        <v>0</v>
      </c>
    </row>
    <row r="217" spans="1:17" ht="38.25" outlineLevel="5">
      <c r="A217" s="459" t="s">
        <v>906</v>
      </c>
      <c r="B217" s="460" t="s">
        <v>957</v>
      </c>
      <c r="C217" s="460" t="s">
        <v>1007</v>
      </c>
      <c r="D217" s="460" t="s">
        <v>1004</v>
      </c>
      <c r="E217" s="460" t="s">
        <v>910</v>
      </c>
      <c r="F217" s="460" t="s">
        <v>1008</v>
      </c>
      <c r="G217" s="461" t="s">
        <v>1009</v>
      </c>
      <c r="H217" s="460" t="s">
        <v>912</v>
      </c>
      <c r="I217" s="462">
        <v>6000000</v>
      </c>
      <c r="J217" s="462">
        <v>0</v>
      </c>
      <c r="K217" s="462">
        <v>6000000</v>
      </c>
      <c r="L217" s="462">
        <v>0</v>
      </c>
      <c r="M217" s="462">
        <v>6000000</v>
      </c>
      <c r="N217" s="462">
        <v>6000000</v>
      </c>
      <c r="O217" s="462">
        <v>6000000</v>
      </c>
      <c r="P217" s="462">
        <v>0</v>
      </c>
      <c r="Q217" s="463">
        <v>0</v>
      </c>
    </row>
    <row r="218" spans="1:17" outlineLevel="1">
      <c r="A218" s="439" t="s">
        <v>906</v>
      </c>
      <c r="B218" s="440" t="s">
        <v>1010</v>
      </c>
      <c r="C218" s="440"/>
      <c r="D218" s="440"/>
      <c r="E218" s="440"/>
      <c r="F218" s="440"/>
      <c r="G218" s="441"/>
      <c r="H218" s="440"/>
      <c r="I218" s="442">
        <v>56948595.869999997</v>
      </c>
      <c r="J218" s="442">
        <v>5281233.21</v>
      </c>
      <c r="K218" s="442">
        <v>62229829.079999998</v>
      </c>
      <c r="L218" s="442">
        <v>0</v>
      </c>
      <c r="M218" s="442">
        <v>62229829.079999998</v>
      </c>
      <c r="N218" s="442">
        <v>62229829.079999998</v>
      </c>
      <c r="O218" s="442">
        <v>60981298.649999999</v>
      </c>
      <c r="P218" s="442">
        <v>60861165.350000001</v>
      </c>
      <c r="Q218" s="443">
        <v>1248530.43</v>
      </c>
    </row>
    <row r="219" spans="1:17" outlineLevel="2">
      <c r="A219" s="444" t="s">
        <v>906</v>
      </c>
      <c r="B219" s="445" t="s">
        <v>1010</v>
      </c>
      <c r="C219" s="445" t="s">
        <v>1011</v>
      </c>
      <c r="D219" s="445"/>
      <c r="E219" s="445"/>
      <c r="F219" s="445"/>
      <c r="G219" s="446"/>
      <c r="H219" s="445"/>
      <c r="I219" s="447">
        <v>51510544.259999998</v>
      </c>
      <c r="J219" s="447">
        <v>0</v>
      </c>
      <c r="K219" s="447">
        <v>51510544.259999998</v>
      </c>
      <c r="L219" s="447">
        <v>0</v>
      </c>
      <c r="M219" s="447">
        <v>51510544.259999998</v>
      </c>
      <c r="N219" s="447">
        <v>51510544.259999998</v>
      </c>
      <c r="O219" s="447">
        <v>50488954.979999997</v>
      </c>
      <c r="P219" s="447">
        <v>50368821.68</v>
      </c>
      <c r="Q219" s="448">
        <v>1021589.28</v>
      </c>
    </row>
    <row r="220" spans="1:17" outlineLevel="3">
      <c r="A220" s="449" t="s">
        <v>906</v>
      </c>
      <c r="B220" s="450" t="s">
        <v>1010</v>
      </c>
      <c r="C220" s="450" t="s">
        <v>1011</v>
      </c>
      <c r="D220" s="450" t="s">
        <v>1012</v>
      </c>
      <c r="E220" s="450"/>
      <c r="F220" s="450"/>
      <c r="G220" s="451"/>
      <c r="H220" s="450"/>
      <c r="I220" s="452">
        <v>39628954.979999997</v>
      </c>
      <c r="J220" s="452">
        <v>0</v>
      </c>
      <c r="K220" s="452">
        <v>39628954.979999997</v>
      </c>
      <c r="L220" s="452">
        <v>0</v>
      </c>
      <c r="M220" s="452">
        <v>39628954.979999997</v>
      </c>
      <c r="N220" s="452">
        <v>39628954.979999997</v>
      </c>
      <c r="O220" s="452">
        <v>39628954.979999997</v>
      </c>
      <c r="P220" s="452">
        <v>39628954.579999998</v>
      </c>
      <c r="Q220" s="453">
        <v>0</v>
      </c>
    </row>
    <row r="221" spans="1:17" outlineLevel="4">
      <c r="A221" s="454" t="s">
        <v>906</v>
      </c>
      <c r="B221" s="455" t="s">
        <v>1010</v>
      </c>
      <c r="C221" s="455" t="s">
        <v>1011</v>
      </c>
      <c r="D221" s="455" t="s">
        <v>1012</v>
      </c>
      <c r="E221" s="455" t="s">
        <v>910</v>
      </c>
      <c r="F221" s="455"/>
      <c r="G221" s="456"/>
      <c r="H221" s="455"/>
      <c r="I221" s="457">
        <v>39628954.979999997</v>
      </c>
      <c r="J221" s="457">
        <v>0</v>
      </c>
      <c r="K221" s="457">
        <v>39628954.979999997</v>
      </c>
      <c r="L221" s="457">
        <v>0</v>
      </c>
      <c r="M221" s="457">
        <v>39628954.979999997</v>
      </c>
      <c r="N221" s="457">
        <v>39628954.979999997</v>
      </c>
      <c r="O221" s="457">
        <v>39628954.979999997</v>
      </c>
      <c r="P221" s="457">
        <v>39628954.579999998</v>
      </c>
      <c r="Q221" s="458">
        <v>0</v>
      </c>
    </row>
    <row r="222" spans="1:17" outlineLevel="5">
      <c r="A222" s="459" t="s">
        <v>906</v>
      </c>
      <c r="B222" s="460" t="s">
        <v>1010</v>
      </c>
      <c r="C222" s="460" t="s">
        <v>1011</v>
      </c>
      <c r="D222" s="460" t="s">
        <v>1012</v>
      </c>
      <c r="E222" s="460" t="s">
        <v>910</v>
      </c>
      <c r="F222" s="460"/>
      <c r="G222" s="461"/>
      <c r="H222" s="460"/>
      <c r="I222" s="462">
        <v>0</v>
      </c>
      <c r="J222" s="462">
        <v>0</v>
      </c>
      <c r="K222" s="462">
        <v>0</v>
      </c>
      <c r="L222" s="462">
        <v>0</v>
      </c>
      <c r="M222" s="462">
        <v>0</v>
      </c>
      <c r="N222" s="462">
        <v>0</v>
      </c>
      <c r="O222" s="462">
        <v>0</v>
      </c>
      <c r="P222" s="462">
        <v>-1726629.11</v>
      </c>
      <c r="Q222" s="463">
        <v>0</v>
      </c>
    </row>
    <row r="223" spans="1:17" outlineLevel="5">
      <c r="A223" s="459" t="s">
        <v>906</v>
      </c>
      <c r="B223" s="460" t="s">
        <v>1010</v>
      </c>
      <c r="C223" s="460" t="s">
        <v>1011</v>
      </c>
      <c r="D223" s="460" t="s">
        <v>1012</v>
      </c>
      <c r="E223" s="460" t="s">
        <v>910</v>
      </c>
      <c r="F223" s="460"/>
      <c r="G223" s="461"/>
      <c r="H223" s="460" t="s">
        <v>912</v>
      </c>
      <c r="I223" s="462">
        <v>0</v>
      </c>
      <c r="J223" s="462">
        <v>0</v>
      </c>
      <c r="K223" s="462">
        <v>0</v>
      </c>
      <c r="L223" s="462">
        <v>0</v>
      </c>
      <c r="M223" s="462">
        <v>0</v>
      </c>
      <c r="N223" s="462">
        <v>0</v>
      </c>
      <c r="O223" s="462">
        <v>0</v>
      </c>
      <c r="P223" s="462">
        <v>-67422.490000000005</v>
      </c>
      <c r="Q223" s="463">
        <v>0</v>
      </c>
    </row>
    <row r="224" spans="1:17" ht="63.75" outlineLevel="5">
      <c r="A224" s="459" t="s">
        <v>906</v>
      </c>
      <c r="B224" s="460" t="s">
        <v>1010</v>
      </c>
      <c r="C224" s="460" t="s">
        <v>1011</v>
      </c>
      <c r="D224" s="460" t="s">
        <v>1012</v>
      </c>
      <c r="E224" s="460" t="s">
        <v>910</v>
      </c>
      <c r="F224" s="460" t="s">
        <v>1013</v>
      </c>
      <c r="G224" s="461" t="s">
        <v>1014</v>
      </c>
      <c r="H224" s="460"/>
      <c r="I224" s="462">
        <v>0</v>
      </c>
      <c r="J224" s="462">
        <v>0</v>
      </c>
      <c r="K224" s="462">
        <v>0</v>
      </c>
      <c r="L224" s="462">
        <v>0</v>
      </c>
      <c r="M224" s="462">
        <v>0</v>
      </c>
      <c r="N224" s="462">
        <v>0</v>
      </c>
      <c r="O224" s="462">
        <v>0</v>
      </c>
      <c r="P224" s="462">
        <v>25583936.57</v>
      </c>
      <c r="Q224" s="463">
        <v>0</v>
      </c>
    </row>
    <row r="225" spans="1:17" ht="63.75" outlineLevel="5">
      <c r="A225" s="459" t="s">
        <v>906</v>
      </c>
      <c r="B225" s="460" t="s">
        <v>1010</v>
      </c>
      <c r="C225" s="460" t="s">
        <v>1011</v>
      </c>
      <c r="D225" s="460" t="s">
        <v>1012</v>
      </c>
      <c r="E225" s="460" t="s">
        <v>910</v>
      </c>
      <c r="F225" s="460" t="s">
        <v>1013</v>
      </c>
      <c r="G225" s="461" t="s">
        <v>1014</v>
      </c>
      <c r="H225" s="460" t="s">
        <v>912</v>
      </c>
      <c r="I225" s="462">
        <v>39628954.979999997</v>
      </c>
      <c r="J225" s="462">
        <v>0</v>
      </c>
      <c r="K225" s="462">
        <v>39628954.979999997</v>
      </c>
      <c r="L225" s="462">
        <v>0</v>
      </c>
      <c r="M225" s="462">
        <v>39628954.979999997</v>
      </c>
      <c r="N225" s="462">
        <v>39628954.979999997</v>
      </c>
      <c r="O225" s="462">
        <v>39628954.979999997</v>
      </c>
      <c r="P225" s="462">
        <v>15839069.609999999</v>
      </c>
      <c r="Q225" s="463">
        <v>0</v>
      </c>
    </row>
    <row r="226" spans="1:17" outlineLevel="3">
      <c r="A226" s="449" t="s">
        <v>906</v>
      </c>
      <c r="B226" s="450" t="s">
        <v>1010</v>
      </c>
      <c r="C226" s="450" t="s">
        <v>1011</v>
      </c>
      <c r="D226" s="450" t="s">
        <v>1015</v>
      </c>
      <c r="E226" s="450"/>
      <c r="F226" s="450"/>
      <c r="G226" s="451"/>
      <c r="H226" s="450"/>
      <c r="I226" s="452">
        <v>11881589.279999999</v>
      </c>
      <c r="J226" s="452">
        <v>0</v>
      </c>
      <c r="K226" s="452">
        <v>11881589.279999999</v>
      </c>
      <c r="L226" s="452">
        <v>0</v>
      </c>
      <c r="M226" s="452">
        <v>11881589.279999999</v>
      </c>
      <c r="N226" s="452">
        <v>11881589.279999999</v>
      </c>
      <c r="O226" s="452">
        <v>10860000</v>
      </c>
      <c r="P226" s="452">
        <v>10739867.1</v>
      </c>
      <c r="Q226" s="453">
        <v>1021589.28</v>
      </c>
    </row>
    <row r="227" spans="1:17" outlineLevel="4">
      <c r="A227" s="454" t="s">
        <v>906</v>
      </c>
      <c r="B227" s="455" t="s">
        <v>1010</v>
      </c>
      <c r="C227" s="455" t="s">
        <v>1011</v>
      </c>
      <c r="D227" s="455" t="s">
        <v>1015</v>
      </c>
      <c r="E227" s="455" t="s">
        <v>910</v>
      </c>
      <c r="F227" s="455"/>
      <c r="G227" s="456"/>
      <c r="H227" s="455"/>
      <c r="I227" s="457">
        <v>11881589.279999999</v>
      </c>
      <c r="J227" s="457">
        <v>0</v>
      </c>
      <c r="K227" s="457">
        <v>11881589.279999999</v>
      </c>
      <c r="L227" s="457">
        <v>0</v>
      </c>
      <c r="M227" s="457">
        <v>11881589.279999999</v>
      </c>
      <c r="N227" s="457">
        <v>11881589.279999999</v>
      </c>
      <c r="O227" s="457">
        <v>10860000</v>
      </c>
      <c r="P227" s="457">
        <v>10739867.1</v>
      </c>
      <c r="Q227" s="458">
        <v>1021589.28</v>
      </c>
    </row>
    <row r="228" spans="1:17" ht="63.75" outlineLevel="5">
      <c r="A228" s="459" t="s">
        <v>906</v>
      </c>
      <c r="B228" s="460" t="s">
        <v>1010</v>
      </c>
      <c r="C228" s="460" t="s">
        <v>1011</v>
      </c>
      <c r="D228" s="460" t="s">
        <v>1015</v>
      </c>
      <c r="E228" s="460" t="s">
        <v>910</v>
      </c>
      <c r="F228" s="460" t="s">
        <v>1013</v>
      </c>
      <c r="G228" s="461" t="s">
        <v>1014</v>
      </c>
      <c r="H228" s="460"/>
      <c r="I228" s="462">
        <v>0</v>
      </c>
      <c r="J228" s="462">
        <v>0</v>
      </c>
      <c r="K228" s="462">
        <v>0</v>
      </c>
      <c r="L228" s="462">
        <v>0</v>
      </c>
      <c r="M228" s="462">
        <v>0</v>
      </c>
      <c r="N228" s="462">
        <v>0</v>
      </c>
      <c r="O228" s="462">
        <v>0</v>
      </c>
      <c r="P228" s="462">
        <v>6106905.6100000003</v>
      </c>
      <c r="Q228" s="463">
        <v>0</v>
      </c>
    </row>
    <row r="229" spans="1:17" ht="63.75" outlineLevel="5">
      <c r="A229" s="459" t="s">
        <v>906</v>
      </c>
      <c r="B229" s="460" t="s">
        <v>1010</v>
      </c>
      <c r="C229" s="460" t="s">
        <v>1011</v>
      </c>
      <c r="D229" s="460" t="s">
        <v>1015</v>
      </c>
      <c r="E229" s="460" t="s">
        <v>910</v>
      </c>
      <c r="F229" s="460" t="s">
        <v>1013</v>
      </c>
      <c r="G229" s="461" t="s">
        <v>1014</v>
      </c>
      <c r="H229" s="460" t="s">
        <v>912</v>
      </c>
      <c r="I229" s="462">
        <v>11881589.279999999</v>
      </c>
      <c r="J229" s="462">
        <v>0</v>
      </c>
      <c r="K229" s="462">
        <v>11881589.279999999</v>
      </c>
      <c r="L229" s="462">
        <v>0</v>
      </c>
      <c r="M229" s="462">
        <v>11881589.279999999</v>
      </c>
      <c r="N229" s="462">
        <v>11881589.279999999</v>
      </c>
      <c r="O229" s="462">
        <v>10860000</v>
      </c>
      <c r="P229" s="462">
        <v>4632961.49</v>
      </c>
      <c r="Q229" s="463">
        <v>1021589.28</v>
      </c>
    </row>
    <row r="230" spans="1:17" outlineLevel="2">
      <c r="A230" s="444" t="s">
        <v>906</v>
      </c>
      <c r="B230" s="445" t="s">
        <v>1010</v>
      </c>
      <c r="C230" s="445" t="s">
        <v>1016</v>
      </c>
      <c r="D230" s="445"/>
      <c r="E230" s="445"/>
      <c r="F230" s="445"/>
      <c r="G230" s="446"/>
      <c r="H230" s="445"/>
      <c r="I230" s="447">
        <v>5059751.6100000003</v>
      </c>
      <c r="J230" s="447">
        <v>0</v>
      </c>
      <c r="K230" s="447">
        <v>5059751.6100000003</v>
      </c>
      <c r="L230" s="447">
        <v>0</v>
      </c>
      <c r="M230" s="447">
        <v>5059751.6100000003</v>
      </c>
      <c r="N230" s="447">
        <v>5059751.6100000003</v>
      </c>
      <c r="O230" s="447">
        <v>4834909.5999999996</v>
      </c>
      <c r="P230" s="447">
        <v>4834909.5999999996</v>
      </c>
      <c r="Q230" s="448">
        <v>224842.01</v>
      </c>
    </row>
    <row r="231" spans="1:17" outlineLevel="3">
      <c r="A231" s="449" t="s">
        <v>906</v>
      </c>
      <c r="B231" s="450" t="s">
        <v>1010</v>
      </c>
      <c r="C231" s="450" t="s">
        <v>1016</v>
      </c>
      <c r="D231" s="450" t="s">
        <v>1017</v>
      </c>
      <c r="E231" s="450"/>
      <c r="F231" s="450"/>
      <c r="G231" s="451"/>
      <c r="H231" s="450"/>
      <c r="I231" s="452">
        <v>585125</v>
      </c>
      <c r="J231" s="452">
        <v>469493.19</v>
      </c>
      <c r="K231" s="452">
        <v>1054618.19</v>
      </c>
      <c r="L231" s="452">
        <v>0</v>
      </c>
      <c r="M231" s="452">
        <v>1054618.19</v>
      </c>
      <c r="N231" s="452">
        <v>1054618.19</v>
      </c>
      <c r="O231" s="452">
        <v>1053668.19</v>
      </c>
      <c r="P231" s="452">
        <v>1053668.19</v>
      </c>
      <c r="Q231" s="453">
        <v>950</v>
      </c>
    </row>
    <row r="232" spans="1:17" outlineLevel="4">
      <c r="A232" s="454" t="s">
        <v>906</v>
      </c>
      <c r="B232" s="455" t="s">
        <v>1010</v>
      </c>
      <c r="C232" s="455" t="s">
        <v>1016</v>
      </c>
      <c r="D232" s="455" t="s">
        <v>1017</v>
      </c>
      <c r="E232" s="455" t="s">
        <v>910</v>
      </c>
      <c r="F232" s="455"/>
      <c r="G232" s="456"/>
      <c r="H232" s="455"/>
      <c r="I232" s="457">
        <v>585125</v>
      </c>
      <c r="J232" s="457">
        <v>469493.19</v>
      </c>
      <c r="K232" s="457">
        <v>1054618.19</v>
      </c>
      <c r="L232" s="457">
        <v>0</v>
      </c>
      <c r="M232" s="457">
        <v>1054618.19</v>
      </c>
      <c r="N232" s="457">
        <v>1054618.19</v>
      </c>
      <c r="O232" s="457">
        <v>1053668.19</v>
      </c>
      <c r="P232" s="457">
        <v>1053668.19</v>
      </c>
      <c r="Q232" s="458">
        <v>950</v>
      </c>
    </row>
    <row r="233" spans="1:17" outlineLevel="5">
      <c r="A233" s="459" t="s">
        <v>906</v>
      </c>
      <c r="B233" s="460" t="s">
        <v>1010</v>
      </c>
      <c r="C233" s="460" t="s">
        <v>1016</v>
      </c>
      <c r="D233" s="460" t="s">
        <v>1017</v>
      </c>
      <c r="E233" s="460" t="s">
        <v>910</v>
      </c>
      <c r="F233" s="460"/>
      <c r="G233" s="461"/>
      <c r="H233" s="460"/>
      <c r="I233" s="462">
        <v>0</v>
      </c>
      <c r="J233" s="462">
        <v>0</v>
      </c>
      <c r="K233" s="462">
        <v>0</v>
      </c>
      <c r="L233" s="462">
        <v>0</v>
      </c>
      <c r="M233" s="462">
        <v>0</v>
      </c>
      <c r="N233" s="462">
        <v>0</v>
      </c>
      <c r="O233" s="462">
        <v>0</v>
      </c>
      <c r="P233" s="462">
        <v>-505</v>
      </c>
      <c r="Q233" s="463">
        <v>0</v>
      </c>
    </row>
    <row r="234" spans="1:17" ht="63.75" outlineLevel="5">
      <c r="A234" s="459" t="s">
        <v>906</v>
      </c>
      <c r="B234" s="460" t="s">
        <v>1010</v>
      </c>
      <c r="C234" s="460" t="s">
        <v>1016</v>
      </c>
      <c r="D234" s="460" t="s">
        <v>1017</v>
      </c>
      <c r="E234" s="460" t="s">
        <v>910</v>
      </c>
      <c r="F234" s="460" t="s">
        <v>1013</v>
      </c>
      <c r="G234" s="461" t="s">
        <v>1014</v>
      </c>
      <c r="H234" s="460"/>
      <c r="I234" s="462">
        <v>0</v>
      </c>
      <c r="J234" s="462">
        <v>0</v>
      </c>
      <c r="K234" s="462">
        <v>0</v>
      </c>
      <c r="L234" s="462">
        <v>0</v>
      </c>
      <c r="M234" s="462">
        <v>0</v>
      </c>
      <c r="N234" s="462">
        <v>0</v>
      </c>
      <c r="O234" s="462">
        <v>0</v>
      </c>
      <c r="P234" s="462">
        <v>606298.18999999994</v>
      </c>
      <c r="Q234" s="463">
        <v>0</v>
      </c>
    </row>
    <row r="235" spans="1:17" ht="63.75" outlineLevel="5">
      <c r="A235" s="459" t="s">
        <v>906</v>
      </c>
      <c r="B235" s="460" t="s">
        <v>1010</v>
      </c>
      <c r="C235" s="460" t="s">
        <v>1016</v>
      </c>
      <c r="D235" s="460" t="s">
        <v>1017</v>
      </c>
      <c r="E235" s="460" t="s">
        <v>910</v>
      </c>
      <c r="F235" s="460" t="s">
        <v>1013</v>
      </c>
      <c r="G235" s="461" t="s">
        <v>1014</v>
      </c>
      <c r="H235" s="460" t="s">
        <v>912</v>
      </c>
      <c r="I235" s="462">
        <v>585125</v>
      </c>
      <c r="J235" s="462">
        <v>469493.19</v>
      </c>
      <c r="K235" s="462">
        <v>1054618.19</v>
      </c>
      <c r="L235" s="462">
        <v>0</v>
      </c>
      <c r="M235" s="462">
        <v>1054618.19</v>
      </c>
      <c r="N235" s="462">
        <v>1054618.19</v>
      </c>
      <c r="O235" s="462">
        <v>1053668.19</v>
      </c>
      <c r="P235" s="462">
        <v>447875</v>
      </c>
      <c r="Q235" s="463">
        <v>950</v>
      </c>
    </row>
    <row r="236" spans="1:17" outlineLevel="3">
      <c r="A236" s="449" t="s">
        <v>906</v>
      </c>
      <c r="B236" s="450" t="s">
        <v>1010</v>
      </c>
      <c r="C236" s="450" t="s">
        <v>1016</v>
      </c>
      <c r="D236" s="450" t="s">
        <v>909</v>
      </c>
      <c r="E236" s="450"/>
      <c r="F236" s="450"/>
      <c r="G236" s="451"/>
      <c r="H236" s="450"/>
      <c r="I236" s="452">
        <v>4474626.6100000003</v>
      </c>
      <c r="J236" s="452">
        <v>-469493.19</v>
      </c>
      <c r="K236" s="452">
        <v>4005133.42</v>
      </c>
      <c r="L236" s="452">
        <v>0</v>
      </c>
      <c r="M236" s="452">
        <v>4005133.42</v>
      </c>
      <c r="N236" s="452">
        <v>4005133.42</v>
      </c>
      <c r="O236" s="452">
        <v>3781241.41</v>
      </c>
      <c r="P236" s="452">
        <v>3781241.41</v>
      </c>
      <c r="Q236" s="453">
        <v>223892.01</v>
      </c>
    </row>
    <row r="237" spans="1:17" outlineLevel="4">
      <c r="A237" s="454" t="s">
        <v>906</v>
      </c>
      <c r="B237" s="455" t="s">
        <v>1010</v>
      </c>
      <c r="C237" s="455" t="s">
        <v>1016</v>
      </c>
      <c r="D237" s="455" t="s">
        <v>909</v>
      </c>
      <c r="E237" s="455" t="s">
        <v>910</v>
      </c>
      <c r="F237" s="455"/>
      <c r="G237" s="456"/>
      <c r="H237" s="455"/>
      <c r="I237" s="457">
        <v>4474626.6100000003</v>
      </c>
      <c r="J237" s="457">
        <v>-469493.19</v>
      </c>
      <c r="K237" s="457">
        <v>4005133.42</v>
      </c>
      <c r="L237" s="457">
        <v>0</v>
      </c>
      <c r="M237" s="457">
        <v>4005133.42</v>
      </c>
      <c r="N237" s="457">
        <v>4005133.42</v>
      </c>
      <c r="O237" s="457">
        <v>3781241.41</v>
      </c>
      <c r="P237" s="457">
        <v>3781241.41</v>
      </c>
      <c r="Q237" s="458">
        <v>223892.01</v>
      </c>
    </row>
    <row r="238" spans="1:17" ht="63.75" outlineLevel="5">
      <c r="A238" s="459" t="s">
        <v>906</v>
      </c>
      <c r="B238" s="460" t="s">
        <v>1010</v>
      </c>
      <c r="C238" s="460" t="s">
        <v>1016</v>
      </c>
      <c r="D238" s="460" t="s">
        <v>909</v>
      </c>
      <c r="E238" s="460" t="s">
        <v>910</v>
      </c>
      <c r="F238" s="460" t="s">
        <v>1013</v>
      </c>
      <c r="G238" s="461" t="s">
        <v>1014</v>
      </c>
      <c r="H238" s="460"/>
      <c r="I238" s="462">
        <v>0</v>
      </c>
      <c r="J238" s="462">
        <v>0</v>
      </c>
      <c r="K238" s="462">
        <v>0</v>
      </c>
      <c r="L238" s="462">
        <v>0</v>
      </c>
      <c r="M238" s="462">
        <v>0</v>
      </c>
      <c r="N238" s="462">
        <v>0</v>
      </c>
      <c r="O238" s="462">
        <v>0</v>
      </c>
      <c r="P238" s="462">
        <v>2378786.29</v>
      </c>
      <c r="Q238" s="463">
        <v>0</v>
      </c>
    </row>
    <row r="239" spans="1:17" ht="63.75" outlineLevel="5">
      <c r="A239" s="459" t="s">
        <v>906</v>
      </c>
      <c r="B239" s="460" t="s">
        <v>1010</v>
      </c>
      <c r="C239" s="460" t="s">
        <v>1016</v>
      </c>
      <c r="D239" s="460" t="s">
        <v>909</v>
      </c>
      <c r="E239" s="460" t="s">
        <v>910</v>
      </c>
      <c r="F239" s="460" t="s">
        <v>1013</v>
      </c>
      <c r="G239" s="461" t="s">
        <v>1014</v>
      </c>
      <c r="H239" s="460" t="s">
        <v>912</v>
      </c>
      <c r="I239" s="462">
        <v>4474626.6100000003</v>
      </c>
      <c r="J239" s="462">
        <v>-469493.19</v>
      </c>
      <c r="K239" s="462">
        <v>4005133.42</v>
      </c>
      <c r="L239" s="462">
        <v>0</v>
      </c>
      <c r="M239" s="462">
        <v>4005133.42</v>
      </c>
      <c r="N239" s="462">
        <v>4005133.42</v>
      </c>
      <c r="O239" s="462">
        <v>3781241.41</v>
      </c>
      <c r="P239" s="462">
        <v>1402455.12</v>
      </c>
      <c r="Q239" s="463">
        <v>223892.01</v>
      </c>
    </row>
    <row r="240" spans="1:17" outlineLevel="2">
      <c r="A240" s="444" t="s">
        <v>906</v>
      </c>
      <c r="B240" s="445" t="s">
        <v>1010</v>
      </c>
      <c r="C240" s="445" t="s">
        <v>1018</v>
      </c>
      <c r="D240" s="445"/>
      <c r="E240" s="445"/>
      <c r="F240" s="445"/>
      <c r="G240" s="446"/>
      <c r="H240" s="445"/>
      <c r="I240" s="447">
        <v>378300</v>
      </c>
      <c r="J240" s="447">
        <v>0</v>
      </c>
      <c r="K240" s="447">
        <v>378300</v>
      </c>
      <c r="L240" s="447">
        <v>0</v>
      </c>
      <c r="M240" s="447">
        <v>378300</v>
      </c>
      <c r="N240" s="447">
        <v>378300</v>
      </c>
      <c r="O240" s="447">
        <v>376200.86</v>
      </c>
      <c r="P240" s="447">
        <v>376200.86</v>
      </c>
      <c r="Q240" s="448">
        <v>2099.14</v>
      </c>
    </row>
    <row r="241" spans="1:17" outlineLevel="3">
      <c r="A241" s="449" t="s">
        <v>906</v>
      </c>
      <c r="B241" s="450" t="s">
        <v>1010</v>
      </c>
      <c r="C241" s="450" t="s">
        <v>1018</v>
      </c>
      <c r="D241" s="450" t="s">
        <v>1017</v>
      </c>
      <c r="E241" s="450"/>
      <c r="F241" s="450"/>
      <c r="G241" s="451"/>
      <c r="H241" s="450"/>
      <c r="I241" s="452">
        <v>378300</v>
      </c>
      <c r="J241" s="452">
        <v>0</v>
      </c>
      <c r="K241" s="452">
        <v>378300</v>
      </c>
      <c r="L241" s="452">
        <v>0</v>
      </c>
      <c r="M241" s="452">
        <v>378300</v>
      </c>
      <c r="N241" s="452">
        <v>378300</v>
      </c>
      <c r="O241" s="452">
        <v>376200.86</v>
      </c>
      <c r="P241" s="452">
        <v>376200.86</v>
      </c>
      <c r="Q241" s="453">
        <v>2099.14</v>
      </c>
    </row>
    <row r="242" spans="1:17" outlineLevel="4">
      <c r="A242" s="454" t="s">
        <v>906</v>
      </c>
      <c r="B242" s="455" t="s">
        <v>1010</v>
      </c>
      <c r="C242" s="455" t="s">
        <v>1018</v>
      </c>
      <c r="D242" s="455" t="s">
        <v>1017</v>
      </c>
      <c r="E242" s="455" t="s">
        <v>910</v>
      </c>
      <c r="F242" s="455"/>
      <c r="G242" s="456"/>
      <c r="H242" s="455"/>
      <c r="I242" s="457">
        <v>378300</v>
      </c>
      <c r="J242" s="457">
        <v>0</v>
      </c>
      <c r="K242" s="457">
        <v>378300</v>
      </c>
      <c r="L242" s="457">
        <v>0</v>
      </c>
      <c r="M242" s="457">
        <v>378300</v>
      </c>
      <c r="N242" s="457">
        <v>378300</v>
      </c>
      <c r="O242" s="457">
        <v>376200.86</v>
      </c>
      <c r="P242" s="457">
        <v>376200.86</v>
      </c>
      <c r="Q242" s="458">
        <v>2099.14</v>
      </c>
    </row>
    <row r="243" spans="1:17" outlineLevel="5">
      <c r="A243" s="459" t="s">
        <v>906</v>
      </c>
      <c r="B243" s="460" t="s">
        <v>1010</v>
      </c>
      <c r="C243" s="460" t="s">
        <v>1018</v>
      </c>
      <c r="D243" s="460" t="s">
        <v>1017</v>
      </c>
      <c r="E243" s="460" t="s">
        <v>910</v>
      </c>
      <c r="F243" s="460"/>
      <c r="G243" s="461"/>
      <c r="H243" s="460"/>
      <c r="I243" s="462">
        <v>0</v>
      </c>
      <c r="J243" s="462">
        <v>0</v>
      </c>
      <c r="K243" s="462">
        <v>0</v>
      </c>
      <c r="L243" s="462">
        <v>0</v>
      </c>
      <c r="M243" s="462">
        <v>0</v>
      </c>
      <c r="N243" s="462">
        <v>0</v>
      </c>
      <c r="O243" s="462">
        <v>0</v>
      </c>
      <c r="P243" s="462">
        <v>-3844.5</v>
      </c>
      <c r="Q243" s="463">
        <v>0</v>
      </c>
    </row>
    <row r="244" spans="1:17" ht="63.75" outlineLevel="5">
      <c r="A244" s="459" t="s">
        <v>906</v>
      </c>
      <c r="B244" s="460" t="s">
        <v>1010</v>
      </c>
      <c r="C244" s="460" t="s">
        <v>1018</v>
      </c>
      <c r="D244" s="460" t="s">
        <v>1017</v>
      </c>
      <c r="E244" s="460" t="s">
        <v>910</v>
      </c>
      <c r="F244" s="460" t="s">
        <v>1013</v>
      </c>
      <c r="G244" s="461" t="s">
        <v>1014</v>
      </c>
      <c r="H244" s="460"/>
      <c r="I244" s="462">
        <v>0</v>
      </c>
      <c r="J244" s="462">
        <v>0</v>
      </c>
      <c r="K244" s="462">
        <v>0</v>
      </c>
      <c r="L244" s="462">
        <v>0</v>
      </c>
      <c r="M244" s="462">
        <v>0</v>
      </c>
      <c r="N244" s="462">
        <v>0</v>
      </c>
      <c r="O244" s="462">
        <v>0</v>
      </c>
      <c r="P244" s="462">
        <v>349240.36</v>
      </c>
      <c r="Q244" s="463">
        <v>0</v>
      </c>
    </row>
    <row r="245" spans="1:17" ht="63.75" outlineLevel="5">
      <c r="A245" s="459" t="s">
        <v>906</v>
      </c>
      <c r="B245" s="460" t="s">
        <v>1010</v>
      </c>
      <c r="C245" s="460" t="s">
        <v>1018</v>
      </c>
      <c r="D245" s="460" t="s">
        <v>1017</v>
      </c>
      <c r="E245" s="460" t="s">
        <v>910</v>
      </c>
      <c r="F245" s="460" t="s">
        <v>1013</v>
      </c>
      <c r="G245" s="461" t="s">
        <v>1014</v>
      </c>
      <c r="H245" s="460" t="s">
        <v>912</v>
      </c>
      <c r="I245" s="462">
        <v>378300</v>
      </c>
      <c r="J245" s="462">
        <v>0</v>
      </c>
      <c r="K245" s="462">
        <v>378300</v>
      </c>
      <c r="L245" s="462">
        <v>0</v>
      </c>
      <c r="M245" s="462">
        <v>378300</v>
      </c>
      <c r="N245" s="462">
        <v>378300</v>
      </c>
      <c r="O245" s="462">
        <v>376200.86</v>
      </c>
      <c r="P245" s="462">
        <v>30805</v>
      </c>
      <c r="Q245" s="463">
        <v>2099.14</v>
      </c>
    </row>
    <row r="246" spans="1:17" outlineLevel="2">
      <c r="A246" s="444" t="s">
        <v>906</v>
      </c>
      <c r="B246" s="445" t="s">
        <v>1010</v>
      </c>
      <c r="C246" s="445" t="s">
        <v>1019</v>
      </c>
      <c r="D246" s="445"/>
      <c r="E246" s="445"/>
      <c r="F246" s="445"/>
      <c r="G246" s="446"/>
      <c r="H246" s="445"/>
      <c r="I246" s="447">
        <v>0</v>
      </c>
      <c r="J246" s="447">
        <v>2945491.21</v>
      </c>
      <c r="K246" s="447">
        <v>2945491.21</v>
      </c>
      <c r="L246" s="447">
        <v>0</v>
      </c>
      <c r="M246" s="447">
        <v>2945491.21</v>
      </c>
      <c r="N246" s="447">
        <v>2945491.21</v>
      </c>
      <c r="O246" s="447">
        <v>2945491.21</v>
      </c>
      <c r="P246" s="447">
        <v>2945491.21</v>
      </c>
      <c r="Q246" s="448">
        <v>0</v>
      </c>
    </row>
    <row r="247" spans="1:17" outlineLevel="3">
      <c r="A247" s="449" t="s">
        <v>906</v>
      </c>
      <c r="B247" s="450" t="s">
        <v>1010</v>
      </c>
      <c r="C247" s="450" t="s">
        <v>1019</v>
      </c>
      <c r="D247" s="450" t="s">
        <v>1012</v>
      </c>
      <c r="E247" s="450"/>
      <c r="F247" s="450"/>
      <c r="G247" s="451"/>
      <c r="H247" s="450"/>
      <c r="I247" s="452">
        <v>0</v>
      </c>
      <c r="J247" s="452">
        <v>2490428.85</v>
      </c>
      <c r="K247" s="452">
        <v>2490428.85</v>
      </c>
      <c r="L247" s="452">
        <v>0</v>
      </c>
      <c r="M247" s="452">
        <v>2490428.85</v>
      </c>
      <c r="N247" s="452">
        <v>2490428.85</v>
      </c>
      <c r="O247" s="452">
        <v>2490428.85</v>
      </c>
      <c r="P247" s="452">
        <v>2490428.85</v>
      </c>
      <c r="Q247" s="453">
        <v>0</v>
      </c>
    </row>
    <row r="248" spans="1:17" outlineLevel="4">
      <c r="A248" s="454" t="s">
        <v>906</v>
      </c>
      <c r="B248" s="455" t="s">
        <v>1010</v>
      </c>
      <c r="C248" s="455" t="s">
        <v>1019</v>
      </c>
      <c r="D248" s="455" t="s">
        <v>1012</v>
      </c>
      <c r="E248" s="455" t="s">
        <v>910</v>
      </c>
      <c r="F248" s="455"/>
      <c r="G248" s="456"/>
      <c r="H248" s="455"/>
      <c r="I248" s="457">
        <v>0</v>
      </c>
      <c r="J248" s="457">
        <v>2490428.85</v>
      </c>
      <c r="K248" s="457">
        <v>2490428.85</v>
      </c>
      <c r="L248" s="457">
        <v>0</v>
      </c>
      <c r="M248" s="457">
        <v>2490428.85</v>
      </c>
      <c r="N248" s="457">
        <v>2490428.85</v>
      </c>
      <c r="O248" s="457">
        <v>2490428.85</v>
      </c>
      <c r="P248" s="457">
        <v>2490428.85</v>
      </c>
      <c r="Q248" s="458">
        <v>0</v>
      </c>
    </row>
    <row r="249" spans="1:17" outlineLevel="5">
      <c r="A249" s="459" t="s">
        <v>906</v>
      </c>
      <c r="B249" s="460" t="s">
        <v>1010</v>
      </c>
      <c r="C249" s="460" t="s">
        <v>1019</v>
      </c>
      <c r="D249" s="460" t="s">
        <v>1012</v>
      </c>
      <c r="E249" s="460" t="s">
        <v>910</v>
      </c>
      <c r="F249" s="460"/>
      <c r="G249" s="461"/>
      <c r="H249" s="460"/>
      <c r="I249" s="462">
        <v>0</v>
      </c>
      <c r="J249" s="462">
        <v>0</v>
      </c>
      <c r="K249" s="462">
        <v>0</v>
      </c>
      <c r="L249" s="462">
        <v>0</v>
      </c>
      <c r="M249" s="462">
        <v>0</v>
      </c>
      <c r="N249" s="462">
        <v>0</v>
      </c>
      <c r="O249" s="462">
        <v>0</v>
      </c>
      <c r="P249" s="462">
        <v>1534418.93</v>
      </c>
      <c r="Q249" s="463">
        <v>0</v>
      </c>
    </row>
    <row r="250" spans="1:17" ht="165.75" outlineLevel="5">
      <c r="A250" s="459" t="s">
        <v>906</v>
      </c>
      <c r="B250" s="460" t="s">
        <v>1010</v>
      </c>
      <c r="C250" s="460" t="s">
        <v>1019</v>
      </c>
      <c r="D250" s="460" t="s">
        <v>1012</v>
      </c>
      <c r="E250" s="460" t="s">
        <v>910</v>
      </c>
      <c r="F250" s="460" t="s">
        <v>1020</v>
      </c>
      <c r="G250" s="461" t="s">
        <v>1021</v>
      </c>
      <c r="H250" s="460"/>
      <c r="I250" s="462">
        <v>0</v>
      </c>
      <c r="J250" s="462">
        <v>0</v>
      </c>
      <c r="K250" s="462">
        <v>0</v>
      </c>
      <c r="L250" s="462">
        <v>0</v>
      </c>
      <c r="M250" s="462">
        <v>0</v>
      </c>
      <c r="N250" s="462">
        <v>0</v>
      </c>
      <c r="O250" s="462">
        <v>0</v>
      </c>
      <c r="P250" s="462">
        <v>512592.51</v>
      </c>
      <c r="Q250" s="463">
        <v>0</v>
      </c>
    </row>
    <row r="251" spans="1:17" ht="165.75" outlineLevel="5">
      <c r="A251" s="459" t="s">
        <v>906</v>
      </c>
      <c r="B251" s="460" t="s">
        <v>1010</v>
      </c>
      <c r="C251" s="460" t="s">
        <v>1019</v>
      </c>
      <c r="D251" s="460" t="s">
        <v>1012</v>
      </c>
      <c r="E251" s="460" t="s">
        <v>910</v>
      </c>
      <c r="F251" s="460" t="s">
        <v>1020</v>
      </c>
      <c r="G251" s="461" t="s">
        <v>1021</v>
      </c>
      <c r="H251" s="460" t="s">
        <v>912</v>
      </c>
      <c r="I251" s="462">
        <v>0</v>
      </c>
      <c r="J251" s="462">
        <v>2490428.85</v>
      </c>
      <c r="K251" s="462">
        <v>2490428.85</v>
      </c>
      <c r="L251" s="462">
        <v>0</v>
      </c>
      <c r="M251" s="462">
        <v>2490428.85</v>
      </c>
      <c r="N251" s="462">
        <v>2490428.85</v>
      </c>
      <c r="O251" s="462">
        <v>2490428.85</v>
      </c>
      <c r="P251" s="462">
        <v>443417.41</v>
      </c>
      <c r="Q251" s="463">
        <v>0</v>
      </c>
    </row>
    <row r="252" spans="1:17" outlineLevel="3">
      <c r="A252" s="449" t="s">
        <v>906</v>
      </c>
      <c r="B252" s="450" t="s">
        <v>1010</v>
      </c>
      <c r="C252" s="450" t="s">
        <v>1019</v>
      </c>
      <c r="D252" s="450" t="s">
        <v>1015</v>
      </c>
      <c r="E252" s="450"/>
      <c r="F252" s="450"/>
      <c r="G252" s="451"/>
      <c r="H252" s="450"/>
      <c r="I252" s="452">
        <v>0</v>
      </c>
      <c r="J252" s="452">
        <v>455062.36</v>
      </c>
      <c r="K252" s="452">
        <v>455062.36</v>
      </c>
      <c r="L252" s="452">
        <v>0</v>
      </c>
      <c r="M252" s="452">
        <v>455062.36</v>
      </c>
      <c r="N252" s="452">
        <v>455062.36</v>
      </c>
      <c r="O252" s="452">
        <v>455062.36</v>
      </c>
      <c r="P252" s="452">
        <v>455062.36</v>
      </c>
      <c r="Q252" s="453">
        <v>0</v>
      </c>
    </row>
    <row r="253" spans="1:17" outlineLevel="4">
      <c r="A253" s="454" t="s">
        <v>906</v>
      </c>
      <c r="B253" s="455" t="s">
        <v>1010</v>
      </c>
      <c r="C253" s="455" t="s">
        <v>1019</v>
      </c>
      <c r="D253" s="455" t="s">
        <v>1015</v>
      </c>
      <c r="E253" s="455" t="s">
        <v>910</v>
      </c>
      <c r="F253" s="455"/>
      <c r="G253" s="456"/>
      <c r="H253" s="455"/>
      <c r="I253" s="457">
        <v>0</v>
      </c>
      <c r="J253" s="457">
        <v>455062.36</v>
      </c>
      <c r="K253" s="457">
        <v>455062.36</v>
      </c>
      <c r="L253" s="457">
        <v>0</v>
      </c>
      <c r="M253" s="457">
        <v>455062.36</v>
      </c>
      <c r="N253" s="457">
        <v>455062.36</v>
      </c>
      <c r="O253" s="457">
        <v>455062.36</v>
      </c>
      <c r="P253" s="457">
        <v>455062.36</v>
      </c>
      <c r="Q253" s="458">
        <v>0</v>
      </c>
    </row>
    <row r="254" spans="1:17" ht="165.75" outlineLevel="5">
      <c r="A254" s="459" t="s">
        <v>906</v>
      </c>
      <c r="B254" s="460" t="s">
        <v>1010</v>
      </c>
      <c r="C254" s="460" t="s">
        <v>1019</v>
      </c>
      <c r="D254" s="460" t="s">
        <v>1015</v>
      </c>
      <c r="E254" s="460" t="s">
        <v>910</v>
      </c>
      <c r="F254" s="460" t="s">
        <v>1020</v>
      </c>
      <c r="G254" s="461" t="s">
        <v>1021</v>
      </c>
      <c r="H254" s="460"/>
      <c r="I254" s="462">
        <v>0</v>
      </c>
      <c r="J254" s="462">
        <v>0</v>
      </c>
      <c r="K254" s="462">
        <v>0</v>
      </c>
      <c r="L254" s="462">
        <v>0</v>
      </c>
      <c r="M254" s="462">
        <v>0</v>
      </c>
      <c r="N254" s="462">
        <v>0</v>
      </c>
      <c r="O254" s="462">
        <v>0</v>
      </c>
      <c r="P254" s="462">
        <v>321150.31</v>
      </c>
      <c r="Q254" s="463">
        <v>0</v>
      </c>
    </row>
    <row r="255" spans="1:17" ht="165.75" outlineLevel="5">
      <c r="A255" s="459" t="s">
        <v>906</v>
      </c>
      <c r="B255" s="460" t="s">
        <v>1010</v>
      </c>
      <c r="C255" s="460" t="s">
        <v>1019</v>
      </c>
      <c r="D255" s="460" t="s">
        <v>1015</v>
      </c>
      <c r="E255" s="460" t="s">
        <v>910</v>
      </c>
      <c r="F255" s="460" t="s">
        <v>1020</v>
      </c>
      <c r="G255" s="461" t="s">
        <v>1021</v>
      </c>
      <c r="H255" s="460" t="s">
        <v>912</v>
      </c>
      <c r="I255" s="462">
        <v>0</v>
      </c>
      <c r="J255" s="462">
        <v>455062.36</v>
      </c>
      <c r="K255" s="462">
        <v>455062.36</v>
      </c>
      <c r="L255" s="462">
        <v>0</v>
      </c>
      <c r="M255" s="462">
        <v>455062.36</v>
      </c>
      <c r="N255" s="462">
        <v>455062.36</v>
      </c>
      <c r="O255" s="462">
        <v>455062.36</v>
      </c>
      <c r="P255" s="462">
        <v>133912.04999999999</v>
      </c>
      <c r="Q255" s="463">
        <v>0</v>
      </c>
    </row>
    <row r="256" spans="1:17" outlineLevel="2">
      <c r="A256" s="444" t="s">
        <v>906</v>
      </c>
      <c r="B256" s="445" t="s">
        <v>1010</v>
      </c>
      <c r="C256" s="445" t="s">
        <v>1022</v>
      </c>
      <c r="D256" s="445"/>
      <c r="E256" s="445"/>
      <c r="F256" s="445"/>
      <c r="G256" s="446"/>
      <c r="H256" s="445"/>
      <c r="I256" s="447">
        <v>0</v>
      </c>
      <c r="J256" s="447">
        <v>2335742</v>
      </c>
      <c r="K256" s="447">
        <v>2335742</v>
      </c>
      <c r="L256" s="447">
        <v>0</v>
      </c>
      <c r="M256" s="447">
        <v>2335742</v>
      </c>
      <c r="N256" s="447">
        <v>2335742</v>
      </c>
      <c r="O256" s="447">
        <v>2335742</v>
      </c>
      <c r="P256" s="447">
        <v>2335742</v>
      </c>
      <c r="Q256" s="448">
        <v>0</v>
      </c>
    </row>
    <row r="257" spans="1:17" outlineLevel="3">
      <c r="A257" s="449" t="s">
        <v>906</v>
      </c>
      <c r="B257" s="450" t="s">
        <v>1010</v>
      </c>
      <c r="C257" s="450" t="s">
        <v>1022</v>
      </c>
      <c r="D257" s="450" t="s">
        <v>1012</v>
      </c>
      <c r="E257" s="450"/>
      <c r="F257" s="450"/>
      <c r="G257" s="451"/>
      <c r="H257" s="450"/>
      <c r="I257" s="452">
        <v>0</v>
      </c>
      <c r="J257" s="452">
        <v>1964652.03</v>
      </c>
      <c r="K257" s="452">
        <v>1964652.03</v>
      </c>
      <c r="L257" s="452">
        <v>0</v>
      </c>
      <c r="M257" s="452">
        <v>1964652.03</v>
      </c>
      <c r="N257" s="452">
        <v>1964652.03</v>
      </c>
      <c r="O257" s="452">
        <v>1964652.03</v>
      </c>
      <c r="P257" s="452">
        <v>1964652.03</v>
      </c>
      <c r="Q257" s="453">
        <v>0</v>
      </c>
    </row>
    <row r="258" spans="1:17" outlineLevel="4">
      <c r="A258" s="454" t="s">
        <v>906</v>
      </c>
      <c r="B258" s="455" t="s">
        <v>1010</v>
      </c>
      <c r="C258" s="455" t="s">
        <v>1022</v>
      </c>
      <c r="D258" s="455" t="s">
        <v>1012</v>
      </c>
      <c r="E258" s="455" t="s">
        <v>1023</v>
      </c>
      <c r="F258" s="455"/>
      <c r="G258" s="456"/>
      <c r="H258" s="455"/>
      <c r="I258" s="457">
        <v>0</v>
      </c>
      <c r="J258" s="457">
        <v>1964652.03</v>
      </c>
      <c r="K258" s="457">
        <v>1964652.03</v>
      </c>
      <c r="L258" s="457">
        <v>0</v>
      </c>
      <c r="M258" s="457">
        <v>1964652.03</v>
      </c>
      <c r="N258" s="457">
        <v>1964652.03</v>
      </c>
      <c r="O258" s="457">
        <v>1964652.03</v>
      </c>
      <c r="P258" s="457">
        <v>1964652.03</v>
      </c>
      <c r="Q258" s="458">
        <v>0</v>
      </c>
    </row>
    <row r="259" spans="1:17" outlineLevel="5">
      <c r="A259" s="459" t="s">
        <v>906</v>
      </c>
      <c r="B259" s="460" t="s">
        <v>1010</v>
      </c>
      <c r="C259" s="460" t="s">
        <v>1022</v>
      </c>
      <c r="D259" s="460" t="s">
        <v>1012</v>
      </c>
      <c r="E259" s="460" t="s">
        <v>1023</v>
      </c>
      <c r="F259" s="460"/>
      <c r="G259" s="461"/>
      <c r="H259" s="460"/>
      <c r="I259" s="462">
        <v>0</v>
      </c>
      <c r="J259" s="462">
        <v>0</v>
      </c>
      <c r="K259" s="462">
        <v>0</v>
      </c>
      <c r="L259" s="462">
        <v>0</v>
      </c>
      <c r="M259" s="462">
        <v>0</v>
      </c>
      <c r="N259" s="462">
        <v>0</v>
      </c>
      <c r="O259" s="462">
        <v>0</v>
      </c>
      <c r="P259" s="462">
        <v>196559.68</v>
      </c>
      <c r="Q259" s="463">
        <v>0</v>
      </c>
    </row>
    <row r="260" spans="1:17" ht="63.75" outlineLevel="5">
      <c r="A260" s="459" t="s">
        <v>906</v>
      </c>
      <c r="B260" s="460" t="s">
        <v>1010</v>
      </c>
      <c r="C260" s="460" t="s">
        <v>1022</v>
      </c>
      <c r="D260" s="460" t="s">
        <v>1012</v>
      </c>
      <c r="E260" s="460" t="s">
        <v>1023</v>
      </c>
      <c r="F260" s="460" t="s">
        <v>1024</v>
      </c>
      <c r="G260" s="461" t="s">
        <v>1025</v>
      </c>
      <c r="H260" s="460"/>
      <c r="I260" s="462">
        <v>0</v>
      </c>
      <c r="J260" s="462">
        <v>0</v>
      </c>
      <c r="K260" s="462">
        <v>0</v>
      </c>
      <c r="L260" s="462">
        <v>0</v>
      </c>
      <c r="M260" s="462">
        <v>0</v>
      </c>
      <c r="N260" s="462">
        <v>0</v>
      </c>
      <c r="O260" s="462">
        <v>0</v>
      </c>
      <c r="P260" s="462">
        <v>1768092.35</v>
      </c>
      <c r="Q260" s="463">
        <v>0</v>
      </c>
    </row>
    <row r="261" spans="1:17" ht="63.75" outlineLevel="5">
      <c r="A261" s="459" t="s">
        <v>906</v>
      </c>
      <c r="B261" s="460" t="s">
        <v>1010</v>
      </c>
      <c r="C261" s="460" t="s">
        <v>1022</v>
      </c>
      <c r="D261" s="460" t="s">
        <v>1012</v>
      </c>
      <c r="E261" s="460" t="s">
        <v>1023</v>
      </c>
      <c r="F261" s="460" t="s">
        <v>1024</v>
      </c>
      <c r="G261" s="461" t="s">
        <v>1025</v>
      </c>
      <c r="H261" s="460" t="s">
        <v>945</v>
      </c>
      <c r="I261" s="462">
        <v>0</v>
      </c>
      <c r="J261" s="462">
        <v>1964652.03</v>
      </c>
      <c r="K261" s="462">
        <v>1964652.03</v>
      </c>
      <c r="L261" s="462">
        <v>0</v>
      </c>
      <c r="M261" s="462">
        <v>1964652.03</v>
      </c>
      <c r="N261" s="462">
        <v>1964652.03</v>
      </c>
      <c r="O261" s="462">
        <v>1964652.03</v>
      </c>
      <c r="P261" s="462">
        <v>1964652.03</v>
      </c>
      <c r="Q261" s="463">
        <v>0</v>
      </c>
    </row>
    <row r="262" spans="1:17" outlineLevel="3">
      <c r="A262" s="449" t="s">
        <v>906</v>
      </c>
      <c r="B262" s="450" t="s">
        <v>1010</v>
      </c>
      <c r="C262" s="450" t="s">
        <v>1022</v>
      </c>
      <c r="D262" s="450" t="s">
        <v>1015</v>
      </c>
      <c r="E262" s="450"/>
      <c r="F262" s="450"/>
      <c r="G262" s="451"/>
      <c r="H262" s="450"/>
      <c r="I262" s="452">
        <v>0</v>
      </c>
      <c r="J262" s="452">
        <v>371089.97</v>
      </c>
      <c r="K262" s="452">
        <v>371089.97</v>
      </c>
      <c r="L262" s="452">
        <v>0</v>
      </c>
      <c r="M262" s="452">
        <v>371089.97</v>
      </c>
      <c r="N262" s="452">
        <v>371089.97</v>
      </c>
      <c r="O262" s="452">
        <v>371089.97</v>
      </c>
      <c r="P262" s="452">
        <v>371089.97</v>
      </c>
      <c r="Q262" s="453">
        <v>0</v>
      </c>
    </row>
    <row r="263" spans="1:17" outlineLevel="4">
      <c r="A263" s="454" t="s">
        <v>906</v>
      </c>
      <c r="B263" s="455" t="s">
        <v>1010</v>
      </c>
      <c r="C263" s="455" t="s">
        <v>1022</v>
      </c>
      <c r="D263" s="455" t="s">
        <v>1015</v>
      </c>
      <c r="E263" s="455" t="s">
        <v>1023</v>
      </c>
      <c r="F263" s="455"/>
      <c r="G263" s="456"/>
      <c r="H263" s="455"/>
      <c r="I263" s="457">
        <v>0</v>
      </c>
      <c r="J263" s="457">
        <v>371089.97</v>
      </c>
      <c r="K263" s="457">
        <v>371089.97</v>
      </c>
      <c r="L263" s="457">
        <v>0</v>
      </c>
      <c r="M263" s="457">
        <v>371089.97</v>
      </c>
      <c r="N263" s="457">
        <v>371089.97</v>
      </c>
      <c r="O263" s="457">
        <v>371089.97</v>
      </c>
      <c r="P263" s="457">
        <v>371089.97</v>
      </c>
      <c r="Q263" s="458">
        <v>0</v>
      </c>
    </row>
    <row r="264" spans="1:17" ht="63.75" outlineLevel="5">
      <c r="A264" s="459" t="s">
        <v>906</v>
      </c>
      <c r="B264" s="460" t="s">
        <v>1010</v>
      </c>
      <c r="C264" s="460" t="s">
        <v>1022</v>
      </c>
      <c r="D264" s="460" t="s">
        <v>1015</v>
      </c>
      <c r="E264" s="460" t="s">
        <v>1023</v>
      </c>
      <c r="F264" s="460" t="s">
        <v>1024</v>
      </c>
      <c r="G264" s="461" t="s">
        <v>1025</v>
      </c>
      <c r="H264" s="460"/>
      <c r="I264" s="462">
        <v>0</v>
      </c>
      <c r="J264" s="462">
        <v>0</v>
      </c>
      <c r="K264" s="462">
        <v>0</v>
      </c>
      <c r="L264" s="462">
        <v>0</v>
      </c>
      <c r="M264" s="462">
        <v>0</v>
      </c>
      <c r="N264" s="462">
        <v>0</v>
      </c>
      <c r="O264" s="462">
        <v>0</v>
      </c>
      <c r="P264" s="462">
        <v>371089.97</v>
      </c>
      <c r="Q264" s="463">
        <v>0</v>
      </c>
    </row>
    <row r="265" spans="1:17" ht="63.75" outlineLevel="5">
      <c r="A265" s="459" t="s">
        <v>906</v>
      </c>
      <c r="B265" s="460" t="s">
        <v>1010</v>
      </c>
      <c r="C265" s="460" t="s">
        <v>1022</v>
      </c>
      <c r="D265" s="460" t="s">
        <v>1015</v>
      </c>
      <c r="E265" s="460" t="s">
        <v>1023</v>
      </c>
      <c r="F265" s="460" t="s">
        <v>1024</v>
      </c>
      <c r="G265" s="461" t="s">
        <v>1025</v>
      </c>
      <c r="H265" s="460" t="s">
        <v>945</v>
      </c>
      <c r="I265" s="462">
        <v>0</v>
      </c>
      <c r="J265" s="462">
        <v>371089.97</v>
      </c>
      <c r="K265" s="462">
        <v>371089.97</v>
      </c>
      <c r="L265" s="462">
        <v>0</v>
      </c>
      <c r="M265" s="462">
        <v>371089.97</v>
      </c>
      <c r="N265" s="462">
        <v>371089.97</v>
      </c>
      <c r="O265" s="462">
        <v>371089.97</v>
      </c>
      <c r="P265" s="462">
        <v>371089.97</v>
      </c>
      <c r="Q265" s="463">
        <v>0</v>
      </c>
    </row>
    <row r="266" spans="1:17" ht="15.75" thickBot="1">
      <c r="A266" s="464"/>
      <c r="B266" s="465"/>
      <c r="C266" s="465"/>
      <c r="D266" s="465"/>
      <c r="E266" s="465"/>
      <c r="F266" s="465"/>
      <c r="G266" s="465"/>
      <c r="H266" s="465"/>
      <c r="I266" s="465"/>
      <c r="J266" s="465"/>
      <c r="K266" s="465"/>
      <c r="L266" s="465"/>
      <c r="M266" s="465"/>
      <c r="N266" s="465"/>
      <c r="O266" s="465"/>
      <c r="P266" s="465"/>
      <c r="Q266" s="466"/>
    </row>
    <row r="267" spans="1:17" ht="15.75" thickBot="1">
      <c r="A267" s="467" t="s">
        <v>1026</v>
      </c>
      <c r="B267" s="468"/>
      <c r="C267" s="468"/>
      <c r="D267" s="468"/>
      <c r="E267" s="468"/>
      <c r="F267" s="468"/>
      <c r="G267" s="468"/>
      <c r="H267" s="468"/>
      <c r="I267" s="469">
        <v>2075851848.29</v>
      </c>
      <c r="J267" s="469">
        <v>22198902.149999999</v>
      </c>
      <c r="K267" s="469">
        <v>2098050750.4400001</v>
      </c>
      <c r="L267" s="469">
        <v>336783793.02999997</v>
      </c>
      <c r="M267" s="469">
        <v>1932657219.03</v>
      </c>
      <c r="N267" s="469">
        <v>2097606229.45</v>
      </c>
      <c r="O267" s="469">
        <v>2084979707.0799999</v>
      </c>
      <c r="P267" s="469">
        <v>2084859573.78</v>
      </c>
      <c r="Q267" s="470">
        <v>13071043.359999999</v>
      </c>
    </row>
    <row r="268" spans="1:17">
      <c r="A268" s="471"/>
      <c r="B268" s="471"/>
      <c r="C268" s="471"/>
      <c r="D268" s="471"/>
      <c r="E268" s="471"/>
      <c r="F268" s="471"/>
      <c r="G268" s="472"/>
      <c r="H268" s="472" t="s">
        <v>5</v>
      </c>
      <c r="I268" s="472"/>
      <c r="J268" s="472"/>
      <c r="K268" s="473">
        <f>K78+K188+K201+K261+K265</f>
        <v>80588400.640000001</v>
      </c>
      <c r="L268" s="473">
        <f t="shared" ref="L268:Q268" si="0">L78+L188+L201+L261+L265</f>
        <v>0</v>
      </c>
      <c r="M268" s="473">
        <f t="shared" si="0"/>
        <v>80588400.640000001</v>
      </c>
      <c r="N268" s="473">
        <f t="shared" si="0"/>
        <v>80588400.640000001</v>
      </c>
      <c r="O268" s="473">
        <f t="shared" si="0"/>
        <v>80588400.640000001</v>
      </c>
      <c r="P268" s="473">
        <f t="shared" si="0"/>
        <v>80588400.640000001</v>
      </c>
      <c r="Q268" s="473">
        <f t="shared" si="0"/>
        <v>0</v>
      </c>
    </row>
    <row r="269" spans="1:17">
      <c r="G269" s="474"/>
      <c r="H269" s="474" t="s">
        <v>4</v>
      </c>
      <c r="I269" s="474"/>
      <c r="J269" s="474"/>
      <c r="K269" s="475">
        <f>K267-K268</f>
        <v>2017462349.8</v>
      </c>
      <c r="L269" s="475">
        <f t="shared" ref="L269:Q269" si="1">L267-L268</f>
        <v>336783793.02999997</v>
      </c>
      <c r="M269" s="475">
        <f t="shared" si="1"/>
        <v>1852068818.3899999</v>
      </c>
      <c r="N269" s="475">
        <f t="shared" si="1"/>
        <v>2017017828.8099999</v>
      </c>
      <c r="O269" s="475">
        <f t="shared" si="1"/>
        <v>2004391306.4399998</v>
      </c>
      <c r="P269" s="475">
        <f t="shared" si="1"/>
        <v>2004271173.1399999</v>
      </c>
      <c r="Q269" s="475">
        <f t="shared" si="1"/>
        <v>13071043.359999999</v>
      </c>
    </row>
    <row r="270" spans="1:17">
      <c r="G270" s="474" t="s">
        <v>1027</v>
      </c>
      <c r="H270" s="474"/>
      <c r="I270" s="474">
        <v>44420147.649999999</v>
      </c>
      <c r="J270" s="474">
        <v>44420147.649999999</v>
      </c>
      <c r="K270" s="475">
        <f>K22+K85+K246+K256</f>
        <v>46189175.25</v>
      </c>
      <c r="L270" s="475">
        <f t="shared" ref="L270:Q270" si="2">L22+L85+L246+L256</f>
        <v>0</v>
      </c>
      <c r="M270" s="475">
        <f t="shared" si="2"/>
        <v>46189175.25</v>
      </c>
      <c r="N270" s="475">
        <f t="shared" si="2"/>
        <v>46189175.25</v>
      </c>
      <c r="O270" s="475">
        <f t="shared" si="2"/>
        <v>46189175.25</v>
      </c>
      <c r="P270" s="475">
        <f t="shared" si="2"/>
        <v>46189175.25</v>
      </c>
      <c r="Q270" s="475">
        <f t="shared" si="2"/>
        <v>0</v>
      </c>
    </row>
    <row r="271" spans="1:17">
      <c r="G271" s="474" t="s">
        <v>1028</v>
      </c>
      <c r="H271" s="474"/>
      <c r="I271" s="474">
        <v>2335742</v>
      </c>
      <c r="J271" s="474">
        <v>2335742</v>
      </c>
      <c r="K271" s="475">
        <f>K256</f>
        <v>2335742</v>
      </c>
      <c r="L271" s="475">
        <f t="shared" ref="L271:Q271" si="3">L256</f>
        <v>0</v>
      </c>
      <c r="M271" s="475">
        <f t="shared" si="3"/>
        <v>2335742</v>
      </c>
      <c r="N271" s="475">
        <f t="shared" si="3"/>
        <v>2335742</v>
      </c>
      <c r="O271" s="475">
        <f t="shared" si="3"/>
        <v>2335742</v>
      </c>
      <c r="P271" s="475">
        <f t="shared" si="3"/>
        <v>2335742</v>
      </c>
      <c r="Q271" s="475">
        <f t="shared" si="3"/>
        <v>0</v>
      </c>
    </row>
    <row r="272" spans="1:17">
      <c r="G272" s="474"/>
      <c r="H272" s="474"/>
      <c r="I272" s="474"/>
      <c r="J272" s="474"/>
      <c r="K272" s="474"/>
      <c r="L272" s="474"/>
      <c r="M272" s="474"/>
      <c r="N272" s="474"/>
      <c r="O272" s="474"/>
      <c r="P272" s="474"/>
      <c r="Q272" s="474"/>
    </row>
    <row r="273" spans="7:17">
      <c r="G273" s="474"/>
      <c r="H273" s="474"/>
      <c r="I273" s="474"/>
      <c r="J273" s="474"/>
      <c r="K273" s="474"/>
      <c r="L273" s="474"/>
      <c r="M273" s="474"/>
      <c r="N273" s="474"/>
      <c r="O273" s="474"/>
      <c r="P273" s="474"/>
      <c r="Q273" s="474"/>
    </row>
    <row r="274" spans="7:17">
      <c r="G274" s="474"/>
      <c r="H274" s="474"/>
      <c r="I274" s="474"/>
      <c r="J274" s="474"/>
      <c r="K274" s="474"/>
      <c r="L274" s="474"/>
      <c r="M274" s="474"/>
      <c r="N274" s="474"/>
      <c r="O274" s="474"/>
      <c r="P274" s="474"/>
      <c r="Q274" s="474"/>
    </row>
    <row r="275" spans="7:17">
      <c r="G275" s="474"/>
      <c r="H275" s="474"/>
      <c r="I275" s="474"/>
      <c r="J275" s="474"/>
      <c r="K275" s="474"/>
      <c r="L275" s="474"/>
      <c r="M275" s="474"/>
      <c r="N275" s="474"/>
      <c r="O275" s="474"/>
      <c r="P275" s="474"/>
      <c r="Q275" s="474"/>
    </row>
    <row r="276" spans="7:17">
      <c r="G276" s="474"/>
      <c r="H276" s="474"/>
      <c r="I276" s="474"/>
      <c r="J276" s="474"/>
      <c r="K276" s="474"/>
      <c r="L276" s="474"/>
      <c r="M276" s="474"/>
      <c r="N276" s="474"/>
      <c r="O276" s="474"/>
      <c r="P276" s="474"/>
      <c r="Q276" s="474"/>
    </row>
  </sheetData>
  <autoFilter ref="A5:Q265"/>
  <mergeCells count="3">
    <mergeCell ref="A1:Q1"/>
    <mergeCell ref="A2:Q2"/>
    <mergeCell ref="A3:Q3"/>
  </mergeCells>
  <pageMargins left="0.7" right="0.7" top="0.75" bottom="0.75" header="0.3" footer="0.3"/>
  <pageSetup paperSize="9"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319"/>
  <sheetViews>
    <sheetView view="pageBreakPreview" topLeftCell="B91" zoomScale="80" zoomScaleNormal="93" zoomScaleSheetLayoutView="80" workbookViewId="0">
      <selection activeCell="H85" sqref="H85"/>
    </sheetView>
  </sheetViews>
  <sheetFormatPr defaultRowHeight="12.75"/>
  <cols>
    <col min="1" max="1" width="9.140625" style="238"/>
    <col min="2" max="2" width="6.7109375" style="238" customWidth="1"/>
    <col min="3" max="3" width="116.42578125" style="238" customWidth="1"/>
    <col min="4" max="4" width="43.5703125" style="238" customWidth="1"/>
    <col min="5" max="5" width="38.5703125" style="238" customWidth="1"/>
    <col min="6" max="6" width="22.140625" style="238" customWidth="1"/>
    <col min="7" max="7" width="44" style="238" customWidth="1"/>
    <col min="8" max="8" width="34.5703125" style="238" customWidth="1"/>
    <col min="9" max="9" width="23.7109375" style="238" customWidth="1"/>
    <col min="10" max="10" width="29.28515625" style="238" customWidth="1"/>
    <col min="11" max="257" width="9.140625" style="238"/>
    <col min="258" max="258" width="6.7109375" style="238" customWidth="1"/>
    <col min="259" max="259" width="116.42578125" style="238" customWidth="1"/>
    <col min="260" max="260" width="43.5703125" style="238" customWidth="1"/>
    <col min="261" max="261" width="38.5703125" style="238" customWidth="1"/>
    <col min="262" max="262" width="22.140625" style="238" customWidth="1"/>
    <col min="263" max="263" width="44" style="238" customWidth="1"/>
    <col min="264" max="264" width="34.5703125" style="238" customWidth="1"/>
    <col min="265" max="265" width="23.7109375" style="238" customWidth="1"/>
    <col min="266" max="266" width="29.28515625" style="238" customWidth="1"/>
    <col min="267" max="513" width="9.140625" style="238"/>
    <col min="514" max="514" width="6.7109375" style="238" customWidth="1"/>
    <col min="515" max="515" width="116.42578125" style="238" customWidth="1"/>
    <col min="516" max="516" width="43.5703125" style="238" customWidth="1"/>
    <col min="517" max="517" width="38.5703125" style="238" customWidth="1"/>
    <col min="518" max="518" width="22.140625" style="238" customWidth="1"/>
    <col min="519" max="519" width="44" style="238" customWidth="1"/>
    <col min="520" max="520" width="34.5703125" style="238" customWidth="1"/>
    <col min="521" max="521" width="23.7109375" style="238" customWidth="1"/>
    <col min="522" max="522" width="29.28515625" style="238" customWidth="1"/>
    <col min="523" max="769" width="9.140625" style="238"/>
    <col min="770" max="770" width="6.7109375" style="238" customWidth="1"/>
    <col min="771" max="771" width="116.42578125" style="238" customWidth="1"/>
    <col min="772" max="772" width="43.5703125" style="238" customWidth="1"/>
    <col min="773" max="773" width="38.5703125" style="238" customWidth="1"/>
    <col min="774" max="774" width="22.140625" style="238" customWidth="1"/>
    <col min="775" max="775" width="44" style="238" customWidth="1"/>
    <col min="776" max="776" width="34.5703125" style="238" customWidth="1"/>
    <col min="777" max="777" width="23.7109375" style="238" customWidth="1"/>
    <col min="778" max="778" width="29.28515625" style="238" customWidth="1"/>
    <col min="779" max="1025" width="9.140625" style="238"/>
    <col min="1026" max="1026" width="6.7109375" style="238" customWidth="1"/>
    <col min="1027" max="1027" width="116.42578125" style="238" customWidth="1"/>
    <col min="1028" max="1028" width="43.5703125" style="238" customWidth="1"/>
    <col min="1029" max="1029" width="38.5703125" style="238" customWidth="1"/>
    <col min="1030" max="1030" width="22.140625" style="238" customWidth="1"/>
    <col min="1031" max="1031" width="44" style="238" customWidth="1"/>
    <col min="1032" max="1032" width="34.5703125" style="238" customWidth="1"/>
    <col min="1033" max="1033" width="23.7109375" style="238" customWidth="1"/>
    <col min="1034" max="1034" width="29.28515625" style="238" customWidth="1"/>
    <col min="1035" max="1281" width="9.140625" style="238"/>
    <col min="1282" max="1282" width="6.7109375" style="238" customWidth="1"/>
    <col min="1283" max="1283" width="116.42578125" style="238" customWidth="1"/>
    <col min="1284" max="1284" width="43.5703125" style="238" customWidth="1"/>
    <col min="1285" max="1285" width="38.5703125" style="238" customWidth="1"/>
    <col min="1286" max="1286" width="22.140625" style="238" customWidth="1"/>
    <col min="1287" max="1287" width="44" style="238" customWidth="1"/>
    <col min="1288" max="1288" width="34.5703125" style="238" customWidth="1"/>
    <col min="1289" max="1289" width="23.7109375" style="238" customWidth="1"/>
    <col min="1290" max="1290" width="29.28515625" style="238" customWidth="1"/>
    <col min="1291" max="1537" width="9.140625" style="238"/>
    <col min="1538" max="1538" width="6.7109375" style="238" customWidth="1"/>
    <col min="1539" max="1539" width="116.42578125" style="238" customWidth="1"/>
    <col min="1540" max="1540" width="43.5703125" style="238" customWidth="1"/>
    <col min="1541" max="1541" width="38.5703125" style="238" customWidth="1"/>
    <col min="1542" max="1542" width="22.140625" style="238" customWidth="1"/>
    <col min="1543" max="1543" width="44" style="238" customWidth="1"/>
    <col min="1544" max="1544" width="34.5703125" style="238" customWidth="1"/>
    <col min="1545" max="1545" width="23.7109375" style="238" customWidth="1"/>
    <col min="1546" max="1546" width="29.28515625" style="238" customWidth="1"/>
    <col min="1547" max="1793" width="9.140625" style="238"/>
    <col min="1794" max="1794" width="6.7109375" style="238" customWidth="1"/>
    <col min="1795" max="1795" width="116.42578125" style="238" customWidth="1"/>
    <col min="1796" max="1796" width="43.5703125" style="238" customWidth="1"/>
    <col min="1797" max="1797" width="38.5703125" style="238" customWidth="1"/>
    <col min="1798" max="1798" width="22.140625" style="238" customWidth="1"/>
    <col min="1799" max="1799" width="44" style="238" customWidth="1"/>
    <col min="1800" max="1800" width="34.5703125" style="238" customWidth="1"/>
    <col min="1801" max="1801" width="23.7109375" style="238" customWidth="1"/>
    <col min="1802" max="1802" width="29.28515625" style="238" customWidth="1"/>
    <col min="1803" max="2049" width="9.140625" style="238"/>
    <col min="2050" max="2050" width="6.7109375" style="238" customWidth="1"/>
    <col min="2051" max="2051" width="116.42578125" style="238" customWidth="1"/>
    <col min="2052" max="2052" width="43.5703125" style="238" customWidth="1"/>
    <col min="2053" max="2053" width="38.5703125" style="238" customWidth="1"/>
    <col min="2054" max="2054" width="22.140625" style="238" customWidth="1"/>
    <col min="2055" max="2055" width="44" style="238" customWidth="1"/>
    <col min="2056" max="2056" width="34.5703125" style="238" customWidth="1"/>
    <col min="2057" max="2057" width="23.7109375" style="238" customWidth="1"/>
    <col min="2058" max="2058" width="29.28515625" style="238" customWidth="1"/>
    <col min="2059" max="2305" width="9.140625" style="238"/>
    <col min="2306" max="2306" width="6.7109375" style="238" customWidth="1"/>
    <col min="2307" max="2307" width="116.42578125" style="238" customWidth="1"/>
    <col min="2308" max="2308" width="43.5703125" style="238" customWidth="1"/>
    <col min="2309" max="2309" width="38.5703125" style="238" customWidth="1"/>
    <col min="2310" max="2310" width="22.140625" style="238" customWidth="1"/>
    <col min="2311" max="2311" width="44" style="238" customWidth="1"/>
    <col min="2312" max="2312" width="34.5703125" style="238" customWidth="1"/>
    <col min="2313" max="2313" width="23.7109375" style="238" customWidth="1"/>
    <col min="2314" max="2314" width="29.28515625" style="238" customWidth="1"/>
    <col min="2315" max="2561" width="9.140625" style="238"/>
    <col min="2562" max="2562" width="6.7109375" style="238" customWidth="1"/>
    <col min="2563" max="2563" width="116.42578125" style="238" customWidth="1"/>
    <col min="2564" max="2564" width="43.5703125" style="238" customWidth="1"/>
    <col min="2565" max="2565" width="38.5703125" style="238" customWidth="1"/>
    <col min="2566" max="2566" width="22.140625" style="238" customWidth="1"/>
    <col min="2567" max="2567" width="44" style="238" customWidth="1"/>
    <col min="2568" max="2568" width="34.5703125" style="238" customWidth="1"/>
    <col min="2569" max="2569" width="23.7109375" style="238" customWidth="1"/>
    <col min="2570" max="2570" width="29.28515625" style="238" customWidth="1"/>
    <col min="2571" max="2817" width="9.140625" style="238"/>
    <col min="2818" max="2818" width="6.7109375" style="238" customWidth="1"/>
    <col min="2819" max="2819" width="116.42578125" style="238" customWidth="1"/>
    <col min="2820" max="2820" width="43.5703125" style="238" customWidth="1"/>
    <col min="2821" max="2821" width="38.5703125" style="238" customWidth="1"/>
    <col min="2822" max="2822" width="22.140625" style="238" customWidth="1"/>
    <col min="2823" max="2823" width="44" style="238" customWidth="1"/>
    <col min="2824" max="2824" width="34.5703125" style="238" customWidth="1"/>
    <col min="2825" max="2825" width="23.7109375" style="238" customWidth="1"/>
    <col min="2826" max="2826" width="29.28515625" style="238" customWidth="1"/>
    <col min="2827" max="3073" width="9.140625" style="238"/>
    <col min="3074" max="3074" width="6.7109375" style="238" customWidth="1"/>
    <col min="3075" max="3075" width="116.42578125" style="238" customWidth="1"/>
    <col min="3076" max="3076" width="43.5703125" style="238" customWidth="1"/>
    <col min="3077" max="3077" width="38.5703125" style="238" customWidth="1"/>
    <col min="3078" max="3078" width="22.140625" style="238" customWidth="1"/>
    <col min="3079" max="3079" width="44" style="238" customWidth="1"/>
    <col min="3080" max="3080" width="34.5703125" style="238" customWidth="1"/>
    <col min="3081" max="3081" width="23.7109375" style="238" customWidth="1"/>
    <col min="3082" max="3082" width="29.28515625" style="238" customWidth="1"/>
    <col min="3083" max="3329" width="9.140625" style="238"/>
    <col min="3330" max="3330" width="6.7109375" style="238" customWidth="1"/>
    <col min="3331" max="3331" width="116.42578125" style="238" customWidth="1"/>
    <col min="3332" max="3332" width="43.5703125" style="238" customWidth="1"/>
    <col min="3333" max="3333" width="38.5703125" style="238" customWidth="1"/>
    <col min="3334" max="3334" width="22.140625" style="238" customWidth="1"/>
    <col min="3335" max="3335" width="44" style="238" customWidth="1"/>
    <col min="3336" max="3336" width="34.5703125" style="238" customWidth="1"/>
    <col min="3337" max="3337" width="23.7109375" style="238" customWidth="1"/>
    <col min="3338" max="3338" width="29.28515625" style="238" customWidth="1"/>
    <col min="3339" max="3585" width="9.140625" style="238"/>
    <col min="3586" max="3586" width="6.7109375" style="238" customWidth="1"/>
    <col min="3587" max="3587" width="116.42578125" style="238" customWidth="1"/>
    <col min="3588" max="3588" width="43.5703125" style="238" customWidth="1"/>
    <col min="3589" max="3589" width="38.5703125" style="238" customWidth="1"/>
    <col min="3590" max="3590" width="22.140625" style="238" customWidth="1"/>
    <col min="3591" max="3591" width="44" style="238" customWidth="1"/>
    <col min="3592" max="3592" width="34.5703125" style="238" customWidth="1"/>
    <col min="3593" max="3593" width="23.7109375" style="238" customWidth="1"/>
    <col min="3594" max="3594" width="29.28515625" style="238" customWidth="1"/>
    <col min="3595" max="3841" width="9.140625" style="238"/>
    <col min="3842" max="3842" width="6.7109375" style="238" customWidth="1"/>
    <col min="3843" max="3843" width="116.42578125" style="238" customWidth="1"/>
    <col min="3844" max="3844" width="43.5703125" style="238" customWidth="1"/>
    <col min="3845" max="3845" width="38.5703125" style="238" customWidth="1"/>
    <col min="3846" max="3846" width="22.140625" style="238" customWidth="1"/>
    <col min="3847" max="3847" width="44" style="238" customWidth="1"/>
    <col min="3848" max="3848" width="34.5703125" style="238" customWidth="1"/>
    <col min="3849" max="3849" width="23.7109375" style="238" customWidth="1"/>
    <col min="3850" max="3850" width="29.28515625" style="238" customWidth="1"/>
    <col min="3851" max="4097" width="9.140625" style="238"/>
    <col min="4098" max="4098" width="6.7109375" style="238" customWidth="1"/>
    <col min="4099" max="4099" width="116.42578125" style="238" customWidth="1"/>
    <col min="4100" max="4100" width="43.5703125" style="238" customWidth="1"/>
    <col min="4101" max="4101" width="38.5703125" style="238" customWidth="1"/>
    <col min="4102" max="4102" width="22.140625" style="238" customWidth="1"/>
    <col min="4103" max="4103" width="44" style="238" customWidth="1"/>
    <col min="4104" max="4104" width="34.5703125" style="238" customWidth="1"/>
    <col min="4105" max="4105" width="23.7109375" style="238" customWidth="1"/>
    <col min="4106" max="4106" width="29.28515625" style="238" customWidth="1"/>
    <col min="4107" max="4353" width="9.140625" style="238"/>
    <col min="4354" max="4354" width="6.7109375" style="238" customWidth="1"/>
    <col min="4355" max="4355" width="116.42578125" style="238" customWidth="1"/>
    <col min="4356" max="4356" width="43.5703125" style="238" customWidth="1"/>
    <col min="4357" max="4357" width="38.5703125" style="238" customWidth="1"/>
    <col min="4358" max="4358" width="22.140625" style="238" customWidth="1"/>
    <col min="4359" max="4359" width="44" style="238" customWidth="1"/>
    <col min="4360" max="4360" width="34.5703125" style="238" customWidth="1"/>
    <col min="4361" max="4361" width="23.7109375" style="238" customWidth="1"/>
    <col min="4362" max="4362" width="29.28515625" style="238" customWidth="1"/>
    <col min="4363" max="4609" width="9.140625" style="238"/>
    <col min="4610" max="4610" width="6.7109375" style="238" customWidth="1"/>
    <col min="4611" max="4611" width="116.42578125" style="238" customWidth="1"/>
    <col min="4612" max="4612" width="43.5703125" style="238" customWidth="1"/>
    <col min="4613" max="4613" width="38.5703125" style="238" customWidth="1"/>
    <col min="4614" max="4614" width="22.140625" style="238" customWidth="1"/>
    <col min="4615" max="4615" width="44" style="238" customWidth="1"/>
    <col min="4616" max="4616" width="34.5703125" style="238" customWidth="1"/>
    <col min="4617" max="4617" width="23.7109375" style="238" customWidth="1"/>
    <col min="4618" max="4618" width="29.28515625" style="238" customWidth="1"/>
    <col min="4619" max="4865" width="9.140625" style="238"/>
    <col min="4866" max="4866" width="6.7109375" style="238" customWidth="1"/>
    <col min="4867" max="4867" width="116.42578125" style="238" customWidth="1"/>
    <col min="4868" max="4868" width="43.5703125" style="238" customWidth="1"/>
    <col min="4869" max="4869" width="38.5703125" style="238" customWidth="1"/>
    <col min="4870" max="4870" width="22.140625" style="238" customWidth="1"/>
    <col min="4871" max="4871" width="44" style="238" customWidth="1"/>
    <col min="4872" max="4872" width="34.5703125" style="238" customWidth="1"/>
    <col min="4873" max="4873" width="23.7109375" style="238" customWidth="1"/>
    <col min="4874" max="4874" width="29.28515625" style="238" customWidth="1"/>
    <col min="4875" max="5121" width="9.140625" style="238"/>
    <col min="5122" max="5122" width="6.7109375" style="238" customWidth="1"/>
    <col min="5123" max="5123" width="116.42578125" style="238" customWidth="1"/>
    <col min="5124" max="5124" width="43.5703125" style="238" customWidth="1"/>
    <col min="5125" max="5125" width="38.5703125" style="238" customWidth="1"/>
    <col min="5126" max="5126" width="22.140625" style="238" customWidth="1"/>
    <col min="5127" max="5127" width="44" style="238" customWidth="1"/>
    <col min="5128" max="5128" width="34.5703125" style="238" customWidth="1"/>
    <col min="5129" max="5129" width="23.7109375" style="238" customWidth="1"/>
    <col min="5130" max="5130" width="29.28515625" style="238" customWidth="1"/>
    <col min="5131" max="5377" width="9.140625" style="238"/>
    <col min="5378" max="5378" width="6.7109375" style="238" customWidth="1"/>
    <col min="5379" max="5379" width="116.42578125" style="238" customWidth="1"/>
    <col min="5380" max="5380" width="43.5703125" style="238" customWidth="1"/>
    <col min="5381" max="5381" width="38.5703125" style="238" customWidth="1"/>
    <col min="5382" max="5382" width="22.140625" style="238" customWidth="1"/>
    <col min="5383" max="5383" width="44" style="238" customWidth="1"/>
    <col min="5384" max="5384" width="34.5703125" style="238" customWidth="1"/>
    <col min="5385" max="5385" width="23.7109375" style="238" customWidth="1"/>
    <col min="5386" max="5386" width="29.28515625" style="238" customWidth="1"/>
    <col min="5387" max="5633" width="9.140625" style="238"/>
    <col min="5634" max="5634" width="6.7109375" style="238" customWidth="1"/>
    <col min="5635" max="5635" width="116.42578125" style="238" customWidth="1"/>
    <col min="5636" max="5636" width="43.5703125" style="238" customWidth="1"/>
    <col min="5637" max="5637" width="38.5703125" style="238" customWidth="1"/>
    <col min="5638" max="5638" width="22.140625" style="238" customWidth="1"/>
    <col min="5639" max="5639" width="44" style="238" customWidth="1"/>
    <col min="5640" max="5640" width="34.5703125" style="238" customWidth="1"/>
    <col min="5641" max="5641" width="23.7109375" style="238" customWidth="1"/>
    <col min="5642" max="5642" width="29.28515625" style="238" customWidth="1"/>
    <col min="5643" max="5889" width="9.140625" style="238"/>
    <col min="5890" max="5890" width="6.7109375" style="238" customWidth="1"/>
    <col min="5891" max="5891" width="116.42578125" style="238" customWidth="1"/>
    <col min="5892" max="5892" width="43.5703125" style="238" customWidth="1"/>
    <col min="5893" max="5893" width="38.5703125" style="238" customWidth="1"/>
    <col min="5894" max="5894" width="22.140625" style="238" customWidth="1"/>
    <col min="5895" max="5895" width="44" style="238" customWidth="1"/>
    <col min="5896" max="5896" width="34.5703125" style="238" customWidth="1"/>
    <col min="5897" max="5897" width="23.7109375" style="238" customWidth="1"/>
    <col min="5898" max="5898" width="29.28515625" style="238" customWidth="1"/>
    <col min="5899" max="6145" width="9.140625" style="238"/>
    <col min="6146" max="6146" width="6.7109375" style="238" customWidth="1"/>
    <col min="6147" max="6147" width="116.42578125" style="238" customWidth="1"/>
    <col min="6148" max="6148" width="43.5703125" style="238" customWidth="1"/>
    <col min="6149" max="6149" width="38.5703125" style="238" customWidth="1"/>
    <col min="6150" max="6150" width="22.140625" style="238" customWidth="1"/>
    <col min="6151" max="6151" width="44" style="238" customWidth="1"/>
    <col min="6152" max="6152" width="34.5703125" style="238" customWidth="1"/>
    <col min="6153" max="6153" width="23.7109375" style="238" customWidth="1"/>
    <col min="6154" max="6154" width="29.28515625" style="238" customWidth="1"/>
    <col min="6155" max="6401" width="9.140625" style="238"/>
    <col min="6402" max="6402" width="6.7109375" style="238" customWidth="1"/>
    <col min="6403" max="6403" width="116.42578125" style="238" customWidth="1"/>
    <col min="6404" max="6404" width="43.5703125" style="238" customWidth="1"/>
    <col min="6405" max="6405" width="38.5703125" style="238" customWidth="1"/>
    <col min="6406" max="6406" width="22.140625" style="238" customWidth="1"/>
    <col min="6407" max="6407" width="44" style="238" customWidth="1"/>
    <col min="6408" max="6408" width="34.5703125" style="238" customWidth="1"/>
    <col min="6409" max="6409" width="23.7109375" style="238" customWidth="1"/>
    <col min="6410" max="6410" width="29.28515625" style="238" customWidth="1"/>
    <col min="6411" max="6657" width="9.140625" style="238"/>
    <col min="6658" max="6658" width="6.7109375" style="238" customWidth="1"/>
    <col min="6659" max="6659" width="116.42578125" style="238" customWidth="1"/>
    <col min="6660" max="6660" width="43.5703125" style="238" customWidth="1"/>
    <col min="6661" max="6661" width="38.5703125" style="238" customWidth="1"/>
    <col min="6662" max="6662" width="22.140625" style="238" customWidth="1"/>
    <col min="6663" max="6663" width="44" style="238" customWidth="1"/>
    <col min="6664" max="6664" width="34.5703125" style="238" customWidth="1"/>
    <col min="6665" max="6665" width="23.7109375" style="238" customWidth="1"/>
    <col min="6666" max="6666" width="29.28515625" style="238" customWidth="1"/>
    <col min="6667" max="6913" width="9.140625" style="238"/>
    <col min="6914" max="6914" width="6.7109375" style="238" customWidth="1"/>
    <col min="6915" max="6915" width="116.42578125" style="238" customWidth="1"/>
    <col min="6916" max="6916" width="43.5703125" style="238" customWidth="1"/>
    <col min="6917" max="6917" width="38.5703125" style="238" customWidth="1"/>
    <col min="6918" max="6918" width="22.140625" style="238" customWidth="1"/>
    <col min="6919" max="6919" width="44" style="238" customWidth="1"/>
    <col min="6920" max="6920" width="34.5703125" style="238" customWidth="1"/>
    <col min="6921" max="6921" width="23.7109375" style="238" customWidth="1"/>
    <col min="6922" max="6922" width="29.28515625" style="238" customWidth="1"/>
    <col min="6923" max="7169" width="9.140625" style="238"/>
    <col min="7170" max="7170" width="6.7109375" style="238" customWidth="1"/>
    <col min="7171" max="7171" width="116.42578125" style="238" customWidth="1"/>
    <col min="7172" max="7172" width="43.5703125" style="238" customWidth="1"/>
    <col min="7173" max="7173" width="38.5703125" style="238" customWidth="1"/>
    <col min="7174" max="7174" width="22.140625" style="238" customWidth="1"/>
    <col min="7175" max="7175" width="44" style="238" customWidth="1"/>
    <col min="7176" max="7176" width="34.5703125" style="238" customWidth="1"/>
    <col min="7177" max="7177" width="23.7109375" style="238" customWidth="1"/>
    <col min="7178" max="7178" width="29.28515625" style="238" customWidth="1"/>
    <col min="7179" max="7425" width="9.140625" style="238"/>
    <col min="7426" max="7426" width="6.7109375" style="238" customWidth="1"/>
    <col min="7427" max="7427" width="116.42578125" style="238" customWidth="1"/>
    <col min="7428" max="7428" width="43.5703125" style="238" customWidth="1"/>
    <col min="7429" max="7429" width="38.5703125" style="238" customWidth="1"/>
    <col min="7430" max="7430" width="22.140625" style="238" customWidth="1"/>
    <col min="7431" max="7431" width="44" style="238" customWidth="1"/>
    <col min="7432" max="7432" width="34.5703125" style="238" customWidth="1"/>
    <col min="7433" max="7433" width="23.7109375" style="238" customWidth="1"/>
    <col min="7434" max="7434" width="29.28515625" style="238" customWidth="1"/>
    <col min="7435" max="7681" width="9.140625" style="238"/>
    <col min="7682" max="7682" width="6.7109375" style="238" customWidth="1"/>
    <col min="7683" max="7683" width="116.42578125" style="238" customWidth="1"/>
    <col min="7684" max="7684" width="43.5703125" style="238" customWidth="1"/>
    <col min="7685" max="7685" width="38.5703125" style="238" customWidth="1"/>
    <col min="7686" max="7686" width="22.140625" style="238" customWidth="1"/>
    <col min="7687" max="7687" width="44" style="238" customWidth="1"/>
    <col min="7688" max="7688" width="34.5703125" style="238" customWidth="1"/>
    <col min="7689" max="7689" width="23.7109375" style="238" customWidth="1"/>
    <col min="7690" max="7690" width="29.28515625" style="238" customWidth="1"/>
    <col min="7691" max="7937" width="9.140625" style="238"/>
    <col min="7938" max="7938" width="6.7109375" style="238" customWidth="1"/>
    <col min="7939" max="7939" width="116.42578125" style="238" customWidth="1"/>
    <col min="7940" max="7940" width="43.5703125" style="238" customWidth="1"/>
    <col min="7941" max="7941" width="38.5703125" style="238" customWidth="1"/>
    <col min="7942" max="7942" width="22.140625" style="238" customWidth="1"/>
    <col min="7943" max="7943" width="44" style="238" customWidth="1"/>
    <col min="7944" max="7944" width="34.5703125" style="238" customWidth="1"/>
    <col min="7945" max="7945" width="23.7109375" style="238" customWidth="1"/>
    <col min="7946" max="7946" width="29.28515625" style="238" customWidth="1"/>
    <col min="7947" max="8193" width="9.140625" style="238"/>
    <col min="8194" max="8194" width="6.7109375" style="238" customWidth="1"/>
    <col min="8195" max="8195" width="116.42578125" style="238" customWidth="1"/>
    <col min="8196" max="8196" width="43.5703125" style="238" customWidth="1"/>
    <col min="8197" max="8197" width="38.5703125" style="238" customWidth="1"/>
    <col min="8198" max="8198" width="22.140625" style="238" customWidth="1"/>
    <col min="8199" max="8199" width="44" style="238" customWidth="1"/>
    <col min="8200" max="8200" width="34.5703125" style="238" customWidth="1"/>
    <col min="8201" max="8201" width="23.7109375" style="238" customWidth="1"/>
    <col min="8202" max="8202" width="29.28515625" style="238" customWidth="1"/>
    <col min="8203" max="8449" width="9.140625" style="238"/>
    <col min="8450" max="8450" width="6.7109375" style="238" customWidth="1"/>
    <col min="8451" max="8451" width="116.42578125" style="238" customWidth="1"/>
    <col min="8452" max="8452" width="43.5703125" style="238" customWidth="1"/>
    <col min="8453" max="8453" width="38.5703125" style="238" customWidth="1"/>
    <col min="8454" max="8454" width="22.140625" style="238" customWidth="1"/>
    <col min="8455" max="8455" width="44" style="238" customWidth="1"/>
    <col min="8456" max="8456" width="34.5703125" style="238" customWidth="1"/>
    <col min="8457" max="8457" width="23.7109375" style="238" customWidth="1"/>
    <col min="8458" max="8458" width="29.28515625" style="238" customWidth="1"/>
    <col min="8459" max="8705" width="9.140625" style="238"/>
    <col min="8706" max="8706" width="6.7109375" style="238" customWidth="1"/>
    <col min="8707" max="8707" width="116.42578125" style="238" customWidth="1"/>
    <col min="8708" max="8708" width="43.5703125" style="238" customWidth="1"/>
    <col min="8709" max="8709" width="38.5703125" style="238" customWidth="1"/>
    <col min="8710" max="8710" width="22.140625" style="238" customWidth="1"/>
    <col min="8711" max="8711" width="44" style="238" customWidth="1"/>
    <col min="8712" max="8712" width="34.5703125" style="238" customWidth="1"/>
    <col min="8713" max="8713" width="23.7109375" style="238" customWidth="1"/>
    <col min="8714" max="8714" width="29.28515625" style="238" customWidth="1"/>
    <col min="8715" max="8961" width="9.140625" style="238"/>
    <col min="8962" max="8962" width="6.7109375" style="238" customWidth="1"/>
    <col min="8963" max="8963" width="116.42578125" style="238" customWidth="1"/>
    <col min="8964" max="8964" width="43.5703125" style="238" customWidth="1"/>
    <col min="8965" max="8965" width="38.5703125" style="238" customWidth="1"/>
    <col min="8966" max="8966" width="22.140625" style="238" customWidth="1"/>
    <col min="8967" max="8967" width="44" style="238" customWidth="1"/>
    <col min="8968" max="8968" width="34.5703125" style="238" customWidth="1"/>
    <col min="8969" max="8969" width="23.7109375" style="238" customWidth="1"/>
    <col min="8970" max="8970" width="29.28515625" style="238" customWidth="1"/>
    <col min="8971" max="9217" width="9.140625" style="238"/>
    <col min="9218" max="9218" width="6.7109375" style="238" customWidth="1"/>
    <col min="9219" max="9219" width="116.42578125" style="238" customWidth="1"/>
    <col min="9220" max="9220" width="43.5703125" style="238" customWidth="1"/>
    <col min="9221" max="9221" width="38.5703125" style="238" customWidth="1"/>
    <col min="9222" max="9222" width="22.140625" style="238" customWidth="1"/>
    <col min="9223" max="9223" width="44" style="238" customWidth="1"/>
    <col min="9224" max="9224" width="34.5703125" style="238" customWidth="1"/>
    <col min="9225" max="9225" width="23.7109375" style="238" customWidth="1"/>
    <col min="9226" max="9226" width="29.28515625" style="238" customWidth="1"/>
    <col min="9227" max="9473" width="9.140625" style="238"/>
    <col min="9474" max="9474" width="6.7109375" style="238" customWidth="1"/>
    <col min="9475" max="9475" width="116.42578125" style="238" customWidth="1"/>
    <col min="9476" max="9476" width="43.5703125" style="238" customWidth="1"/>
    <col min="9477" max="9477" width="38.5703125" style="238" customWidth="1"/>
    <col min="9478" max="9478" width="22.140625" style="238" customWidth="1"/>
    <col min="9479" max="9479" width="44" style="238" customWidth="1"/>
    <col min="9480" max="9480" width="34.5703125" style="238" customWidth="1"/>
    <col min="9481" max="9481" width="23.7109375" style="238" customWidth="1"/>
    <col min="9482" max="9482" width="29.28515625" style="238" customWidth="1"/>
    <col min="9483" max="9729" width="9.140625" style="238"/>
    <col min="9730" max="9730" width="6.7109375" style="238" customWidth="1"/>
    <col min="9731" max="9731" width="116.42578125" style="238" customWidth="1"/>
    <col min="9732" max="9732" width="43.5703125" style="238" customWidth="1"/>
    <col min="9733" max="9733" width="38.5703125" style="238" customWidth="1"/>
    <col min="9734" max="9734" width="22.140625" style="238" customWidth="1"/>
    <col min="9735" max="9735" width="44" style="238" customWidth="1"/>
    <col min="9736" max="9736" width="34.5703125" style="238" customWidth="1"/>
    <col min="9737" max="9737" width="23.7109375" style="238" customWidth="1"/>
    <col min="9738" max="9738" width="29.28515625" style="238" customWidth="1"/>
    <col min="9739" max="9985" width="9.140625" style="238"/>
    <col min="9986" max="9986" width="6.7109375" style="238" customWidth="1"/>
    <col min="9987" max="9987" width="116.42578125" style="238" customWidth="1"/>
    <col min="9988" max="9988" width="43.5703125" style="238" customWidth="1"/>
    <col min="9989" max="9989" width="38.5703125" style="238" customWidth="1"/>
    <col min="9990" max="9990" width="22.140625" style="238" customWidth="1"/>
    <col min="9991" max="9991" width="44" style="238" customWidth="1"/>
    <col min="9992" max="9992" width="34.5703125" style="238" customWidth="1"/>
    <col min="9993" max="9993" width="23.7109375" style="238" customWidth="1"/>
    <col min="9994" max="9994" width="29.28515625" style="238" customWidth="1"/>
    <col min="9995" max="10241" width="9.140625" style="238"/>
    <col min="10242" max="10242" width="6.7109375" style="238" customWidth="1"/>
    <col min="10243" max="10243" width="116.42578125" style="238" customWidth="1"/>
    <col min="10244" max="10244" width="43.5703125" style="238" customWidth="1"/>
    <col min="10245" max="10245" width="38.5703125" style="238" customWidth="1"/>
    <col min="10246" max="10246" width="22.140625" style="238" customWidth="1"/>
    <col min="10247" max="10247" width="44" style="238" customWidth="1"/>
    <col min="10248" max="10248" width="34.5703125" style="238" customWidth="1"/>
    <col min="10249" max="10249" width="23.7109375" style="238" customWidth="1"/>
    <col min="10250" max="10250" width="29.28515625" style="238" customWidth="1"/>
    <col min="10251" max="10497" width="9.140625" style="238"/>
    <col min="10498" max="10498" width="6.7109375" style="238" customWidth="1"/>
    <col min="10499" max="10499" width="116.42578125" style="238" customWidth="1"/>
    <col min="10500" max="10500" width="43.5703125" style="238" customWidth="1"/>
    <col min="10501" max="10501" width="38.5703125" style="238" customWidth="1"/>
    <col min="10502" max="10502" width="22.140625" style="238" customWidth="1"/>
    <col min="10503" max="10503" width="44" style="238" customWidth="1"/>
    <col min="10504" max="10504" width="34.5703125" style="238" customWidth="1"/>
    <col min="10505" max="10505" width="23.7109375" style="238" customWidth="1"/>
    <col min="10506" max="10506" width="29.28515625" style="238" customWidth="1"/>
    <col min="10507" max="10753" width="9.140625" style="238"/>
    <col min="10754" max="10754" width="6.7109375" style="238" customWidth="1"/>
    <col min="10755" max="10755" width="116.42578125" style="238" customWidth="1"/>
    <col min="10756" max="10756" width="43.5703125" style="238" customWidth="1"/>
    <col min="10757" max="10757" width="38.5703125" style="238" customWidth="1"/>
    <col min="10758" max="10758" width="22.140625" style="238" customWidth="1"/>
    <col min="10759" max="10759" width="44" style="238" customWidth="1"/>
    <col min="10760" max="10760" width="34.5703125" style="238" customWidth="1"/>
    <col min="10761" max="10761" width="23.7109375" style="238" customWidth="1"/>
    <col min="10762" max="10762" width="29.28515625" style="238" customWidth="1"/>
    <col min="10763" max="11009" width="9.140625" style="238"/>
    <col min="11010" max="11010" width="6.7109375" style="238" customWidth="1"/>
    <col min="11011" max="11011" width="116.42578125" style="238" customWidth="1"/>
    <col min="11012" max="11012" width="43.5703125" style="238" customWidth="1"/>
    <col min="11013" max="11013" width="38.5703125" style="238" customWidth="1"/>
    <col min="11014" max="11014" width="22.140625" style="238" customWidth="1"/>
    <col min="11015" max="11015" width="44" style="238" customWidth="1"/>
    <col min="11016" max="11016" width="34.5703125" style="238" customWidth="1"/>
    <col min="11017" max="11017" width="23.7109375" style="238" customWidth="1"/>
    <col min="11018" max="11018" width="29.28515625" style="238" customWidth="1"/>
    <col min="11019" max="11265" width="9.140625" style="238"/>
    <col min="11266" max="11266" width="6.7109375" style="238" customWidth="1"/>
    <col min="11267" max="11267" width="116.42578125" style="238" customWidth="1"/>
    <col min="11268" max="11268" width="43.5703125" style="238" customWidth="1"/>
    <col min="11269" max="11269" width="38.5703125" style="238" customWidth="1"/>
    <col min="11270" max="11270" width="22.140625" style="238" customWidth="1"/>
    <col min="11271" max="11271" width="44" style="238" customWidth="1"/>
    <col min="11272" max="11272" width="34.5703125" style="238" customWidth="1"/>
    <col min="11273" max="11273" width="23.7109375" style="238" customWidth="1"/>
    <col min="11274" max="11274" width="29.28515625" style="238" customWidth="1"/>
    <col min="11275" max="11521" width="9.140625" style="238"/>
    <col min="11522" max="11522" width="6.7109375" style="238" customWidth="1"/>
    <col min="11523" max="11523" width="116.42578125" style="238" customWidth="1"/>
    <col min="11524" max="11524" width="43.5703125" style="238" customWidth="1"/>
    <col min="11525" max="11525" width="38.5703125" style="238" customWidth="1"/>
    <col min="11526" max="11526" width="22.140625" style="238" customWidth="1"/>
    <col min="11527" max="11527" width="44" style="238" customWidth="1"/>
    <col min="11528" max="11528" width="34.5703125" style="238" customWidth="1"/>
    <col min="11529" max="11529" width="23.7109375" style="238" customWidth="1"/>
    <col min="11530" max="11530" width="29.28515625" style="238" customWidth="1"/>
    <col min="11531" max="11777" width="9.140625" style="238"/>
    <col min="11778" max="11778" width="6.7109375" style="238" customWidth="1"/>
    <col min="11779" max="11779" width="116.42578125" style="238" customWidth="1"/>
    <col min="11780" max="11780" width="43.5703125" style="238" customWidth="1"/>
    <col min="11781" max="11781" width="38.5703125" style="238" customWidth="1"/>
    <col min="11782" max="11782" width="22.140625" style="238" customWidth="1"/>
    <col min="11783" max="11783" width="44" style="238" customWidth="1"/>
    <col min="11784" max="11784" width="34.5703125" style="238" customWidth="1"/>
    <col min="11785" max="11785" width="23.7109375" style="238" customWidth="1"/>
    <col min="11786" max="11786" width="29.28515625" style="238" customWidth="1"/>
    <col min="11787" max="12033" width="9.140625" style="238"/>
    <col min="12034" max="12034" width="6.7109375" style="238" customWidth="1"/>
    <col min="12035" max="12035" width="116.42578125" style="238" customWidth="1"/>
    <col min="12036" max="12036" width="43.5703125" style="238" customWidth="1"/>
    <col min="12037" max="12037" width="38.5703125" style="238" customWidth="1"/>
    <col min="12038" max="12038" width="22.140625" style="238" customWidth="1"/>
    <col min="12039" max="12039" width="44" style="238" customWidth="1"/>
    <col min="12040" max="12040" width="34.5703125" style="238" customWidth="1"/>
    <col min="12041" max="12041" width="23.7109375" style="238" customWidth="1"/>
    <col min="12042" max="12042" width="29.28515625" style="238" customWidth="1"/>
    <col min="12043" max="12289" width="9.140625" style="238"/>
    <col min="12290" max="12290" width="6.7109375" style="238" customWidth="1"/>
    <col min="12291" max="12291" width="116.42578125" style="238" customWidth="1"/>
    <col min="12292" max="12292" width="43.5703125" style="238" customWidth="1"/>
    <col min="12293" max="12293" width="38.5703125" style="238" customWidth="1"/>
    <col min="12294" max="12294" width="22.140625" style="238" customWidth="1"/>
    <col min="12295" max="12295" width="44" style="238" customWidth="1"/>
    <col min="12296" max="12296" width="34.5703125" style="238" customWidth="1"/>
    <col min="12297" max="12297" width="23.7109375" style="238" customWidth="1"/>
    <col min="12298" max="12298" width="29.28515625" style="238" customWidth="1"/>
    <col min="12299" max="12545" width="9.140625" style="238"/>
    <col min="12546" max="12546" width="6.7109375" style="238" customWidth="1"/>
    <col min="12547" max="12547" width="116.42578125" style="238" customWidth="1"/>
    <col min="12548" max="12548" width="43.5703125" style="238" customWidth="1"/>
    <col min="12549" max="12549" width="38.5703125" style="238" customWidth="1"/>
    <col min="12550" max="12550" width="22.140625" style="238" customWidth="1"/>
    <col min="12551" max="12551" width="44" style="238" customWidth="1"/>
    <col min="12552" max="12552" width="34.5703125" style="238" customWidth="1"/>
    <col min="12553" max="12553" width="23.7109375" style="238" customWidth="1"/>
    <col min="12554" max="12554" width="29.28515625" style="238" customWidth="1"/>
    <col min="12555" max="12801" width="9.140625" style="238"/>
    <col min="12802" max="12802" width="6.7109375" style="238" customWidth="1"/>
    <col min="12803" max="12803" width="116.42578125" style="238" customWidth="1"/>
    <col min="12804" max="12804" width="43.5703125" style="238" customWidth="1"/>
    <col min="12805" max="12805" width="38.5703125" style="238" customWidth="1"/>
    <col min="12806" max="12806" width="22.140625" style="238" customWidth="1"/>
    <col min="12807" max="12807" width="44" style="238" customWidth="1"/>
    <col min="12808" max="12808" width="34.5703125" style="238" customWidth="1"/>
    <col min="12809" max="12809" width="23.7109375" style="238" customWidth="1"/>
    <col min="12810" max="12810" width="29.28515625" style="238" customWidth="1"/>
    <col min="12811" max="13057" width="9.140625" style="238"/>
    <col min="13058" max="13058" width="6.7109375" style="238" customWidth="1"/>
    <col min="13059" max="13059" width="116.42578125" style="238" customWidth="1"/>
    <col min="13060" max="13060" width="43.5703125" style="238" customWidth="1"/>
    <col min="13061" max="13061" width="38.5703125" style="238" customWidth="1"/>
    <col min="13062" max="13062" width="22.140625" style="238" customWidth="1"/>
    <col min="13063" max="13063" width="44" style="238" customWidth="1"/>
    <col min="13064" max="13064" width="34.5703125" style="238" customWidth="1"/>
    <col min="13065" max="13065" width="23.7109375" style="238" customWidth="1"/>
    <col min="13066" max="13066" width="29.28515625" style="238" customWidth="1"/>
    <col min="13067" max="13313" width="9.140625" style="238"/>
    <col min="13314" max="13314" width="6.7109375" style="238" customWidth="1"/>
    <col min="13315" max="13315" width="116.42578125" style="238" customWidth="1"/>
    <col min="13316" max="13316" width="43.5703125" style="238" customWidth="1"/>
    <col min="13317" max="13317" width="38.5703125" style="238" customWidth="1"/>
    <col min="13318" max="13318" width="22.140625" style="238" customWidth="1"/>
    <col min="13319" max="13319" width="44" style="238" customWidth="1"/>
    <col min="13320" max="13320" width="34.5703125" style="238" customWidth="1"/>
    <col min="13321" max="13321" width="23.7109375" style="238" customWidth="1"/>
    <col min="13322" max="13322" width="29.28515625" style="238" customWidth="1"/>
    <col min="13323" max="13569" width="9.140625" style="238"/>
    <col min="13570" max="13570" width="6.7109375" style="238" customWidth="1"/>
    <col min="13571" max="13571" width="116.42578125" style="238" customWidth="1"/>
    <col min="13572" max="13572" width="43.5703125" style="238" customWidth="1"/>
    <col min="13573" max="13573" width="38.5703125" style="238" customWidth="1"/>
    <col min="13574" max="13574" width="22.140625" style="238" customWidth="1"/>
    <col min="13575" max="13575" width="44" style="238" customWidth="1"/>
    <col min="13576" max="13576" width="34.5703125" style="238" customWidth="1"/>
    <col min="13577" max="13577" width="23.7109375" style="238" customWidth="1"/>
    <col min="13578" max="13578" width="29.28515625" style="238" customWidth="1"/>
    <col min="13579" max="13825" width="9.140625" style="238"/>
    <col min="13826" max="13826" width="6.7109375" style="238" customWidth="1"/>
    <col min="13827" max="13827" width="116.42578125" style="238" customWidth="1"/>
    <col min="13828" max="13828" width="43.5703125" style="238" customWidth="1"/>
    <col min="13829" max="13829" width="38.5703125" style="238" customWidth="1"/>
    <col min="13830" max="13830" width="22.140625" style="238" customWidth="1"/>
    <col min="13831" max="13831" width="44" style="238" customWidth="1"/>
    <col min="13832" max="13832" width="34.5703125" style="238" customWidth="1"/>
    <col min="13833" max="13833" width="23.7109375" style="238" customWidth="1"/>
    <col min="13834" max="13834" width="29.28515625" style="238" customWidth="1"/>
    <col min="13835" max="14081" width="9.140625" style="238"/>
    <col min="14082" max="14082" width="6.7109375" style="238" customWidth="1"/>
    <col min="14083" max="14083" width="116.42578125" style="238" customWidth="1"/>
    <col min="14084" max="14084" width="43.5703125" style="238" customWidth="1"/>
    <col min="14085" max="14085" width="38.5703125" style="238" customWidth="1"/>
    <col min="14086" max="14086" width="22.140625" style="238" customWidth="1"/>
    <col min="14087" max="14087" width="44" style="238" customWidth="1"/>
    <col min="14088" max="14088" width="34.5703125" style="238" customWidth="1"/>
    <col min="14089" max="14089" width="23.7109375" style="238" customWidth="1"/>
    <col min="14090" max="14090" width="29.28515625" style="238" customWidth="1"/>
    <col min="14091" max="14337" width="9.140625" style="238"/>
    <col min="14338" max="14338" width="6.7109375" style="238" customWidth="1"/>
    <col min="14339" max="14339" width="116.42578125" style="238" customWidth="1"/>
    <col min="14340" max="14340" width="43.5703125" style="238" customWidth="1"/>
    <col min="14341" max="14341" width="38.5703125" style="238" customWidth="1"/>
    <col min="14342" max="14342" width="22.140625" style="238" customWidth="1"/>
    <col min="14343" max="14343" width="44" style="238" customWidth="1"/>
    <col min="14344" max="14344" width="34.5703125" style="238" customWidth="1"/>
    <col min="14345" max="14345" width="23.7109375" style="238" customWidth="1"/>
    <col min="14346" max="14346" width="29.28515625" style="238" customWidth="1"/>
    <col min="14347" max="14593" width="9.140625" style="238"/>
    <col min="14594" max="14594" width="6.7109375" style="238" customWidth="1"/>
    <col min="14595" max="14595" width="116.42578125" style="238" customWidth="1"/>
    <col min="14596" max="14596" width="43.5703125" style="238" customWidth="1"/>
    <col min="14597" max="14597" width="38.5703125" style="238" customWidth="1"/>
    <col min="14598" max="14598" width="22.140625" style="238" customWidth="1"/>
    <col min="14599" max="14599" width="44" style="238" customWidth="1"/>
    <col min="14600" max="14600" width="34.5703125" style="238" customWidth="1"/>
    <col min="14601" max="14601" width="23.7109375" style="238" customWidth="1"/>
    <col min="14602" max="14602" width="29.28515625" style="238" customWidth="1"/>
    <col min="14603" max="14849" width="9.140625" style="238"/>
    <col min="14850" max="14850" width="6.7109375" style="238" customWidth="1"/>
    <col min="14851" max="14851" width="116.42578125" style="238" customWidth="1"/>
    <col min="14852" max="14852" width="43.5703125" style="238" customWidth="1"/>
    <col min="14853" max="14853" width="38.5703125" style="238" customWidth="1"/>
    <col min="14854" max="14854" width="22.140625" style="238" customWidth="1"/>
    <col min="14855" max="14855" width="44" style="238" customWidth="1"/>
    <col min="14856" max="14856" width="34.5703125" style="238" customWidth="1"/>
    <col min="14857" max="14857" width="23.7109375" style="238" customWidth="1"/>
    <col min="14858" max="14858" width="29.28515625" style="238" customWidth="1"/>
    <col min="14859" max="15105" width="9.140625" style="238"/>
    <col min="15106" max="15106" width="6.7109375" style="238" customWidth="1"/>
    <col min="15107" max="15107" width="116.42578125" style="238" customWidth="1"/>
    <col min="15108" max="15108" width="43.5703125" style="238" customWidth="1"/>
    <col min="15109" max="15109" width="38.5703125" style="238" customWidth="1"/>
    <col min="15110" max="15110" width="22.140625" style="238" customWidth="1"/>
    <col min="15111" max="15111" width="44" style="238" customWidth="1"/>
    <col min="15112" max="15112" width="34.5703125" style="238" customWidth="1"/>
    <col min="15113" max="15113" width="23.7109375" style="238" customWidth="1"/>
    <col min="15114" max="15114" width="29.28515625" style="238" customWidth="1"/>
    <col min="15115" max="15361" width="9.140625" style="238"/>
    <col min="15362" max="15362" width="6.7109375" style="238" customWidth="1"/>
    <col min="15363" max="15363" width="116.42578125" style="238" customWidth="1"/>
    <col min="15364" max="15364" width="43.5703125" style="238" customWidth="1"/>
    <col min="15365" max="15365" width="38.5703125" style="238" customWidth="1"/>
    <col min="15366" max="15366" width="22.140625" style="238" customWidth="1"/>
    <col min="15367" max="15367" width="44" style="238" customWidth="1"/>
    <col min="15368" max="15368" width="34.5703125" style="238" customWidth="1"/>
    <col min="15369" max="15369" width="23.7109375" style="238" customWidth="1"/>
    <col min="15370" max="15370" width="29.28515625" style="238" customWidth="1"/>
    <col min="15371" max="15617" width="9.140625" style="238"/>
    <col min="15618" max="15618" width="6.7109375" style="238" customWidth="1"/>
    <col min="15619" max="15619" width="116.42578125" style="238" customWidth="1"/>
    <col min="15620" max="15620" width="43.5703125" style="238" customWidth="1"/>
    <col min="15621" max="15621" width="38.5703125" style="238" customWidth="1"/>
    <col min="15622" max="15622" width="22.140625" style="238" customWidth="1"/>
    <col min="15623" max="15623" width="44" style="238" customWidth="1"/>
    <col min="15624" max="15624" width="34.5703125" style="238" customWidth="1"/>
    <col min="15625" max="15625" width="23.7109375" style="238" customWidth="1"/>
    <col min="15626" max="15626" width="29.28515625" style="238" customWidth="1"/>
    <col min="15627" max="15873" width="9.140625" style="238"/>
    <col min="15874" max="15874" width="6.7109375" style="238" customWidth="1"/>
    <col min="15875" max="15875" width="116.42578125" style="238" customWidth="1"/>
    <col min="15876" max="15876" width="43.5703125" style="238" customWidth="1"/>
    <col min="15877" max="15877" width="38.5703125" style="238" customWidth="1"/>
    <col min="15878" max="15878" width="22.140625" style="238" customWidth="1"/>
    <col min="15879" max="15879" width="44" style="238" customWidth="1"/>
    <col min="15880" max="15880" width="34.5703125" style="238" customWidth="1"/>
    <col min="15881" max="15881" width="23.7109375" style="238" customWidth="1"/>
    <col min="15882" max="15882" width="29.28515625" style="238" customWidth="1"/>
    <col min="15883" max="16129" width="9.140625" style="238"/>
    <col min="16130" max="16130" width="6.7109375" style="238" customWidth="1"/>
    <col min="16131" max="16131" width="116.42578125" style="238" customWidth="1"/>
    <col min="16132" max="16132" width="43.5703125" style="238" customWidth="1"/>
    <col min="16133" max="16133" width="38.5703125" style="238" customWidth="1"/>
    <col min="16134" max="16134" width="22.140625" style="238" customWidth="1"/>
    <col min="16135" max="16135" width="44" style="238" customWidth="1"/>
    <col min="16136" max="16136" width="34.5703125" style="238" customWidth="1"/>
    <col min="16137" max="16137" width="23.7109375" style="238" customWidth="1"/>
    <col min="16138" max="16138" width="29.28515625" style="238" customWidth="1"/>
    <col min="16139" max="16384" width="9.140625" style="238"/>
  </cols>
  <sheetData>
    <row r="1" spans="2:11" ht="28.15" customHeight="1">
      <c r="B1" s="1207" t="s">
        <v>708</v>
      </c>
      <c r="C1" s="1207"/>
      <c r="D1" s="1207"/>
      <c r="E1" s="1207"/>
      <c r="F1" s="1207"/>
      <c r="G1" s="1207"/>
      <c r="H1" s="1207"/>
    </row>
    <row r="2" spans="2:11" ht="12" customHeight="1">
      <c r="C2" s="239"/>
      <c r="D2" s="239"/>
      <c r="E2" s="239"/>
      <c r="F2" s="239"/>
    </row>
    <row r="3" spans="2:11" ht="4.9000000000000004" customHeight="1">
      <c r="C3" s="240"/>
    </row>
    <row r="4" spans="2:11" ht="33" customHeight="1">
      <c r="B4" s="1208" t="s">
        <v>709</v>
      </c>
      <c r="C4" s="1210">
        <v>1588</v>
      </c>
      <c r="D4" s="241">
        <v>2024</v>
      </c>
      <c r="E4" s="242" t="s">
        <v>52</v>
      </c>
      <c r="F4" s="1212" t="s">
        <v>710</v>
      </c>
      <c r="G4" s="1214" t="s">
        <v>711</v>
      </c>
      <c r="H4" s="1216" t="s">
        <v>712</v>
      </c>
    </row>
    <row r="5" spans="2:11" ht="38.25" customHeight="1">
      <c r="B5" s="1209"/>
      <c r="C5" s="1211"/>
      <c r="D5" s="243" t="s">
        <v>713</v>
      </c>
      <c r="E5" s="243" t="s">
        <v>714</v>
      </c>
      <c r="F5" s="1213"/>
      <c r="G5" s="1215"/>
      <c r="H5" s="1216"/>
    </row>
    <row r="6" spans="2:11" ht="16.899999999999999" customHeight="1">
      <c r="B6" s="244">
        <v>1</v>
      </c>
      <c r="C6" s="245">
        <v>2</v>
      </c>
      <c r="D6" s="246">
        <v>3</v>
      </c>
      <c r="E6" s="246">
        <v>4</v>
      </c>
      <c r="F6" s="247">
        <v>5</v>
      </c>
      <c r="G6" s="244">
        <v>6</v>
      </c>
      <c r="H6" s="248">
        <v>7</v>
      </c>
      <c r="J6" s="249"/>
    </row>
    <row r="7" spans="2:11" ht="49.9" customHeight="1">
      <c r="B7" s="1199" t="s">
        <v>715</v>
      </c>
      <c r="C7" s="1199"/>
      <c r="D7" s="250">
        <f>D8+D15</f>
        <v>2098050750.4400001</v>
      </c>
      <c r="E7" s="250">
        <f>E8+E15</f>
        <v>2084859573.7800004</v>
      </c>
      <c r="F7" s="251">
        <f t="shared" ref="F7:F17" si="0">(E7/D7)*100</f>
        <v>99.371265129919607</v>
      </c>
      <c r="G7" s="252">
        <f t="shared" ref="G7:G70" si="1">D7-E7</f>
        <v>13191176.659999609</v>
      </c>
      <c r="H7" s="253"/>
      <c r="I7" s="249">
        <f>2084859573.78-E7</f>
        <v>0</v>
      </c>
    </row>
    <row r="8" spans="2:11" ht="33" customHeight="1">
      <c r="B8" s="254"/>
      <c r="C8" s="255" t="s">
        <v>716</v>
      </c>
      <c r="D8" s="256">
        <f>D9+D10</f>
        <v>46189175.25</v>
      </c>
      <c r="E8" s="256">
        <f>E9+E10</f>
        <v>46189175.25</v>
      </c>
      <c r="F8" s="257">
        <f t="shared" si="0"/>
        <v>100</v>
      </c>
      <c r="G8" s="258">
        <f t="shared" si="1"/>
        <v>0</v>
      </c>
      <c r="H8" s="259"/>
    </row>
    <row r="9" spans="2:11" ht="33" customHeight="1">
      <c r="B9" s="254"/>
      <c r="C9" s="260" t="s">
        <v>717</v>
      </c>
      <c r="D9" s="261">
        <v>2335742</v>
      </c>
      <c r="E9" s="261">
        <f>D9</f>
        <v>2335742</v>
      </c>
      <c r="F9" s="261">
        <f t="shared" si="0"/>
        <v>100</v>
      </c>
      <c r="G9" s="262">
        <f t="shared" si="1"/>
        <v>0</v>
      </c>
      <c r="H9" s="259"/>
      <c r="I9" s="249"/>
    </row>
    <row r="10" spans="2:11" ht="33" customHeight="1">
      <c r="B10" s="254"/>
      <c r="C10" s="260" t="s">
        <v>718</v>
      </c>
      <c r="D10" s="261">
        <f>D11+D12+D13+D14</f>
        <v>43853433.25</v>
      </c>
      <c r="E10" s="261">
        <f>E11+E12+E13+E14</f>
        <v>43853433.25</v>
      </c>
      <c r="F10" s="261">
        <f t="shared" si="0"/>
        <v>100</v>
      </c>
      <c r="G10" s="262">
        <f t="shared" si="1"/>
        <v>0</v>
      </c>
      <c r="H10" s="259"/>
    </row>
    <row r="11" spans="2:11" ht="33" customHeight="1">
      <c r="B11" s="263"/>
      <c r="C11" s="260" t="s">
        <v>719</v>
      </c>
      <c r="D11" s="261">
        <v>29200000</v>
      </c>
      <c r="E11" s="261">
        <v>29200000</v>
      </c>
      <c r="F11" s="261">
        <f t="shared" si="0"/>
        <v>100</v>
      </c>
      <c r="G11" s="262">
        <f t="shared" si="1"/>
        <v>0</v>
      </c>
      <c r="H11" s="259"/>
    </row>
    <row r="12" spans="2:11" ht="33" customHeight="1">
      <c r="B12" s="263"/>
      <c r="C12" s="260" t="s">
        <v>720</v>
      </c>
      <c r="D12" s="261">
        <v>2945491.21</v>
      </c>
      <c r="E12" s="261">
        <f>D12</f>
        <v>2945491.21</v>
      </c>
      <c r="F12" s="261">
        <f t="shared" si="0"/>
        <v>100</v>
      </c>
      <c r="G12" s="262">
        <f t="shared" si="1"/>
        <v>0</v>
      </c>
      <c r="H12" s="259"/>
    </row>
    <row r="13" spans="2:11" ht="33" customHeight="1">
      <c r="B13" s="263"/>
      <c r="C13" s="260" t="s">
        <v>721</v>
      </c>
      <c r="D13" s="261">
        <v>4007894.47</v>
      </c>
      <c r="E13" s="261">
        <v>4007894.47</v>
      </c>
      <c r="F13" s="261">
        <f t="shared" si="0"/>
        <v>100</v>
      </c>
      <c r="G13" s="262">
        <f t="shared" si="1"/>
        <v>0</v>
      </c>
      <c r="H13" s="259"/>
    </row>
    <row r="14" spans="2:11" ht="33" customHeight="1">
      <c r="B14" s="254"/>
      <c r="C14" s="264" t="s">
        <v>722</v>
      </c>
      <c r="D14" s="261">
        <v>7700047.5700000003</v>
      </c>
      <c r="E14" s="261">
        <v>7700047.5700000003</v>
      </c>
      <c r="F14" s="261">
        <f>(E14/D14)*100</f>
        <v>100</v>
      </c>
      <c r="G14" s="262">
        <f>D14-E14</f>
        <v>0</v>
      </c>
      <c r="H14" s="259"/>
    </row>
    <row r="15" spans="2:11" ht="53.25" customHeight="1">
      <c r="B15" s="1200" t="s">
        <v>723</v>
      </c>
      <c r="C15" s="1201"/>
      <c r="D15" s="265">
        <f>D21+D52+D109+D118</f>
        <v>2051861575.1900001</v>
      </c>
      <c r="E15" s="265">
        <f>E21+E52+E109+E118</f>
        <v>2038670398.5300004</v>
      </c>
      <c r="F15" s="266">
        <f t="shared" si="0"/>
        <v>99.357111765262331</v>
      </c>
      <c r="G15" s="267">
        <f t="shared" si="1"/>
        <v>13191176.659999609</v>
      </c>
      <c r="H15" s="268"/>
      <c r="I15" s="249"/>
      <c r="J15" s="249"/>
      <c r="K15" s="269"/>
    </row>
    <row r="16" spans="2:11" ht="39.75" customHeight="1">
      <c r="B16" s="270"/>
      <c r="C16" s="271" t="s">
        <v>717</v>
      </c>
      <c r="D16" s="272">
        <f>D104+D107+D116</f>
        <v>78252658.640000001</v>
      </c>
      <c r="E16" s="272">
        <f>E104+E107++E116</f>
        <v>78252658.640000001</v>
      </c>
      <c r="F16" s="273">
        <f t="shared" si="0"/>
        <v>100</v>
      </c>
      <c r="G16" s="274">
        <f t="shared" si="1"/>
        <v>0</v>
      </c>
      <c r="H16" s="268"/>
    </row>
    <row r="17" spans="2:10" ht="28.5" customHeight="1">
      <c r="B17" s="270"/>
      <c r="C17" s="271" t="s">
        <v>724</v>
      </c>
      <c r="D17" s="272">
        <f>D15-D16</f>
        <v>1973608916.55</v>
      </c>
      <c r="E17" s="272">
        <f>E15-E16</f>
        <v>1960417739.8900003</v>
      </c>
      <c r="F17" s="273">
        <f t="shared" si="0"/>
        <v>99.331621551292002</v>
      </c>
      <c r="G17" s="274">
        <f t="shared" si="1"/>
        <v>13191176.659999609</v>
      </c>
      <c r="H17" s="268"/>
    </row>
    <row r="18" spans="2:10" ht="37.9" customHeight="1">
      <c r="B18" s="275"/>
      <c r="C18" s="276" t="s">
        <v>725</v>
      </c>
      <c r="D18" s="277">
        <f>D49+D101+D113</f>
        <v>30093176.5</v>
      </c>
      <c r="E18" s="277">
        <f>E49+E101+E113</f>
        <v>30093176.5</v>
      </c>
      <c r="F18" s="278">
        <f>E18/D18*100</f>
        <v>100</v>
      </c>
      <c r="G18" s="277">
        <f t="shared" si="1"/>
        <v>0</v>
      </c>
      <c r="H18" s="279"/>
    </row>
    <row r="19" spans="2:10" ht="21.6" customHeight="1">
      <c r="B19" s="275"/>
      <c r="C19" s="280" t="s">
        <v>717</v>
      </c>
      <c r="D19" s="277">
        <f>D107+D104</f>
        <v>8062658.6399999997</v>
      </c>
      <c r="E19" s="277">
        <f>E107+E104</f>
        <v>8062658.6399999997</v>
      </c>
      <c r="F19" s="278">
        <f>E19/D19*100</f>
        <v>100</v>
      </c>
      <c r="G19" s="277">
        <f t="shared" si="1"/>
        <v>0</v>
      </c>
      <c r="H19" s="279"/>
      <c r="I19" s="249"/>
    </row>
    <row r="20" spans="2:10" ht="20.45" customHeight="1">
      <c r="B20" s="275"/>
      <c r="C20" s="280" t="s">
        <v>724</v>
      </c>
      <c r="D20" s="277">
        <f>D18-D19</f>
        <v>22030517.859999999</v>
      </c>
      <c r="E20" s="277">
        <f>E18-E19</f>
        <v>22030517.859999999</v>
      </c>
      <c r="F20" s="278">
        <f>E20/D20*100</f>
        <v>100</v>
      </c>
      <c r="G20" s="277">
        <f t="shared" si="1"/>
        <v>0</v>
      </c>
      <c r="H20" s="279"/>
      <c r="I20" s="249"/>
      <c r="J20" s="249"/>
    </row>
    <row r="21" spans="2:10" ht="62.25" customHeight="1">
      <c r="B21" s="281" t="s">
        <v>8</v>
      </c>
      <c r="C21" s="282" t="s">
        <v>110</v>
      </c>
      <c r="D21" s="283">
        <f>D22+D23+D24+D25+D26+D27+D28+D29+D35+D49</f>
        <v>467568916.77999997</v>
      </c>
      <c r="E21" s="283">
        <f>E22+E23+E24+E25+E26+E27+E28+E29+E35+E49</f>
        <v>457878963.25999999</v>
      </c>
      <c r="F21" s="284">
        <f>E21/D21*100</f>
        <v>97.927588175293678</v>
      </c>
      <c r="G21" s="285">
        <f t="shared" si="1"/>
        <v>9689953.5199999809</v>
      </c>
      <c r="H21" s="279"/>
    </row>
    <row r="22" spans="2:10" ht="66" customHeight="1">
      <c r="B22" s="286"/>
      <c r="C22" s="287" t="s">
        <v>726</v>
      </c>
      <c r="D22" s="288">
        <v>82011627</v>
      </c>
      <c r="E22" s="288">
        <v>82011627</v>
      </c>
      <c r="F22" s="289">
        <f>(E22/D22)*100</f>
        <v>100</v>
      </c>
      <c r="G22" s="262">
        <f t="shared" si="1"/>
        <v>0</v>
      </c>
      <c r="H22" s="424">
        <v>82011.626999999993</v>
      </c>
    </row>
    <row r="23" spans="2:10" ht="54" customHeight="1">
      <c r="B23" s="286"/>
      <c r="C23" s="287" t="s">
        <v>267</v>
      </c>
      <c r="D23" s="288">
        <v>55000000</v>
      </c>
      <c r="E23" s="288">
        <v>55000000</v>
      </c>
      <c r="F23" s="289">
        <f>(E23/D23)*100</f>
        <v>100</v>
      </c>
      <c r="G23" s="262">
        <f t="shared" si="1"/>
        <v>0</v>
      </c>
      <c r="H23" s="425">
        <v>55000</v>
      </c>
    </row>
    <row r="24" spans="2:10" ht="51.75" customHeight="1">
      <c r="B24" s="286"/>
      <c r="C24" s="287" t="s">
        <v>727</v>
      </c>
      <c r="D24" s="288">
        <v>2274025</v>
      </c>
      <c r="E24" s="288">
        <v>2274025</v>
      </c>
      <c r="F24" s="289">
        <f>(E24/D24)*100</f>
        <v>100</v>
      </c>
      <c r="G24" s="262">
        <f t="shared" si="1"/>
        <v>0</v>
      </c>
      <c r="H24" s="291"/>
    </row>
    <row r="25" spans="2:10" ht="21" customHeight="1">
      <c r="B25" s="286"/>
      <c r="C25" s="287" t="s">
        <v>728</v>
      </c>
      <c r="D25" s="288">
        <v>131294093.58</v>
      </c>
      <c r="E25" s="288">
        <v>130114783.58</v>
      </c>
      <c r="F25" s="289">
        <f>(E25/D25)*100</f>
        <v>99.101779853271594</v>
      </c>
      <c r="G25" s="262">
        <f t="shared" si="1"/>
        <v>1179310</v>
      </c>
      <c r="H25" s="477">
        <f>E25+[4]Документ!$P$25</f>
        <v>159314783.57999998</v>
      </c>
      <c r="I25" s="238">
        <v>159314.783</v>
      </c>
    </row>
    <row r="26" spans="2:10" ht="52.5" customHeight="1">
      <c r="B26" s="286"/>
      <c r="C26" s="292" t="s">
        <v>729</v>
      </c>
      <c r="D26" s="288">
        <v>20000000</v>
      </c>
      <c r="E26" s="288">
        <v>20000000</v>
      </c>
      <c r="F26" s="289">
        <f>(E26/D26)*100</f>
        <v>100</v>
      </c>
      <c r="G26" s="293">
        <f t="shared" si="1"/>
        <v>0</v>
      </c>
      <c r="H26" s="425">
        <v>20000</v>
      </c>
    </row>
    <row r="27" spans="2:10" ht="52.5" customHeight="1">
      <c r="B27" s="286"/>
      <c r="C27" s="294" t="s">
        <v>730</v>
      </c>
      <c r="D27" s="256">
        <v>10990000</v>
      </c>
      <c r="E27" s="256">
        <v>10990000</v>
      </c>
      <c r="F27" s="257">
        <f t="shared" ref="F27:F37" si="2">(E27/D27)*100</f>
        <v>100</v>
      </c>
      <c r="G27" s="258">
        <f t="shared" si="1"/>
        <v>0</v>
      </c>
      <c r="H27" s="295">
        <v>10990</v>
      </c>
    </row>
    <row r="28" spans="2:10" ht="52.5" customHeight="1">
      <c r="B28" s="286"/>
      <c r="C28" s="294" t="s">
        <v>731</v>
      </c>
      <c r="D28" s="256">
        <v>21000000</v>
      </c>
      <c r="E28" s="256">
        <v>21000000</v>
      </c>
      <c r="F28" s="257">
        <f t="shared" si="2"/>
        <v>100</v>
      </c>
      <c r="G28" s="258">
        <f t="shared" si="1"/>
        <v>0</v>
      </c>
      <c r="H28" s="295"/>
    </row>
    <row r="29" spans="2:10" ht="52.5" customHeight="1">
      <c r="B29" s="286"/>
      <c r="C29" s="294" t="s">
        <v>732</v>
      </c>
      <c r="D29" s="256">
        <f>D30+D31+D32+D33+D34</f>
        <v>9000000</v>
      </c>
      <c r="E29" s="256">
        <f>E30+E31+E32+E33+E34</f>
        <v>9000000</v>
      </c>
      <c r="F29" s="257">
        <f t="shared" si="2"/>
        <v>100</v>
      </c>
      <c r="G29" s="258">
        <f t="shared" si="1"/>
        <v>0</v>
      </c>
      <c r="H29" s="476">
        <v>9000</v>
      </c>
      <c r="I29" s="238">
        <v>1638.54</v>
      </c>
    </row>
    <row r="30" spans="2:10" ht="27.75" customHeight="1">
      <c r="B30" s="286"/>
      <c r="C30" s="296" t="s">
        <v>734</v>
      </c>
      <c r="D30" s="297">
        <v>5000000</v>
      </c>
      <c r="E30" s="297">
        <v>5000000</v>
      </c>
      <c r="F30" s="261">
        <f t="shared" si="2"/>
        <v>100</v>
      </c>
      <c r="G30" s="262">
        <f t="shared" si="1"/>
        <v>0</v>
      </c>
      <c r="H30" s="295"/>
    </row>
    <row r="31" spans="2:10" ht="27" customHeight="1">
      <c r="B31" s="286"/>
      <c r="C31" s="298" t="s">
        <v>735</v>
      </c>
      <c r="D31" s="297">
        <v>1000000</v>
      </c>
      <c r="E31" s="297">
        <v>1000000</v>
      </c>
      <c r="F31" s="261">
        <f t="shared" si="2"/>
        <v>100</v>
      </c>
      <c r="G31" s="262">
        <f t="shared" si="1"/>
        <v>0</v>
      </c>
      <c r="H31" s="295"/>
    </row>
    <row r="32" spans="2:10" ht="26.25" customHeight="1">
      <c r="B32" s="286"/>
      <c r="C32" s="298" t="s">
        <v>736</v>
      </c>
      <c r="D32" s="297">
        <v>1000000</v>
      </c>
      <c r="E32" s="297">
        <v>1000000</v>
      </c>
      <c r="F32" s="261">
        <f t="shared" si="2"/>
        <v>100</v>
      </c>
      <c r="G32" s="262">
        <f t="shared" si="1"/>
        <v>0</v>
      </c>
      <c r="H32" s="295"/>
    </row>
    <row r="33" spans="2:8" ht="27.75" customHeight="1">
      <c r="B33" s="286"/>
      <c r="C33" s="296" t="s">
        <v>737</v>
      </c>
      <c r="D33" s="297">
        <v>1000000</v>
      </c>
      <c r="E33" s="297">
        <v>1000000</v>
      </c>
      <c r="F33" s="261">
        <f t="shared" si="2"/>
        <v>100</v>
      </c>
      <c r="G33" s="262">
        <f t="shared" si="1"/>
        <v>0</v>
      </c>
      <c r="H33" s="295"/>
    </row>
    <row r="34" spans="2:8" ht="27.75" customHeight="1">
      <c r="B34" s="286"/>
      <c r="C34" s="299" t="s">
        <v>738</v>
      </c>
      <c r="D34" s="297">
        <v>1000000</v>
      </c>
      <c r="E34" s="297">
        <v>1000000</v>
      </c>
      <c r="F34" s="261">
        <f t="shared" si="2"/>
        <v>100</v>
      </c>
      <c r="G34" s="262">
        <f t="shared" si="1"/>
        <v>0</v>
      </c>
      <c r="H34" s="295"/>
    </row>
    <row r="35" spans="2:8" ht="52.5" customHeight="1">
      <c r="B35" s="286"/>
      <c r="C35" s="300" t="s">
        <v>285</v>
      </c>
      <c r="D35" s="301">
        <f>D36+D37+D38+D39+D40+D41+D42+D43+D44+D45+D46+D47+D48</f>
        <v>120000000</v>
      </c>
      <c r="E35" s="301">
        <f>SUM(E36:E48)</f>
        <v>111489356.48</v>
      </c>
      <c r="F35" s="257">
        <f t="shared" si="2"/>
        <v>92.907797066666674</v>
      </c>
      <c r="G35" s="258">
        <f t="shared" si="1"/>
        <v>8510643.5199999958</v>
      </c>
      <c r="H35" s="302">
        <v>111489.356</v>
      </c>
    </row>
    <row r="36" spans="2:8" ht="19.5" customHeight="1">
      <c r="B36" s="286"/>
      <c r="C36" s="287" t="s">
        <v>739</v>
      </c>
      <c r="D36" s="288">
        <v>12000000</v>
      </c>
      <c r="E36" s="288">
        <v>9916844.9000000004</v>
      </c>
      <c r="F36" s="289">
        <f t="shared" si="2"/>
        <v>82.640374166666675</v>
      </c>
      <c r="G36" s="293">
        <f t="shared" si="1"/>
        <v>2083155.0999999996</v>
      </c>
      <c r="H36" s="291"/>
    </row>
    <row r="37" spans="2:8" ht="19.5" customHeight="1">
      <c r="B37" s="286"/>
      <c r="C37" s="287" t="s">
        <v>740</v>
      </c>
      <c r="D37" s="288">
        <v>6000000</v>
      </c>
      <c r="E37" s="288">
        <v>5999971.8399999999</v>
      </c>
      <c r="F37" s="289">
        <f t="shared" si="2"/>
        <v>99.999530666666672</v>
      </c>
      <c r="G37" s="293">
        <f t="shared" si="1"/>
        <v>28.160000000149012</v>
      </c>
      <c r="H37" s="291"/>
    </row>
    <row r="38" spans="2:8" ht="19.5" customHeight="1">
      <c r="B38" s="286"/>
      <c r="C38" s="287" t="s">
        <v>741</v>
      </c>
      <c r="D38" s="288">
        <v>6000000</v>
      </c>
      <c r="E38" s="288">
        <v>6000000</v>
      </c>
      <c r="F38" s="289">
        <f>(E38/D38)*100</f>
        <v>100</v>
      </c>
      <c r="G38" s="293">
        <f t="shared" si="1"/>
        <v>0</v>
      </c>
      <c r="H38" s="291"/>
    </row>
    <row r="39" spans="2:8" ht="23.25" customHeight="1">
      <c r="B39" s="286"/>
      <c r="C39" s="287" t="s">
        <v>742</v>
      </c>
      <c r="D39" s="288">
        <v>6000000</v>
      </c>
      <c r="E39" s="288">
        <v>6000000</v>
      </c>
      <c r="F39" s="289">
        <f>(E39/D39)*100</f>
        <v>100</v>
      </c>
      <c r="G39" s="293">
        <f t="shared" si="1"/>
        <v>0</v>
      </c>
      <c r="H39" s="291"/>
    </row>
    <row r="40" spans="2:8" ht="23.25" customHeight="1">
      <c r="B40" s="286"/>
      <c r="C40" s="287" t="s">
        <v>735</v>
      </c>
      <c r="D40" s="288">
        <v>6000000</v>
      </c>
      <c r="E40" s="288">
        <v>6000000</v>
      </c>
      <c r="F40" s="289">
        <f>(E40/D40)*100</f>
        <v>100</v>
      </c>
      <c r="G40" s="293">
        <f t="shared" si="1"/>
        <v>0</v>
      </c>
      <c r="H40" s="291"/>
    </row>
    <row r="41" spans="2:8" ht="23.25" customHeight="1">
      <c r="B41" s="286"/>
      <c r="C41" s="287" t="s">
        <v>743</v>
      </c>
      <c r="D41" s="288">
        <v>18000000</v>
      </c>
      <c r="E41" s="288">
        <v>15472853.98</v>
      </c>
      <c r="F41" s="289">
        <f t="shared" ref="F41:F48" si="3">(E41/D41)*100</f>
        <v>85.960299888888898</v>
      </c>
      <c r="G41" s="293">
        <f t="shared" si="1"/>
        <v>2527146.0199999996</v>
      </c>
      <c r="H41" s="291"/>
    </row>
    <row r="42" spans="2:8" ht="23.25" customHeight="1">
      <c r="B42" s="286"/>
      <c r="C42" s="287" t="s">
        <v>744</v>
      </c>
      <c r="D42" s="288">
        <v>6000000</v>
      </c>
      <c r="E42" s="288">
        <v>6000000</v>
      </c>
      <c r="F42" s="289">
        <f t="shared" si="3"/>
        <v>100</v>
      </c>
      <c r="G42" s="293">
        <f t="shared" si="1"/>
        <v>0</v>
      </c>
      <c r="H42" s="291"/>
    </row>
    <row r="43" spans="2:8" ht="23.25" customHeight="1">
      <c r="B43" s="286"/>
      <c r="C43" s="287" t="s">
        <v>745</v>
      </c>
      <c r="D43" s="288">
        <v>30000000</v>
      </c>
      <c r="E43" s="288">
        <v>30000000</v>
      </c>
      <c r="F43" s="289">
        <f t="shared" si="3"/>
        <v>100</v>
      </c>
      <c r="G43" s="293">
        <f t="shared" si="1"/>
        <v>0</v>
      </c>
      <c r="H43" s="291"/>
    </row>
    <row r="44" spans="2:8" ht="23.25" customHeight="1">
      <c r="B44" s="286"/>
      <c r="C44" s="287" t="s">
        <v>746</v>
      </c>
      <c r="D44" s="288">
        <v>6000000</v>
      </c>
      <c r="E44" s="288">
        <v>6000000</v>
      </c>
      <c r="F44" s="289">
        <f>(E44/D44)*100</f>
        <v>100</v>
      </c>
      <c r="G44" s="293">
        <f>D44-E44</f>
        <v>0</v>
      </c>
      <c r="H44" s="291"/>
    </row>
    <row r="45" spans="2:8" ht="23.25" customHeight="1">
      <c r="B45" s="286"/>
      <c r="C45" s="287" t="s">
        <v>747</v>
      </c>
      <c r="D45" s="288">
        <v>6000000</v>
      </c>
      <c r="E45" s="288">
        <v>6000000</v>
      </c>
      <c r="F45" s="289">
        <f t="shared" si="3"/>
        <v>100</v>
      </c>
      <c r="G45" s="293">
        <f t="shared" si="1"/>
        <v>0</v>
      </c>
      <c r="H45" s="291"/>
    </row>
    <row r="46" spans="2:8" ht="26.25" customHeight="1">
      <c r="B46" s="286"/>
      <c r="C46" s="287" t="s">
        <v>748</v>
      </c>
      <c r="D46" s="288">
        <v>6000000</v>
      </c>
      <c r="E46" s="288">
        <v>6000000</v>
      </c>
      <c r="F46" s="289">
        <f t="shared" si="3"/>
        <v>100</v>
      </c>
      <c r="G46" s="293">
        <f t="shared" si="1"/>
        <v>0</v>
      </c>
      <c r="H46" s="291"/>
    </row>
    <row r="47" spans="2:8" ht="26.25" customHeight="1">
      <c r="B47" s="286"/>
      <c r="C47" s="287" t="s">
        <v>749</v>
      </c>
      <c r="D47" s="288">
        <v>6000000</v>
      </c>
      <c r="E47" s="288">
        <v>2099685.9</v>
      </c>
      <c r="F47" s="289">
        <f t="shared" si="3"/>
        <v>34.994765000000001</v>
      </c>
      <c r="G47" s="293">
        <f t="shared" si="1"/>
        <v>3900314.1</v>
      </c>
      <c r="H47" s="291"/>
    </row>
    <row r="48" spans="2:8" ht="24.75" customHeight="1">
      <c r="B48" s="286"/>
      <c r="C48" s="287" t="s">
        <v>750</v>
      </c>
      <c r="D48" s="288">
        <v>6000000</v>
      </c>
      <c r="E48" s="288">
        <v>5999999.8600000003</v>
      </c>
      <c r="F48" s="289">
        <f t="shared" si="3"/>
        <v>99.999997666666673</v>
      </c>
      <c r="G48" s="293">
        <f t="shared" si="1"/>
        <v>0.13999999966472387</v>
      </c>
      <c r="H48" s="291"/>
    </row>
    <row r="49" spans="2:10" ht="36.6" customHeight="1">
      <c r="B49" s="286"/>
      <c r="C49" s="303" t="s">
        <v>751</v>
      </c>
      <c r="D49" s="304">
        <f>D50+D51</f>
        <v>15999171.199999999</v>
      </c>
      <c r="E49" s="304">
        <f>E50+E51</f>
        <v>15999171.199999999</v>
      </c>
      <c r="F49" s="278">
        <f>E49/D49*100</f>
        <v>100</v>
      </c>
      <c r="G49" s="304">
        <f t="shared" si="1"/>
        <v>0</v>
      </c>
      <c r="H49" s="305"/>
    </row>
    <row r="50" spans="2:10" ht="57.75" customHeight="1">
      <c r="B50" s="286"/>
      <c r="C50" s="306" t="s">
        <v>752</v>
      </c>
      <c r="D50" s="307">
        <v>7999171.2000000002</v>
      </c>
      <c r="E50" s="307">
        <f>D50</f>
        <v>7999171.2000000002</v>
      </c>
      <c r="F50" s="278">
        <f t="shared" ref="F50:F113" si="4">(E50/D50)*100</f>
        <v>100</v>
      </c>
      <c r="G50" s="308">
        <f t="shared" si="1"/>
        <v>0</v>
      </c>
      <c r="H50" s="309">
        <v>7999.1711999999998</v>
      </c>
    </row>
    <row r="51" spans="2:10" ht="81.75" customHeight="1">
      <c r="B51" s="286"/>
      <c r="C51" s="306" t="s">
        <v>754</v>
      </c>
      <c r="D51" s="307">
        <v>8000000</v>
      </c>
      <c r="E51" s="307">
        <f>D51</f>
        <v>8000000</v>
      </c>
      <c r="F51" s="310">
        <f t="shared" si="4"/>
        <v>100</v>
      </c>
      <c r="G51" s="308">
        <f t="shared" si="1"/>
        <v>0</v>
      </c>
      <c r="H51" s="309">
        <v>8000</v>
      </c>
    </row>
    <row r="52" spans="2:10" ht="106.5" customHeight="1">
      <c r="B52" s="311" t="s">
        <v>12</v>
      </c>
      <c r="C52" s="312" t="s">
        <v>112</v>
      </c>
      <c r="D52" s="301">
        <f>D53+D57+D62+D72+D81+D84+D85+D86+D95+D101</f>
        <v>1412016616.5500002</v>
      </c>
      <c r="E52" s="301">
        <f>E53+E57+E62+E72+E81+E84+E85+E86+E95+E101</f>
        <v>1410684424.9100003</v>
      </c>
      <c r="F52" s="257">
        <f t="shared" si="4"/>
        <v>99.905653260423037</v>
      </c>
      <c r="G52" s="301">
        <f t="shared" si="1"/>
        <v>1332191.6399998665</v>
      </c>
      <c r="H52" s="279"/>
      <c r="J52" s="249"/>
    </row>
    <row r="53" spans="2:10" ht="60" customHeight="1">
      <c r="B53" s="313"/>
      <c r="C53" s="314" t="s">
        <v>755</v>
      </c>
      <c r="D53" s="301">
        <f>D54+D55+D56</f>
        <v>75706657.700000003</v>
      </c>
      <c r="E53" s="301">
        <f>E54+E55+E56</f>
        <v>75095905</v>
      </c>
      <c r="F53" s="257">
        <f t="shared" si="4"/>
        <v>99.193264214066602</v>
      </c>
      <c r="G53" s="301">
        <f t="shared" si="1"/>
        <v>610752.70000000298</v>
      </c>
      <c r="H53" s="279"/>
    </row>
    <row r="54" spans="2:10" ht="60" customHeight="1">
      <c r="B54" s="313"/>
      <c r="C54" s="315" t="s">
        <v>14</v>
      </c>
      <c r="D54" s="369">
        <v>1206657.7</v>
      </c>
      <c r="E54" s="288">
        <v>685905</v>
      </c>
      <c r="F54" s="289">
        <f t="shared" si="4"/>
        <v>56.843378200793815</v>
      </c>
      <c r="G54" s="262">
        <f t="shared" si="1"/>
        <v>520752.69999999995</v>
      </c>
      <c r="H54" s="480">
        <f>685.905+810</f>
        <v>1495.905</v>
      </c>
    </row>
    <row r="55" spans="2:10" ht="60" customHeight="1">
      <c r="B55" s="313"/>
      <c r="C55" s="315" t="s">
        <v>756</v>
      </c>
      <c r="D55" s="369">
        <v>900000</v>
      </c>
      <c r="E55" s="288">
        <v>810000</v>
      </c>
      <c r="F55" s="289">
        <f>(E55/D55)*100</f>
        <v>90</v>
      </c>
      <c r="G55" s="262">
        <f>D55-E55</f>
        <v>90000</v>
      </c>
      <c r="H55" s="481"/>
    </row>
    <row r="56" spans="2:10" ht="33.6" customHeight="1">
      <c r="B56" s="286"/>
      <c r="C56" s="296" t="s">
        <v>757</v>
      </c>
      <c r="D56" s="635">
        <v>73600000</v>
      </c>
      <c r="E56" s="316">
        <v>73600000</v>
      </c>
      <c r="F56" s="289">
        <f t="shared" si="4"/>
        <v>100</v>
      </c>
      <c r="G56" s="262">
        <v>73600</v>
      </c>
      <c r="H56" s="290"/>
    </row>
    <row r="57" spans="2:10" ht="61.5" customHeight="1">
      <c r="B57" s="286"/>
      <c r="C57" s="317" t="s">
        <v>36</v>
      </c>
      <c r="D57" s="307">
        <f>D58+D59+D60+D61</f>
        <v>44820</v>
      </c>
      <c r="E57" s="318">
        <f>E58+E59+E60+E61</f>
        <v>32389.599999999999</v>
      </c>
      <c r="F57" s="257">
        <f t="shared" si="4"/>
        <v>72.265952699687645</v>
      </c>
      <c r="G57" s="258">
        <f t="shared" si="1"/>
        <v>12430.400000000001</v>
      </c>
      <c r="H57" s="279">
        <v>32.389000000000003</v>
      </c>
    </row>
    <row r="58" spans="2:10" ht="22.5" customHeight="1">
      <c r="B58" s="286"/>
      <c r="C58" s="319" t="s">
        <v>758</v>
      </c>
      <c r="D58" s="316">
        <v>4270.3999999999996</v>
      </c>
      <c r="E58" s="316">
        <v>0</v>
      </c>
      <c r="F58" s="289">
        <f t="shared" si="4"/>
        <v>0</v>
      </c>
      <c r="G58" s="262">
        <f t="shared" si="1"/>
        <v>4270.3999999999996</v>
      </c>
      <c r="H58" s="279" t="s">
        <v>758</v>
      </c>
    </row>
    <row r="59" spans="2:10" ht="39" customHeight="1">
      <c r="B59" s="286"/>
      <c r="C59" s="320" t="s">
        <v>759</v>
      </c>
      <c r="D59" s="316">
        <v>11000</v>
      </c>
      <c r="E59" s="316">
        <v>11000</v>
      </c>
      <c r="F59" s="289">
        <f t="shared" si="4"/>
        <v>100</v>
      </c>
      <c r="G59" s="262">
        <f t="shared" si="1"/>
        <v>0</v>
      </c>
      <c r="H59" s="321" t="s">
        <v>760</v>
      </c>
    </row>
    <row r="60" spans="2:10" ht="44.25" customHeight="1">
      <c r="B60" s="286"/>
      <c r="C60" s="319" t="s">
        <v>761</v>
      </c>
      <c r="D60" s="316">
        <v>21389.599999999999</v>
      </c>
      <c r="E60" s="316">
        <v>21389.599999999999</v>
      </c>
      <c r="F60" s="289">
        <f t="shared" si="4"/>
        <v>100</v>
      </c>
      <c r="G60" s="262">
        <f t="shared" si="1"/>
        <v>0</v>
      </c>
      <c r="H60" s="319" t="s">
        <v>762</v>
      </c>
    </row>
    <row r="61" spans="2:10" ht="25.15" customHeight="1">
      <c r="B61" s="286"/>
      <c r="C61" s="264" t="s">
        <v>763</v>
      </c>
      <c r="D61" s="322">
        <v>8160</v>
      </c>
      <c r="E61" s="322">
        <v>0</v>
      </c>
      <c r="F61" s="257">
        <f t="shared" si="4"/>
        <v>0</v>
      </c>
      <c r="G61" s="262">
        <f t="shared" si="1"/>
        <v>8160</v>
      </c>
      <c r="H61" s="264" t="s">
        <v>764</v>
      </c>
    </row>
    <row r="62" spans="2:10" ht="39.75" customHeight="1">
      <c r="B62" s="286"/>
      <c r="C62" s="323" t="s">
        <v>765</v>
      </c>
      <c r="D62" s="304">
        <f>D63+D64+D65+D66+D67+D68+D69+D70+D71</f>
        <v>1184378090.0300002</v>
      </c>
      <c r="E62" s="301">
        <f>E63+E64+E65+E66+E67+E68+E69+E70+E71</f>
        <v>1184378090.0300002</v>
      </c>
      <c r="F62" s="257">
        <f t="shared" si="4"/>
        <v>100</v>
      </c>
      <c r="G62" s="258">
        <f t="shared" si="1"/>
        <v>0</v>
      </c>
      <c r="H62" s="279">
        <v>1148547.1000000001</v>
      </c>
    </row>
    <row r="63" spans="2:10" ht="24.75" customHeight="1">
      <c r="B63" s="286"/>
      <c r="C63" s="319" t="s">
        <v>764</v>
      </c>
      <c r="D63" s="288">
        <v>100023729.44</v>
      </c>
      <c r="E63" s="288">
        <f t="shared" ref="E63:E70" si="5">D63</f>
        <v>100023729.44</v>
      </c>
      <c r="F63" s="289">
        <f t="shared" si="4"/>
        <v>100</v>
      </c>
      <c r="G63" s="262">
        <f t="shared" si="1"/>
        <v>0</v>
      </c>
      <c r="H63" s="478">
        <f>D62-D71</f>
        <v>1148547099.0200002</v>
      </c>
    </row>
    <row r="64" spans="2:10" ht="22.5" customHeight="1">
      <c r="B64" s="286"/>
      <c r="C64" s="320" t="s">
        <v>758</v>
      </c>
      <c r="D64" s="288">
        <v>105759697.13</v>
      </c>
      <c r="E64" s="288">
        <f t="shared" si="5"/>
        <v>105759697.13</v>
      </c>
      <c r="F64" s="289">
        <f t="shared" si="4"/>
        <v>100</v>
      </c>
      <c r="G64" s="262">
        <f t="shared" si="1"/>
        <v>0</v>
      </c>
      <c r="H64" s="324" t="s">
        <v>758</v>
      </c>
    </row>
    <row r="65" spans="2:10" ht="24.75" customHeight="1">
      <c r="B65" s="286"/>
      <c r="C65" s="320" t="s">
        <v>759</v>
      </c>
      <c r="D65" s="288">
        <v>127972207.17</v>
      </c>
      <c r="E65" s="288">
        <f t="shared" si="5"/>
        <v>127972207.17</v>
      </c>
      <c r="F65" s="289">
        <f t="shared" si="4"/>
        <v>100</v>
      </c>
      <c r="G65" s="262">
        <f t="shared" si="1"/>
        <v>0</v>
      </c>
      <c r="H65" s="324" t="s">
        <v>759</v>
      </c>
    </row>
    <row r="66" spans="2:10" ht="24.75" customHeight="1">
      <c r="B66" s="286"/>
      <c r="C66" s="319" t="s">
        <v>766</v>
      </c>
      <c r="D66" s="325">
        <v>155736849.72999999</v>
      </c>
      <c r="E66" s="316">
        <f t="shared" si="5"/>
        <v>155736849.72999999</v>
      </c>
      <c r="F66" s="289">
        <f t="shared" si="4"/>
        <v>100</v>
      </c>
      <c r="G66" s="262">
        <f t="shared" si="1"/>
        <v>0</v>
      </c>
      <c r="H66" s="264" t="s">
        <v>766</v>
      </c>
      <c r="J66" s="249"/>
    </row>
    <row r="67" spans="2:10" ht="24.75" customHeight="1">
      <c r="B67" s="286"/>
      <c r="C67" s="319" t="s">
        <v>767</v>
      </c>
      <c r="D67" s="325">
        <v>119182289.73999999</v>
      </c>
      <c r="E67" s="316">
        <f t="shared" si="5"/>
        <v>119182289.73999999</v>
      </c>
      <c r="F67" s="289">
        <f t="shared" si="4"/>
        <v>100</v>
      </c>
      <c r="G67" s="262">
        <f>SUM(D62,D71)</f>
        <v>1220209081.0400002</v>
      </c>
      <c r="H67" s="264" t="s">
        <v>768</v>
      </c>
    </row>
    <row r="68" spans="2:10" ht="24.75" customHeight="1">
      <c r="B68" s="286"/>
      <c r="C68" s="319" t="s">
        <v>762</v>
      </c>
      <c r="D68" s="325">
        <v>434443487.94</v>
      </c>
      <c r="E68" s="316">
        <f t="shared" si="5"/>
        <v>434443487.94</v>
      </c>
      <c r="F68" s="289">
        <f t="shared" si="4"/>
        <v>100</v>
      </c>
      <c r="G68" s="262">
        <f t="shared" si="1"/>
        <v>0</v>
      </c>
      <c r="H68" s="264" t="s">
        <v>762</v>
      </c>
    </row>
    <row r="69" spans="2:10" ht="24.75" customHeight="1">
      <c r="B69" s="286"/>
      <c r="C69" s="319" t="s">
        <v>769</v>
      </c>
      <c r="D69" s="325">
        <v>33974668.700000003</v>
      </c>
      <c r="E69" s="316">
        <f t="shared" si="5"/>
        <v>33974668.700000003</v>
      </c>
      <c r="F69" s="289">
        <f t="shared" si="4"/>
        <v>100</v>
      </c>
      <c r="G69" s="262">
        <f t="shared" si="1"/>
        <v>0</v>
      </c>
      <c r="H69" s="264">
        <v>1148547.0989999999</v>
      </c>
    </row>
    <row r="70" spans="2:10" ht="34.5" customHeight="1">
      <c r="B70" s="286"/>
      <c r="C70" s="319" t="s">
        <v>771</v>
      </c>
      <c r="D70" s="325">
        <v>71454169.170000002</v>
      </c>
      <c r="E70" s="316">
        <f t="shared" si="5"/>
        <v>71454169.170000002</v>
      </c>
      <c r="F70" s="289">
        <f t="shared" si="4"/>
        <v>100</v>
      </c>
      <c r="G70" s="262">
        <f t="shared" si="1"/>
        <v>0</v>
      </c>
      <c r="H70" s="479">
        <f>SUM(E63:E70)</f>
        <v>1148547099.0200002</v>
      </c>
      <c r="J70" s="249"/>
    </row>
    <row r="71" spans="2:10" ht="34.5" customHeight="1">
      <c r="B71" s="286"/>
      <c r="C71" s="319" t="s">
        <v>772</v>
      </c>
      <c r="D71" s="654">
        <v>35830991.009999998</v>
      </c>
      <c r="E71" s="316">
        <v>35830991.009999998</v>
      </c>
      <c r="F71" s="289">
        <f t="shared" si="4"/>
        <v>100</v>
      </c>
      <c r="G71" s="262">
        <f t="shared" ref="G71:G100" si="6">D71-E71</f>
        <v>0</v>
      </c>
      <c r="H71" s="264">
        <v>35830.991009999998</v>
      </c>
      <c r="J71" s="249"/>
    </row>
    <row r="72" spans="2:10" ht="50.25" customHeight="1">
      <c r="B72" s="1202"/>
      <c r="C72" s="294" t="s">
        <v>773</v>
      </c>
      <c r="D72" s="636">
        <v>6246647.0599999996</v>
      </c>
      <c r="E72" s="283">
        <f>E73+E80+E74+E75+E76+E77+E78+E79</f>
        <v>6122491.1400000006</v>
      </c>
      <c r="F72" s="326">
        <f t="shared" si="4"/>
        <v>98.012439012361952</v>
      </c>
      <c r="G72" s="327">
        <f t="shared" si="6"/>
        <v>124155.91999999899</v>
      </c>
      <c r="H72" s="328"/>
    </row>
    <row r="73" spans="2:10" ht="33.75" customHeight="1">
      <c r="B73" s="1203"/>
      <c r="C73" s="319" t="s">
        <v>764</v>
      </c>
      <c r="D73" s="322">
        <v>291123.51</v>
      </c>
      <c r="E73" s="322">
        <v>291123.51</v>
      </c>
      <c r="F73" s="289">
        <f t="shared" si="4"/>
        <v>100</v>
      </c>
      <c r="G73" s="329">
        <f t="shared" si="6"/>
        <v>0</v>
      </c>
      <c r="H73" s="319" t="s">
        <v>764</v>
      </c>
    </row>
    <row r="74" spans="2:10" ht="33.75" customHeight="1">
      <c r="B74" s="330"/>
      <c r="C74" s="320" t="s">
        <v>758</v>
      </c>
      <c r="D74" s="322">
        <v>683650.24</v>
      </c>
      <c r="E74" s="322">
        <f>D74</f>
        <v>683650.24</v>
      </c>
      <c r="F74" s="289">
        <f t="shared" si="4"/>
        <v>100</v>
      </c>
      <c r="G74" s="329">
        <f t="shared" si="6"/>
        <v>0</v>
      </c>
      <c r="H74" s="324" t="s">
        <v>758</v>
      </c>
    </row>
    <row r="75" spans="2:10" ht="33.75" customHeight="1">
      <c r="B75" s="331"/>
      <c r="C75" s="320" t="s">
        <v>759</v>
      </c>
      <c r="D75" s="322">
        <v>465977.72</v>
      </c>
      <c r="E75" s="322">
        <f>D75</f>
        <v>465977.72</v>
      </c>
      <c r="F75" s="289">
        <f t="shared" si="4"/>
        <v>100</v>
      </c>
      <c r="G75" s="329">
        <f t="shared" si="6"/>
        <v>0</v>
      </c>
      <c r="H75" s="324" t="s">
        <v>759</v>
      </c>
    </row>
    <row r="76" spans="2:10" ht="33.75" customHeight="1">
      <c r="B76" s="331"/>
      <c r="C76" s="319" t="s">
        <v>766</v>
      </c>
      <c r="D76" s="322">
        <v>1292748.77</v>
      </c>
      <c r="E76" s="322">
        <f>D76</f>
        <v>1292748.77</v>
      </c>
      <c r="F76" s="289">
        <f t="shared" si="4"/>
        <v>100</v>
      </c>
      <c r="G76" s="329">
        <f t="shared" si="6"/>
        <v>0</v>
      </c>
      <c r="H76" s="264" t="s">
        <v>766</v>
      </c>
    </row>
    <row r="77" spans="2:10" ht="33.75" customHeight="1">
      <c r="B77" s="331"/>
      <c r="C77" s="319" t="s">
        <v>767</v>
      </c>
      <c r="D77" s="322">
        <v>335742.67</v>
      </c>
      <c r="E77" s="322">
        <v>335742.67</v>
      </c>
      <c r="F77" s="289">
        <f t="shared" si="4"/>
        <v>100</v>
      </c>
      <c r="G77" s="329">
        <f t="shared" si="6"/>
        <v>0</v>
      </c>
      <c r="H77" s="264" t="s">
        <v>768</v>
      </c>
    </row>
    <row r="78" spans="2:10" ht="33.75" customHeight="1">
      <c r="B78" s="331"/>
      <c r="C78" s="319" t="s">
        <v>762</v>
      </c>
      <c r="D78" s="322">
        <v>1778818.1</v>
      </c>
      <c r="E78" s="332">
        <v>1778818.1</v>
      </c>
      <c r="F78" s="289">
        <f t="shared" si="4"/>
        <v>100</v>
      </c>
      <c r="G78" s="329">
        <f t="shared" si="6"/>
        <v>0</v>
      </c>
      <c r="H78" s="264" t="s">
        <v>762</v>
      </c>
    </row>
    <row r="79" spans="2:10" ht="33.75" customHeight="1">
      <c r="B79" s="331"/>
      <c r="C79" s="319" t="s">
        <v>769</v>
      </c>
      <c r="D79" s="322">
        <v>164812.07999999999</v>
      </c>
      <c r="E79" s="322">
        <v>164812.07999999999</v>
      </c>
      <c r="F79" s="289">
        <f t="shared" si="4"/>
        <v>100</v>
      </c>
      <c r="G79" s="329">
        <f t="shared" si="6"/>
        <v>0</v>
      </c>
      <c r="H79" s="264" t="s">
        <v>770</v>
      </c>
    </row>
    <row r="80" spans="2:10" ht="24.75" customHeight="1">
      <c r="B80" s="331"/>
      <c r="C80" s="319" t="s">
        <v>771</v>
      </c>
      <c r="D80" s="333">
        <v>1109618.05</v>
      </c>
      <c r="E80" s="333">
        <f>D80</f>
        <v>1109618.05</v>
      </c>
      <c r="F80" s="289">
        <f t="shared" si="4"/>
        <v>100</v>
      </c>
      <c r="G80" s="329">
        <f t="shared" si="6"/>
        <v>0</v>
      </c>
      <c r="H80" s="264" t="s">
        <v>763</v>
      </c>
    </row>
    <row r="81" spans="2:10" ht="42" customHeight="1">
      <c r="B81" s="331"/>
      <c r="C81" s="294" t="s">
        <v>330</v>
      </c>
      <c r="D81" s="637">
        <f>D82+D83</f>
        <v>118588.95999999999</v>
      </c>
      <c r="E81" s="334">
        <f>E82+E83</f>
        <v>118588.95999999999</v>
      </c>
      <c r="F81" s="257">
        <f>(E81/D81)*100</f>
        <v>100</v>
      </c>
      <c r="G81" s="335">
        <f t="shared" si="6"/>
        <v>0</v>
      </c>
      <c r="H81" s="336">
        <v>118.58896</v>
      </c>
    </row>
    <row r="82" spans="2:10" ht="42" customHeight="1">
      <c r="B82" s="331"/>
      <c r="C82" s="337" t="s">
        <v>771</v>
      </c>
      <c r="D82" s="338">
        <v>60000</v>
      </c>
      <c r="E82" s="338">
        <f>D82</f>
        <v>60000</v>
      </c>
      <c r="F82" s="289">
        <f>(E82/D82)*100</f>
        <v>100</v>
      </c>
      <c r="G82" s="329">
        <f t="shared" si="6"/>
        <v>0</v>
      </c>
      <c r="H82" s="264" t="s">
        <v>763</v>
      </c>
    </row>
    <row r="83" spans="2:10" ht="24.75" customHeight="1">
      <c r="B83" s="331"/>
      <c r="C83" s="319" t="s">
        <v>762</v>
      </c>
      <c r="D83" s="338">
        <v>58588.959999999999</v>
      </c>
      <c r="E83" s="338">
        <f>D83</f>
        <v>58588.959999999999</v>
      </c>
      <c r="F83" s="289">
        <f>(E83/D83)*100</f>
        <v>100</v>
      </c>
      <c r="G83" s="329">
        <f t="shared" si="6"/>
        <v>0</v>
      </c>
      <c r="H83" s="319" t="s">
        <v>762</v>
      </c>
    </row>
    <row r="84" spans="2:10" ht="29.25" customHeight="1">
      <c r="B84" s="331"/>
      <c r="C84" s="294" t="s">
        <v>774</v>
      </c>
      <c r="D84" s="637">
        <v>80000000</v>
      </c>
      <c r="E84" s="334">
        <f>D84</f>
        <v>80000000</v>
      </c>
      <c r="F84" s="339">
        <f t="shared" si="4"/>
        <v>100</v>
      </c>
      <c r="G84" s="335">
        <f t="shared" si="6"/>
        <v>0</v>
      </c>
      <c r="H84" s="294">
        <v>80000</v>
      </c>
    </row>
    <row r="85" spans="2:10" ht="31.5" customHeight="1">
      <c r="B85" s="331"/>
      <c r="C85" s="294" t="s">
        <v>776</v>
      </c>
      <c r="D85" s="637">
        <v>795680</v>
      </c>
      <c r="E85" s="334">
        <v>557972</v>
      </c>
      <c r="F85" s="257">
        <f t="shared" si="4"/>
        <v>70.125175950130696</v>
      </c>
      <c r="G85" s="335">
        <f t="shared" si="6"/>
        <v>237708</v>
      </c>
      <c r="H85" s="294">
        <v>557.97199999999998</v>
      </c>
    </row>
    <row r="86" spans="2:10" ht="31.5" customHeight="1">
      <c r="B86" s="331"/>
      <c r="C86" s="294" t="s">
        <v>777</v>
      </c>
      <c r="D86" s="637">
        <v>7144627.5</v>
      </c>
      <c r="E86" s="334">
        <f>E87+E88+E89+E90+E91+E92+E93+E94</f>
        <v>6797482.8799999999</v>
      </c>
      <c r="F86" s="257">
        <f>(E86/D86)*100</f>
        <v>95.141179578641427</v>
      </c>
      <c r="G86" s="335">
        <f t="shared" si="6"/>
        <v>347144.62000000011</v>
      </c>
      <c r="H86" s="340">
        <v>6797.4828799999996</v>
      </c>
    </row>
    <row r="87" spans="2:10" ht="31.5" customHeight="1">
      <c r="B87" s="331"/>
      <c r="C87" s="319" t="s">
        <v>762</v>
      </c>
      <c r="D87" s="338">
        <f>5512387+257860</f>
        <v>5770247</v>
      </c>
      <c r="E87" s="338">
        <f t="shared" ref="E87:E94" si="7">D87</f>
        <v>5770247</v>
      </c>
      <c r="F87" s="289">
        <f t="shared" si="4"/>
        <v>100</v>
      </c>
      <c r="G87" s="335">
        <f t="shared" si="6"/>
        <v>0</v>
      </c>
      <c r="H87" s="337" t="s">
        <v>775</v>
      </c>
    </row>
    <row r="88" spans="2:10" ht="31.5" customHeight="1">
      <c r="B88" s="331"/>
      <c r="C88" s="320" t="s">
        <v>764</v>
      </c>
      <c r="D88" s="338">
        <v>181685.88</v>
      </c>
      <c r="E88" s="338">
        <f t="shared" si="7"/>
        <v>181685.88</v>
      </c>
      <c r="F88" s="289">
        <f t="shared" si="4"/>
        <v>100</v>
      </c>
      <c r="G88" s="335">
        <f t="shared" si="6"/>
        <v>0</v>
      </c>
      <c r="H88" s="296"/>
    </row>
    <row r="89" spans="2:10" ht="31.5" customHeight="1">
      <c r="B89" s="331"/>
      <c r="C89" s="320" t="s">
        <v>767</v>
      </c>
      <c r="D89" s="338">
        <v>51060</v>
      </c>
      <c r="E89" s="338">
        <f t="shared" si="7"/>
        <v>51060</v>
      </c>
      <c r="F89" s="289">
        <f t="shared" si="4"/>
        <v>100</v>
      </c>
      <c r="G89" s="335">
        <f t="shared" si="6"/>
        <v>0</v>
      </c>
      <c r="H89" s="296" t="s">
        <v>767</v>
      </c>
    </row>
    <row r="90" spans="2:10" ht="31.5" customHeight="1">
      <c r="B90" s="331"/>
      <c r="C90" s="320" t="s">
        <v>769</v>
      </c>
      <c r="D90" s="338">
        <v>141880</v>
      </c>
      <c r="E90" s="338">
        <f t="shared" si="7"/>
        <v>141880</v>
      </c>
      <c r="F90" s="289">
        <f t="shared" si="4"/>
        <v>100</v>
      </c>
      <c r="G90" s="335">
        <f t="shared" si="6"/>
        <v>0</v>
      </c>
      <c r="H90" s="296" t="s">
        <v>769</v>
      </c>
    </row>
    <row r="91" spans="2:10" ht="51" customHeight="1">
      <c r="B91" s="331"/>
      <c r="C91" s="320" t="s">
        <v>766</v>
      </c>
      <c r="D91" s="338">
        <v>364390</v>
      </c>
      <c r="E91" s="338">
        <f t="shared" si="7"/>
        <v>364390</v>
      </c>
      <c r="F91" s="289">
        <f t="shared" si="4"/>
        <v>100</v>
      </c>
      <c r="G91" s="335">
        <f t="shared" si="6"/>
        <v>0</v>
      </c>
      <c r="H91" s="296" t="s">
        <v>766</v>
      </c>
    </row>
    <row r="92" spans="2:10" ht="31.5" customHeight="1">
      <c r="B92" s="331"/>
      <c r="C92" s="320" t="s">
        <v>758</v>
      </c>
      <c r="D92" s="338">
        <v>101460</v>
      </c>
      <c r="E92" s="338">
        <f t="shared" si="7"/>
        <v>101460</v>
      </c>
      <c r="F92" s="289">
        <f t="shared" si="4"/>
        <v>100</v>
      </c>
      <c r="G92" s="335">
        <f t="shared" si="6"/>
        <v>0</v>
      </c>
      <c r="H92" s="299" t="s">
        <v>758</v>
      </c>
    </row>
    <row r="93" spans="2:10" ht="31.5" customHeight="1">
      <c r="B93" s="331"/>
      <c r="C93" s="320" t="s">
        <v>759</v>
      </c>
      <c r="D93" s="338">
        <v>38120</v>
      </c>
      <c r="E93" s="338">
        <f t="shared" si="7"/>
        <v>38120</v>
      </c>
      <c r="F93" s="289">
        <f t="shared" si="4"/>
        <v>100</v>
      </c>
      <c r="G93" s="335">
        <f t="shared" si="6"/>
        <v>0</v>
      </c>
      <c r="H93" s="320" t="s">
        <v>759</v>
      </c>
    </row>
    <row r="94" spans="2:10" ht="31.5" customHeight="1">
      <c r="B94" s="331"/>
      <c r="C94" s="320" t="s">
        <v>771</v>
      </c>
      <c r="D94" s="338">
        <v>148640</v>
      </c>
      <c r="E94" s="338">
        <f t="shared" si="7"/>
        <v>148640</v>
      </c>
      <c r="F94" s="289">
        <f t="shared" si="4"/>
        <v>100</v>
      </c>
      <c r="G94" s="335">
        <f t="shared" si="6"/>
        <v>0</v>
      </c>
      <c r="H94" s="320" t="s">
        <v>771</v>
      </c>
    </row>
    <row r="95" spans="2:10" ht="60" customHeight="1">
      <c r="B95" s="286"/>
      <c r="C95" s="341" t="s">
        <v>78</v>
      </c>
      <c r="D95" s="351">
        <f>D96+D97+D98+D99+D100</f>
        <v>47800000</v>
      </c>
      <c r="E95" s="342">
        <f>E96+E97+E98+E99+E100</f>
        <v>47800000</v>
      </c>
      <c r="F95" s="339">
        <f t="shared" si="4"/>
        <v>100</v>
      </c>
      <c r="G95" s="329">
        <f t="shared" si="6"/>
        <v>0</v>
      </c>
      <c r="H95" s="343" t="s">
        <v>733</v>
      </c>
      <c r="J95" s="249"/>
    </row>
    <row r="96" spans="2:10" ht="38.25" customHeight="1">
      <c r="B96" s="286"/>
      <c r="C96" s="319" t="s">
        <v>734</v>
      </c>
      <c r="D96" s="344">
        <v>8081779</v>
      </c>
      <c r="E96" s="344">
        <v>8081779</v>
      </c>
      <c r="F96" s="345">
        <f t="shared" si="4"/>
        <v>100</v>
      </c>
      <c r="G96" s="329">
        <f t="shared" si="6"/>
        <v>0</v>
      </c>
      <c r="H96" s="346"/>
    </row>
    <row r="97" spans="2:10" ht="38.25" customHeight="1">
      <c r="B97" s="286"/>
      <c r="C97" s="319" t="s">
        <v>735</v>
      </c>
      <c r="D97" s="344">
        <v>8416227</v>
      </c>
      <c r="E97" s="322">
        <v>8416227</v>
      </c>
      <c r="F97" s="345">
        <f t="shared" si="4"/>
        <v>100</v>
      </c>
      <c r="G97" s="329">
        <f t="shared" si="6"/>
        <v>0</v>
      </c>
      <c r="H97" s="346"/>
    </row>
    <row r="98" spans="2:10" ht="29.25" customHeight="1">
      <c r="B98" s="286"/>
      <c r="C98" s="319" t="s">
        <v>744</v>
      </c>
      <c r="D98" s="344">
        <v>14565005</v>
      </c>
      <c r="E98" s="344">
        <v>14565005</v>
      </c>
      <c r="F98" s="345">
        <f t="shared" si="4"/>
        <v>100</v>
      </c>
      <c r="G98" s="329">
        <f t="shared" si="6"/>
        <v>0</v>
      </c>
      <c r="H98" s="346"/>
    </row>
    <row r="99" spans="2:10" ht="29.25" customHeight="1">
      <c r="B99" s="286"/>
      <c r="C99" s="319" t="s">
        <v>745</v>
      </c>
      <c r="D99" s="344">
        <v>13904349</v>
      </c>
      <c r="E99" s="322">
        <v>13904349</v>
      </c>
      <c r="F99" s="345">
        <f t="shared" si="4"/>
        <v>100</v>
      </c>
      <c r="G99" s="329">
        <f t="shared" si="6"/>
        <v>0</v>
      </c>
      <c r="H99" s="346"/>
    </row>
    <row r="100" spans="2:10" ht="30.75" customHeight="1">
      <c r="B100" s="286"/>
      <c r="C100" s="319" t="s">
        <v>778</v>
      </c>
      <c r="D100" s="344">
        <v>2832640</v>
      </c>
      <c r="E100" s="322">
        <v>2832640</v>
      </c>
      <c r="F100" s="345">
        <f t="shared" si="4"/>
        <v>100</v>
      </c>
      <c r="G100" s="329">
        <f t="shared" si="6"/>
        <v>0</v>
      </c>
      <c r="H100" s="346"/>
    </row>
    <row r="101" spans="2:10" ht="39" customHeight="1">
      <c r="B101" s="347"/>
      <c r="C101" s="348" t="s">
        <v>751</v>
      </c>
      <c r="D101" s="277">
        <f>D102+D106</f>
        <v>9781505.3000000007</v>
      </c>
      <c r="E101" s="277">
        <f>E102+E106</f>
        <v>9781505.3000000007</v>
      </c>
      <c r="F101" s="349">
        <f t="shared" si="4"/>
        <v>100</v>
      </c>
      <c r="G101" s="277">
        <f>G102+G106</f>
        <v>0</v>
      </c>
      <c r="H101" s="279"/>
    </row>
    <row r="102" spans="2:10" ht="50.25" customHeight="1">
      <c r="B102" s="347"/>
      <c r="C102" s="350" t="s">
        <v>147</v>
      </c>
      <c r="D102" s="351">
        <f>D103</f>
        <v>4859956</v>
      </c>
      <c r="E102" s="351">
        <f>E103</f>
        <v>4859956</v>
      </c>
      <c r="F102" s="278">
        <f t="shared" si="4"/>
        <v>100</v>
      </c>
      <c r="G102" s="308">
        <f t="shared" ref="G102:G117" si="8">D102-E102</f>
        <v>0</v>
      </c>
      <c r="H102" s="291" t="s">
        <v>753</v>
      </c>
    </row>
    <row r="103" spans="2:10" ht="54.75" customHeight="1">
      <c r="B103" s="347"/>
      <c r="C103" s="352" t="s">
        <v>779</v>
      </c>
      <c r="D103" s="353">
        <f>D104+D105</f>
        <v>4859956</v>
      </c>
      <c r="E103" s="353">
        <f>E104+E105</f>
        <v>4859956</v>
      </c>
      <c r="F103" s="278">
        <f t="shared" si="4"/>
        <v>100</v>
      </c>
      <c r="G103" s="308">
        <f t="shared" si="8"/>
        <v>0</v>
      </c>
      <c r="H103" s="290"/>
    </row>
    <row r="104" spans="2:10" ht="22.9" customHeight="1">
      <c r="B104" s="347"/>
      <c r="C104" s="354" t="s">
        <v>780</v>
      </c>
      <c r="D104" s="355">
        <v>4568358.6399999997</v>
      </c>
      <c r="E104" s="355">
        <v>4568358.6399999997</v>
      </c>
      <c r="F104" s="310">
        <f t="shared" si="4"/>
        <v>100</v>
      </c>
      <c r="G104" s="356">
        <f t="shared" si="8"/>
        <v>0</v>
      </c>
      <c r="H104" s="290">
        <v>4568.3586400000004</v>
      </c>
    </row>
    <row r="105" spans="2:10" ht="22.9" customHeight="1">
      <c r="B105" s="347"/>
      <c r="C105" s="354" t="s">
        <v>724</v>
      </c>
      <c r="D105" s="355">
        <v>291597.36</v>
      </c>
      <c r="E105" s="355">
        <v>291597.36</v>
      </c>
      <c r="F105" s="310">
        <f t="shared" si="4"/>
        <v>100</v>
      </c>
      <c r="G105" s="356">
        <f t="shared" si="8"/>
        <v>0</v>
      </c>
      <c r="H105" s="290">
        <v>291.59735999999998</v>
      </c>
    </row>
    <row r="106" spans="2:10" ht="34.5" customHeight="1">
      <c r="B106" s="347"/>
      <c r="C106" s="350" t="s">
        <v>146</v>
      </c>
      <c r="D106" s="353">
        <f>D107+D108</f>
        <v>4921549.3</v>
      </c>
      <c r="E106" s="353">
        <f>E107+E108</f>
        <v>4921549.3</v>
      </c>
      <c r="F106" s="349">
        <f t="shared" si="4"/>
        <v>100</v>
      </c>
      <c r="G106" s="308">
        <f t="shared" si="8"/>
        <v>0</v>
      </c>
      <c r="H106" s="291" t="s">
        <v>753</v>
      </c>
      <c r="J106" s="249"/>
    </row>
    <row r="107" spans="2:10" ht="23.45" customHeight="1">
      <c r="B107" s="347"/>
      <c r="C107" s="354" t="s">
        <v>780</v>
      </c>
      <c r="D107" s="357">
        <v>3494300</v>
      </c>
      <c r="E107" s="355">
        <v>3494300</v>
      </c>
      <c r="F107" s="349">
        <f t="shared" si="4"/>
        <v>100</v>
      </c>
      <c r="G107" s="358">
        <f t="shared" si="8"/>
        <v>0</v>
      </c>
      <c r="H107" s="290">
        <v>3494.3</v>
      </c>
    </row>
    <row r="108" spans="2:10" ht="22.9" customHeight="1">
      <c r="B108" s="347"/>
      <c r="C108" s="354" t="s">
        <v>724</v>
      </c>
      <c r="D108" s="359">
        <v>1427249.3</v>
      </c>
      <c r="E108" s="355">
        <v>1427249.3</v>
      </c>
      <c r="F108" s="349">
        <f t="shared" si="4"/>
        <v>100</v>
      </c>
      <c r="G108" s="356">
        <f t="shared" si="8"/>
        <v>0</v>
      </c>
      <c r="H108" s="290">
        <v>1427.2492999999999</v>
      </c>
    </row>
    <row r="109" spans="2:10" ht="38.450000000000003" customHeight="1">
      <c r="B109" s="360" t="s">
        <v>17</v>
      </c>
      <c r="C109" s="361" t="s">
        <v>18</v>
      </c>
      <c r="D109" s="301">
        <f>D110+D113+D111+D112+D115</f>
        <v>115327445.99000001</v>
      </c>
      <c r="E109" s="301">
        <f>E110+E113+E111+E112+E115</f>
        <v>114527078.22</v>
      </c>
      <c r="F109" s="257">
        <f t="shared" si="4"/>
        <v>99.306004079835944</v>
      </c>
      <c r="G109" s="258">
        <f t="shared" si="8"/>
        <v>800367.77000001073</v>
      </c>
      <c r="H109" s="279"/>
    </row>
    <row r="110" spans="2:10" ht="34.5" customHeight="1">
      <c r="B110" s="362"/>
      <c r="C110" s="363" t="s">
        <v>781</v>
      </c>
      <c r="D110" s="261">
        <v>6000000</v>
      </c>
      <c r="E110" s="288">
        <v>6000000</v>
      </c>
      <c r="F110" s="289">
        <f t="shared" si="4"/>
        <v>100</v>
      </c>
      <c r="G110" s="262">
        <f t="shared" si="8"/>
        <v>0</v>
      </c>
      <c r="H110" s="364">
        <v>6000</v>
      </c>
    </row>
    <row r="111" spans="2:10" ht="30" customHeight="1">
      <c r="B111" s="362"/>
      <c r="C111" s="365" t="s">
        <v>782</v>
      </c>
      <c r="D111" s="261">
        <v>1124568.29</v>
      </c>
      <c r="E111" s="297">
        <v>1124568.29</v>
      </c>
      <c r="F111" s="289">
        <f t="shared" si="4"/>
        <v>100</v>
      </c>
      <c r="G111" s="262">
        <f t="shared" si="8"/>
        <v>0</v>
      </c>
      <c r="H111" s="364" t="s">
        <v>360</v>
      </c>
    </row>
    <row r="112" spans="2:10" ht="30" customHeight="1">
      <c r="B112" s="362"/>
      <c r="C112" s="365" t="s">
        <v>461</v>
      </c>
      <c r="D112" s="261">
        <v>4801729.78</v>
      </c>
      <c r="E112" s="297">
        <v>4230855</v>
      </c>
      <c r="F112" s="289">
        <f t="shared" si="4"/>
        <v>88.11105984393815</v>
      </c>
      <c r="G112" s="262">
        <f t="shared" si="8"/>
        <v>570874.78000000026</v>
      </c>
      <c r="H112" s="364">
        <v>4801.7297799999997</v>
      </c>
    </row>
    <row r="113" spans="2:8" ht="46.5" customHeight="1">
      <c r="B113" s="366"/>
      <c r="C113" s="303" t="s">
        <v>751</v>
      </c>
      <c r="D113" s="353">
        <f>D114</f>
        <v>4312500</v>
      </c>
      <c r="E113" s="353">
        <f>E114</f>
        <v>4312500</v>
      </c>
      <c r="F113" s="278">
        <f t="shared" si="4"/>
        <v>100</v>
      </c>
      <c r="G113" s="308">
        <f t="shared" si="8"/>
        <v>0</v>
      </c>
      <c r="H113" s="259"/>
    </row>
    <row r="114" spans="2:8" ht="29.25" customHeight="1">
      <c r="B114" s="367"/>
      <c r="C114" s="368" t="s">
        <v>44</v>
      </c>
      <c r="D114" s="355">
        <v>4312500</v>
      </c>
      <c r="E114" s="369">
        <v>4312500</v>
      </c>
      <c r="F114" s="310">
        <f t="shared" ref="F114:F122" si="9">(E114/D114)*100</f>
        <v>100</v>
      </c>
      <c r="G114" s="356">
        <f t="shared" si="8"/>
        <v>0</v>
      </c>
      <c r="H114" s="370">
        <v>4312.5</v>
      </c>
    </row>
    <row r="115" spans="2:8" ht="39.75" customHeight="1">
      <c r="B115" s="367"/>
      <c r="C115" s="255" t="s">
        <v>783</v>
      </c>
      <c r="D115" s="334">
        <f>D116+D117</f>
        <v>99088647.920000002</v>
      </c>
      <c r="E115" s="334">
        <f>E116+E117</f>
        <v>98859154.930000007</v>
      </c>
      <c r="F115" s="257">
        <f t="shared" si="9"/>
        <v>99.768396284723465</v>
      </c>
      <c r="G115" s="262">
        <f t="shared" si="8"/>
        <v>229492.98999999464</v>
      </c>
      <c r="H115" s="371" t="s">
        <v>762</v>
      </c>
    </row>
    <row r="116" spans="2:8" ht="17.25" customHeight="1">
      <c r="B116" s="367"/>
      <c r="C116" s="363" t="s">
        <v>717</v>
      </c>
      <c r="D116" s="297">
        <v>70190000</v>
      </c>
      <c r="E116" s="288">
        <v>70190000</v>
      </c>
      <c r="F116" s="257">
        <f t="shared" si="9"/>
        <v>100</v>
      </c>
      <c r="G116" s="262">
        <f t="shared" si="8"/>
        <v>0</v>
      </c>
      <c r="H116" s="370">
        <v>70190</v>
      </c>
    </row>
    <row r="117" spans="2:8" ht="20.25" customHeight="1">
      <c r="B117" s="367"/>
      <c r="C117" s="363" t="s">
        <v>724</v>
      </c>
      <c r="D117" s="297">
        <v>28898647.920000002</v>
      </c>
      <c r="E117" s="288">
        <v>28669154.93</v>
      </c>
      <c r="F117" s="257">
        <f t="shared" si="9"/>
        <v>99.205869455777631</v>
      </c>
      <c r="G117" s="262">
        <f t="shared" si="8"/>
        <v>229492.99000000209</v>
      </c>
      <c r="H117" s="370">
        <v>28669.154930000001</v>
      </c>
    </row>
    <row r="118" spans="2:8" ht="19.5">
      <c r="B118" s="372" t="s">
        <v>20</v>
      </c>
      <c r="C118" s="373" t="s">
        <v>21</v>
      </c>
      <c r="D118" s="301">
        <f>D119+D120+D121+D122</f>
        <v>56948595.869999997</v>
      </c>
      <c r="E118" s="301">
        <f>E119+E120+E121+E122</f>
        <v>55579932.140000001</v>
      </c>
      <c r="F118" s="257">
        <f t="shared" si="9"/>
        <v>97.596668172250773</v>
      </c>
      <c r="G118" s="258">
        <f>D118-E118</f>
        <v>1368663.7299999967</v>
      </c>
      <c r="H118" s="279">
        <v>55579.932139999997</v>
      </c>
    </row>
    <row r="119" spans="2:8" ht="24.6" customHeight="1">
      <c r="B119" s="374"/>
      <c r="C119" s="264" t="s">
        <v>784</v>
      </c>
      <c r="D119" s="297">
        <v>51510544.259999998</v>
      </c>
      <c r="E119" s="288">
        <v>50368821.68</v>
      </c>
      <c r="F119" s="289">
        <f t="shared" si="9"/>
        <v>97.783516760690503</v>
      </c>
      <c r="G119" s="262">
        <f>D119-E119</f>
        <v>1141722.5799999982</v>
      </c>
      <c r="H119" s="1204" t="s">
        <v>753</v>
      </c>
    </row>
    <row r="120" spans="2:8" ht="24.6" customHeight="1">
      <c r="B120" s="375"/>
      <c r="C120" s="264" t="s">
        <v>785</v>
      </c>
      <c r="D120" s="297">
        <v>1054618.19</v>
      </c>
      <c r="E120" s="288">
        <v>1053668.19</v>
      </c>
      <c r="F120" s="289">
        <f t="shared" si="9"/>
        <v>99.909920006215714</v>
      </c>
      <c r="G120" s="262">
        <f>D120-E120</f>
        <v>950</v>
      </c>
      <c r="H120" s="1205"/>
    </row>
    <row r="121" spans="2:8" ht="24.6" customHeight="1">
      <c r="B121" s="375"/>
      <c r="C121" s="264" t="s">
        <v>786</v>
      </c>
      <c r="D121" s="297">
        <v>4005133.42</v>
      </c>
      <c r="E121" s="288">
        <v>3781241.41</v>
      </c>
      <c r="F121" s="289">
        <f t="shared" si="9"/>
        <v>94.40987386632429</v>
      </c>
      <c r="G121" s="262">
        <f>D121-E121</f>
        <v>223892.00999999978</v>
      </c>
      <c r="H121" s="1205"/>
    </row>
    <row r="122" spans="2:8" ht="24.6" customHeight="1">
      <c r="B122" s="375"/>
      <c r="C122" s="264" t="s">
        <v>787</v>
      </c>
      <c r="D122" s="261">
        <v>378300</v>
      </c>
      <c r="E122" s="376">
        <v>376200.86</v>
      </c>
      <c r="F122" s="289">
        <f t="shared" si="9"/>
        <v>99.445112344699965</v>
      </c>
      <c r="G122" s="262">
        <f>D122-E122</f>
        <v>2099.140000000014</v>
      </c>
      <c r="H122" s="1206"/>
    </row>
    <row r="123" spans="2:8">
      <c r="C123" s="377"/>
      <c r="D123" s="378"/>
      <c r="E123" s="379"/>
      <c r="F123" s="379"/>
      <c r="G123" s="379"/>
      <c r="H123" s="380"/>
    </row>
    <row r="124" spans="2:8">
      <c r="C124" s="377"/>
      <c r="D124" s="378"/>
      <c r="E124" s="379"/>
      <c r="F124" s="379"/>
      <c r="G124" s="379"/>
      <c r="H124" s="380"/>
    </row>
    <row r="125" spans="2:8">
      <c r="C125" s="377"/>
      <c r="D125" s="378"/>
      <c r="E125" s="379"/>
      <c r="F125" s="379"/>
      <c r="G125" s="379"/>
      <c r="H125" s="380"/>
    </row>
    <row r="126" spans="2:8">
      <c r="C126" s="377"/>
      <c r="D126" s="378"/>
      <c r="E126" s="379"/>
      <c r="F126" s="379"/>
      <c r="G126" s="379"/>
      <c r="H126" s="380"/>
    </row>
    <row r="127" spans="2:8">
      <c r="C127" s="377"/>
      <c r="D127" s="378"/>
      <c r="E127" s="379"/>
      <c r="F127" s="379"/>
      <c r="G127" s="379"/>
      <c r="H127" s="380"/>
    </row>
    <row r="128" spans="2:8">
      <c r="C128" s="377"/>
      <c r="D128" s="378"/>
      <c r="E128" s="379"/>
      <c r="F128" s="379"/>
      <c r="G128" s="379"/>
      <c r="H128" s="380"/>
    </row>
    <row r="129" spans="3:8">
      <c r="C129" s="377"/>
      <c r="D129" s="378"/>
      <c r="E129" s="379"/>
      <c r="F129" s="379"/>
      <c r="G129" s="379"/>
      <c r="H129" s="380"/>
    </row>
    <row r="130" spans="3:8">
      <c r="C130" s="377"/>
      <c r="D130" s="378"/>
      <c r="E130" s="379"/>
      <c r="F130" s="379"/>
      <c r="G130" s="379"/>
      <c r="H130" s="380"/>
    </row>
    <row r="131" spans="3:8">
      <c r="C131" s="377"/>
      <c r="D131" s="378"/>
      <c r="E131" s="380"/>
      <c r="F131" s="380"/>
      <c r="G131" s="379"/>
      <c r="H131" s="380"/>
    </row>
    <row r="132" spans="3:8">
      <c r="C132" s="377"/>
      <c r="D132" s="378"/>
      <c r="E132" s="380"/>
      <c r="F132" s="380"/>
      <c r="G132" s="379"/>
      <c r="H132" s="380"/>
    </row>
    <row r="133" spans="3:8">
      <c r="C133" s="377"/>
      <c r="D133" s="378"/>
      <c r="E133" s="380"/>
      <c r="F133" s="380"/>
      <c r="G133" s="379"/>
      <c r="H133" s="380"/>
    </row>
    <row r="134" spans="3:8">
      <c r="C134" s="377"/>
      <c r="D134" s="378"/>
      <c r="E134" s="380"/>
      <c r="F134" s="380"/>
      <c r="G134" s="379"/>
      <c r="H134" s="380"/>
    </row>
    <row r="135" spans="3:8">
      <c r="C135" s="377"/>
      <c r="D135" s="378"/>
      <c r="E135" s="380"/>
      <c r="F135" s="380"/>
      <c r="G135" s="379"/>
      <c r="H135" s="380"/>
    </row>
    <row r="136" spans="3:8">
      <c r="C136" s="377"/>
      <c r="D136" s="378"/>
      <c r="E136" s="380"/>
      <c r="F136" s="380"/>
      <c r="G136" s="379"/>
      <c r="H136" s="380"/>
    </row>
    <row r="137" spans="3:8">
      <c r="C137" s="377"/>
      <c r="D137" s="378"/>
      <c r="E137" s="380"/>
      <c r="F137" s="380"/>
      <c r="G137" s="379"/>
      <c r="H137" s="380"/>
    </row>
    <row r="138" spans="3:8">
      <c r="C138" s="377"/>
      <c r="D138" s="378"/>
      <c r="E138" s="380"/>
      <c r="F138" s="380"/>
      <c r="G138" s="379"/>
      <c r="H138" s="380"/>
    </row>
    <row r="139" spans="3:8">
      <c r="C139" s="377"/>
      <c r="D139" s="378"/>
      <c r="E139" s="380"/>
      <c r="F139" s="380"/>
      <c r="G139" s="379"/>
      <c r="H139" s="380"/>
    </row>
    <row r="140" spans="3:8">
      <c r="C140" s="377"/>
      <c r="D140" s="378"/>
      <c r="E140" s="380"/>
      <c r="F140" s="380"/>
      <c r="G140" s="379"/>
      <c r="H140" s="380"/>
    </row>
    <row r="141" spans="3:8">
      <c r="C141" s="377"/>
      <c r="D141" s="378"/>
      <c r="E141" s="380"/>
      <c r="F141" s="380"/>
      <c r="G141" s="379"/>
      <c r="H141" s="380"/>
    </row>
    <row r="142" spans="3:8">
      <c r="C142" s="377"/>
      <c r="D142" s="378"/>
      <c r="E142" s="380"/>
      <c r="F142" s="380"/>
      <c r="G142" s="379"/>
      <c r="H142" s="380"/>
    </row>
    <row r="143" spans="3:8">
      <c r="C143" s="377"/>
      <c r="D143" s="378"/>
      <c r="E143" s="380"/>
      <c r="F143" s="380"/>
      <c r="G143" s="379"/>
      <c r="H143" s="380"/>
    </row>
    <row r="144" spans="3:8">
      <c r="C144" s="377"/>
      <c r="D144" s="378"/>
      <c r="E144" s="380"/>
      <c r="F144" s="380"/>
      <c r="G144" s="379"/>
      <c r="H144" s="380"/>
    </row>
    <row r="145" spans="3:8">
      <c r="C145" s="377"/>
      <c r="D145" s="378"/>
      <c r="E145" s="380"/>
      <c r="F145" s="380"/>
      <c r="G145" s="379"/>
      <c r="H145" s="380"/>
    </row>
    <row r="146" spans="3:8">
      <c r="C146" s="377"/>
      <c r="D146" s="378"/>
      <c r="E146" s="380"/>
      <c r="F146" s="380"/>
      <c r="G146" s="379"/>
      <c r="H146" s="380"/>
    </row>
    <row r="147" spans="3:8">
      <c r="C147" s="377"/>
      <c r="D147" s="378"/>
      <c r="E147" s="380"/>
      <c r="F147" s="380"/>
      <c r="G147" s="379"/>
      <c r="H147" s="380"/>
    </row>
    <row r="148" spans="3:8">
      <c r="C148" s="377"/>
      <c r="D148" s="378"/>
      <c r="E148" s="380"/>
      <c r="F148" s="380"/>
      <c r="G148" s="379"/>
      <c r="H148" s="380"/>
    </row>
    <row r="149" spans="3:8">
      <c r="C149" s="377"/>
      <c r="D149" s="378"/>
      <c r="E149" s="380"/>
      <c r="F149" s="380"/>
      <c r="G149" s="379"/>
      <c r="H149" s="380"/>
    </row>
    <row r="150" spans="3:8">
      <c r="C150" s="377"/>
      <c r="D150" s="378"/>
      <c r="E150" s="380"/>
      <c r="F150" s="380"/>
      <c r="G150" s="379"/>
      <c r="H150" s="380"/>
    </row>
    <row r="151" spans="3:8">
      <c r="C151" s="377"/>
      <c r="D151" s="378"/>
      <c r="E151" s="380"/>
      <c r="F151" s="380"/>
      <c r="G151" s="379"/>
      <c r="H151" s="380"/>
    </row>
    <row r="152" spans="3:8">
      <c r="C152" s="377"/>
      <c r="D152" s="378"/>
      <c r="E152" s="380"/>
      <c r="F152" s="380"/>
      <c r="G152" s="379"/>
      <c r="H152" s="380"/>
    </row>
    <row r="153" spans="3:8">
      <c r="C153" s="377"/>
      <c r="D153" s="378"/>
      <c r="E153" s="380"/>
      <c r="F153" s="380"/>
      <c r="G153" s="379"/>
      <c r="H153" s="380"/>
    </row>
    <row r="154" spans="3:8">
      <c r="C154" s="377"/>
      <c r="D154" s="378"/>
      <c r="E154" s="380"/>
      <c r="F154" s="380"/>
      <c r="G154" s="379"/>
      <c r="H154" s="380"/>
    </row>
    <row r="155" spans="3:8">
      <c r="C155" s="377"/>
      <c r="D155" s="378"/>
      <c r="E155" s="380"/>
      <c r="F155" s="380"/>
      <c r="G155" s="379"/>
      <c r="H155" s="380"/>
    </row>
    <row r="156" spans="3:8">
      <c r="C156" s="377"/>
      <c r="D156" s="378"/>
      <c r="E156" s="380"/>
      <c r="F156" s="380"/>
      <c r="G156" s="379"/>
      <c r="H156" s="380"/>
    </row>
    <row r="157" spans="3:8">
      <c r="C157" s="377"/>
      <c r="D157" s="378"/>
      <c r="E157" s="380"/>
      <c r="F157" s="380"/>
      <c r="G157" s="379"/>
      <c r="H157" s="380"/>
    </row>
    <row r="158" spans="3:8">
      <c r="C158" s="377"/>
      <c r="D158" s="378"/>
      <c r="E158" s="380"/>
      <c r="F158" s="380"/>
      <c r="G158" s="379"/>
      <c r="H158" s="380"/>
    </row>
    <row r="159" spans="3:8">
      <c r="C159" s="377"/>
      <c r="D159" s="378"/>
      <c r="E159" s="380"/>
      <c r="F159" s="380"/>
      <c r="G159" s="379"/>
      <c r="H159" s="380"/>
    </row>
    <row r="160" spans="3:8">
      <c r="C160" s="377"/>
      <c r="D160" s="378"/>
      <c r="E160" s="380"/>
      <c r="F160" s="380"/>
      <c r="G160" s="379"/>
      <c r="H160" s="380"/>
    </row>
    <row r="161" spans="3:8">
      <c r="C161" s="377"/>
      <c r="D161" s="378"/>
      <c r="E161" s="380"/>
      <c r="F161" s="380"/>
      <c r="G161" s="379"/>
      <c r="H161" s="380"/>
    </row>
    <row r="162" spans="3:8">
      <c r="C162" s="377"/>
      <c r="D162" s="378"/>
      <c r="E162" s="380"/>
      <c r="F162" s="380"/>
      <c r="G162" s="379"/>
      <c r="H162" s="380"/>
    </row>
    <row r="163" spans="3:8">
      <c r="C163" s="377"/>
      <c r="D163" s="378"/>
      <c r="E163" s="380"/>
      <c r="F163" s="380"/>
      <c r="G163" s="379"/>
      <c r="H163" s="380"/>
    </row>
    <row r="164" spans="3:8">
      <c r="C164" s="377"/>
      <c r="D164" s="378"/>
      <c r="E164" s="380"/>
      <c r="F164" s="380"/>
      <c r="G164" s="379"/>
      <c r="H164" s="380"/>
    </row>
    <row r="165" spans="3:8">
      <c r="C165" s="377"/>
      <c r="D165" s="378"/>
      <c r="E165" s="380"/>
      <c r="F165" s="380"/>
      <c r="G165" s="379"/>
      <c r="H165" s="380"/>
    </row>
    <row r="166" spans="3:8">
      <c r="C166" s="377"/>
      <c r="D166" s="378"/>
      <c r="E166" s="380"/>
      <c r="F166" s="380"/>
      <c r="G166" s="379"/>
      <c r="H166" s="380"/>
    </row>
    <row r="167" spans="3:8">
      <c r="C167" s="377"/>
      <c r="D167" s="378"/>
      <c r="E167" s="380"/>
      <c r="F167" s="380"/>
      <c r="G167" s="379"/>
      <c r="H167" s="380"/>
    </row>
    <row r="168" spans="3:8">
      <c r="C168" s="377"/>
      <c r="D168" s="378"/>
      <c r="E168" s="380"/>
      <c r="F168" s="380"/>
      <c r="G168" s="379"/>
      <c r="H168" s="380"/>
    </row>
    <row r="169" spans="3:8">
      <c r="C169" s="377"/>
      <c r="D169" s="378"/>
      <c r="E169" s="380"/>
      <c r="F169" s="380"/>
      <c r="G169" s="379"/>
      <c r="H169" s="380"/>
    </row>
    <row r="170" spans="3:8">
      <c r="C170" s="377"/>
      <c r="D170" s="378"/>
      <c r="E170" s="380"/>
      <c r="F170" s="380"/>
      <c r="G170" s="379"/>
      <c r="H170" s="380"/>
    </row>
    <row r="171" spans="3:8">
      <c r="C171" s="377"/>
      <c r="D171" s="378"/>
      <c r="E171" s="380"/>
      <c r="F171" s="380"/>
      <c r="G171" s="379"/>
    </row>
    <row r="172" spans="3:8">
      <c r="C172" s="377"/>
      <c r="D172" s="378"/>
      <c r="E172" s="380"/>
      <c r="F172" s="380"/>
      <c r="G172" s="379"/>
    </row>
    <row r="173" spans="3:8">
      <c r="C173" s="377"/>
      <c r="D173" s="379"/>
      <c r="E173" s="380"/>
      <c r="F173" s="380"/>
      <c r="G173" s="379"/>
    </row>
    <row r="174" spans="3:8">
      <c r="C174" s="377"/>
      <c r="D174" s="379"/>
      <c r="E174" s="380"/>
      <c r="F174" s="380"/>
      <c r="G174" s="379"/>
    </row>
    <row r="175" spans="3:8">
      <c r="C175" s="377"/>
      <c r="D175" s="379"/>
      <c r="E175" s="380"/>
      <c r="F175" s="380"/>
      <c r="G175" s="379"/>
    </row>
    <row r="176" spans="3:8">
      <c r="C176" s="377"/>
      <c r="D176" s="379"/>
      <c r="E176" s="380"/>
      <c r="F176" s="380"/>
      <c r="G176" s="379"/>
    </row>
    <row r="177" spans="3:7">
      <c r="C177" s="377"/>
      <c r="D177" s="379"/>
      <c r="E177" s="380"/>
      <c r="F177" s="380"/>
      <c r="G177" s="379"/>
    </row>
    <row r="178" spans="3:7">
      <c r="C178" s="377"/>
      <c r="D178" s="379"/>
      <c r="E178" s="380"/>
      <c r="F178" s="380"/>
      <c r="G178" s="379"/>
    </row>
    <row r="179" spans="3:7">
      <c r="C179" s="377"/>
      <c r="D179" s="379"/>
      <c r="E179" s="380"/>
      <c r="F179" s="380"/>
      <c r="G179" s="379"/>
    </row>
    <row r="180" spans="3:7">
      <c r="C180" s="377"/>
      <c r="D180" s="379"/>
      <c r="E180" s="380"/>
      <c r="F180" s="380"/>
      <c r="G180" s="379"/>
    </row>
    <row r="181" spans="3:7">
      <c r="C181" s="377"/>
      <c r="D181" s="379"/>
      <c r="E181" s="380"/>
      <c r="F181" s="380"/>
      <c r="G181" s="379"/>
    </row>
    <row r="182" spans="3:7">
      <c r="C182" s="377"/>
      <c r="D182" s="379"/>
      <c r="E182" s="380"/>
      <c r="F182" s="380"/>
      <c r="G182" s="379"/>
    </row>
    <row r="183" spans="3:7">
      <c r="C183" s="377"/>
      <c r="D183" s="379"/>
      <c r="E183" s="380"/>
      <c r="F183" s="380"/>
      <c r="G183" s="379"/>
    </row>
    <row r="184" spans="3:7">
      <c r="C184" s="377"/>
      <c r="D184" s="379"/>
      <c r="E184" s="380"/>
      <c r="F184" s="380"/>
      <c r="G184" s="379"/>
    </row>
    <row r="185" spans="3:7">
      <c r="C185" s="377"/>
      <c r="D185" s="379"/>
      <c r="E185" s="380"/>
      <c r="F185" s="380"/>
      <c r="G185" s="379"/>
    </row>
    <row r="186" spans="3:7">
      <c r="C186" s="377"/>
      <c r="D186" s="379"/>
      <c r="E186" s="380"/>
      <c r="F186" s="380"/>
      <c r="G186" s="379"/>
    </row>
    <row r="187" spans="3:7">
      <c r="C187" s="377"/>
      <c r="D187" s="379"/>
      <c r="E187" s="380"/>
      <c r="F187" s="380"/>
      <c r="G187" s="379"/>
    </row>
    <row r="188" spans="3:7">
      <c r="C188" s="377"/>
      <c r="D188" s="379"/>
      <c r="E188" s="380"/>
      <c r="F188" s="380"/>
      <c r="G188" s="379"/>
    </row>
    <row r="189" spans="3:7">
      <c r="C189" s="377"/>
      <c r="D189" s="379"/>
      <c r="E189" s="380"/>
      <c r="F189" s="380"/>
      <c r="G189" s="379"/>
    </row>
    <row r="190" spans="3:7">
      <c r="C190" s="377"/>
      <c r="D190" s="379"/>
      <c r="E190" s="380"/>
      <c r="F190" s="380"/>
      <c r="G190" s="379"/>
    </row>
    <row r="191" spans="3:7">
      <c r="C191" s="377"/>
      <c r="D191" s="379"/>
      <c r="E191" s="380"/>
      <c r="F191" s="380"/>
      <c r="G191" s="379"/>
    </row>
    <row r="192" spans="3:7">
      <c r="C192" s="377"/>
      <c r="D192" s="379"/>
      <c r="E192" s="380"/>
      <c r="F192" s="380"/>
      <c r="G192" s="379"/>
    </row>
    <row r="193" spans="3:7">
      <c r="C193" s="377"/>
      <c r="D193" s="379"/>
      <c r="E193" s="380"/>
      <c r="F193" s="380"/>
      <c r="G193" s="379"/>
    </row>
    <row r="194" spans="3:7">
      <c r="C194" s="377"/>
      <c r="D194" s="379"/>
      <c r="E194" s="380"/>
      <c r="F194" s="380"/>
      <c r="G194" s="379"/>
    </row>
    <row r="195" spans="3:7">
      <c r="C195" s="377"/>
      <c r="D195" s="379"/>
      <c r="E195" s="380"/>
      <c r="F195" s="380"/>
      <c r="G195" s="379"/>
    </row>
    <row r="196" spans="3:7">
      <c r="C196" s="377"/>
      <c r="D196" s="379"/>
      <c r="E196" s="380"/>
      <c r="F196" s="380"/>
      <c r="G196" s="379"/>
    </row>
    <row r="197" spans="3:7">
      <c r="C197" s="377"/>
      <c r="D197" s="379"/>
      <c r="E197" s="380"/>
      <c r="F197" s="380"/>
      <c r="G197" s="379"/>
    </row>
    <row r="198" spans="3:7">
      <c r="C198" s="377"/>
      <c r="D198" s="379"/>
      <c r="E198" s="380"/>
      <c r="F198" s="380"/>
      <c r="G198" s="379"/>
    </row>
    <row r="199" spans="3:7">
      <c r="C199" s="377"/>
      <c r="D199" s="379"/>
      <c r="E199" s="380"/>
      <c r="F199" s="380"/>
      <c r="G199" s="379"/>
    </row>
    <row r="200" spans="3:7">
      <c r="C200" s="377"/>
      <c r="D200" s="379"/>
      <c r="E200" s="380"/>
      <c r="F200" s="380"/>
      <c r="G200" s="379"/>
    </row>
    <row r="201" spans="3:7">
      <c r="C201" s="377"/>
      <c r="D201" s="379"/>
      <c r="E201" s="380"/>
      <c r="F201" s="380"/>
      <c r="G201" s="379"/>
    </row>
    <row r="202" spans="3:7">
      <c r="C202" s="377"/>
      <c r="D202" s="379"/>
      <c r="E202" s="380"/>
      <c r="F202" s="380"/>
      <c r="G202" s="379"/>
    </row>
    <row r="203" spans="3:7">
      <c r="C203" s="377"/>
      <c r="D203" s="379"/>
      <c r="E203" s="380"/>
      <c r="F203" s="380"/>
      <c r="G203" s="379"/>
    </row>
    <row r="204" spans="3:7">
      <c r="C204" s="377"/>
      <c r="D204" s="379"/>
      <c r="E204" s="380"/>
      <c r="F204" s="380"/>
      <c r="G204" s="379"/>
    </row>
    <row r="205" spans="3:7">
      <c r="C205" s="377"/>
      <c r="D205" s="379"/>
      <c r="E205" s="380"/>
      <c r="F205" s="380"/>
      <c r="G205" s="379"/>
    </row>
    <row r="206" spans="3:7">
      <c r="C206" s="377"/>
      <c r="D206" s="379"/>
      <c r="E206" s="380"/>
      <c r="F206" s="380"/>
      <c r="G206" s="379"/>
    </row>
    <row r="207" spans="3:7">
      <c r="C207" s="377"/>
      <c r="D207" s="379"/>
      <c r="E207" s="380"/>
      <c r="F207" s="380"/>
      <c r="G207" s="379"/>
    </row>
    <row r="208" spans="3:7">
      <c r="C208" s="377"/>
      <c r="D208" s="379"/>
      <c r="E208" s="380"/>
      <c r="F208" s="380"/>
      <c r="G208" s="379"/>
    </row>
    <row r="209" spans="3:7">
      <c r="C209" s="377"/>
      <c r="D209" s="379"/>
      <c r="E209" s="380"/>
      <c r="F209" s="380"/>
      <c r="G209" s="379"/>
    </row>
    <row r="210" spans="3:7">
      <c r="C210" s="377"/>
      <c r="D210" s="379"/>
      <c r="E210" s="380"/>
      <c r="F210" s="380"/>
      <c r="G210" s="379"/>
    </row>
    <row r="211" spans="3:7">
      <c r="C211" s="377"/>
      <c r="D211" s="379"/>
      <c r="E211" s="380"/>
      <c r="F211" s="380"/>
      <c r="G211" s="379"/>
    </row>
    <row r="212" spans="3:7">
      <c r="C212" s="377"/>
      <c r="D212" s="379"/>
      <c r="E212" s="380"/>
      <c r="F212" s="380"/>
      <c r="G212" s="379"/>
    </row>
    <row r="213" spans="3:7">
      <c r="C213" s="377"/>
      <c r="D213" s="379"/>
      <c r="E213" s="380"/>
      <c r="F213" s="380"/>
      <c r="G213" s="379"/>
    </row>
    <row r="214" spans="3:7">
      <c r="C214" s="377"/>
      <c r="D214" s="379"/>
      <c r="E214" s="380"/>
      <c r="F214" s="380"/>
      <c r="G214" s="379"/>
    </row>
    <row r="215" spans="3:7">
      <c r="C215" s="377"/>
      <c r="D215" s="379"/>
      <c r="E215" s="380"/>
      <c r="F215" s="380"/>
      <c r="G215" s="379"/>
    </row>
    <row r="216" spans="3:7">
      <c r="C216" s="377"/>
      <c r="D216" s="379"/>
      <c r="E216" s="380"/>
      <c r="F216" s="380"/>
      <c r="G216" s="379"/>
    </row>
    <row r="217" spans="3:7">
      <c r="C217" s="377"/>
      <c r="D217" s="379"/>
      <c r="E217" s="380"/>
      <c r="F217" s="380"/>
      <c r="G217" s="379"/>
    </row>
    <row r="218" spans="3:7">
      <c r="C218" s="377"/>
      <c r="D218" s="379"/>
      <c r="E218" s="380"/>
      <c r="F218" s="380"/>
      <c r="G218" s="379"/>
    </row>
    <row r="219" spans="3:7">
      <c r="C219" s="377"/>
      <c r="D219" s="379"/>
      <c r="E219" s="380"/>
      <c r="F219" s="380"/>
      <c r="G219" s="379"/>
    </row>
    <row r="220" spans="3:7">
      <c r="C220" s="377"/>
      <c r="D220" s="379"/>
      <c r="E220" s="380"/>
      <c r="F220" s="380"/>
      <c r="G220" s="379"/>
    </row>
    <row r="221" spans="3:7">
      <c r="C221" s="377"/>
      <c r="D221" s="379"/>
      <c r="E221" s="380"/>
      <c r="F221" s="380"/>
      <c r="G221" s="379"/>
    </row>
    <row r="222" spans="3:7">
      <c r="C222" s="377"/>
      <c r="D222" s="379"/>
      <c r="E222" s="380"/>
      <c r="F222" s="380"/>
      <c r="G222" s="379"/>
    </row>
    <row r="223" spans="3:7">
      <c r="C223" s="377"/>
      <c r="D223" s="379"/>
      <c r="E223" s="380"/>
      <c r="F223" s="380"/>
      <c r="G223" s="379"/>
    </row>
    <row r="224" spans="3:7">
      <c r="C224" s="377"/>
      <c r="D224" s="379"/>
      <c r="E224" s="380"/>
      <c r="F224" s="380"/>
      <c r="G224" s="379"/>
    </row>
    <row r="225" spans="3:7">
      <c r="C225" s="377"/>
      <c r="D225" s="379"/>
      <c r="E225" s="380"/>
      <c r="F225" s="380"/>
      <c r="G225" s="379"/>
    </row>
    <row r="226" spans="3:7">
      <c r="C226" s="377"/>
      <c r="D226" s="379"/>
      <c r="E226" s="380"/>
      <c r="F226" s="380"/>
      <c r="G226" s="379"/>
    </row>
    <row r="227" spans="3:7">
      <c r="C227" s="377"/>
      <c r="D227" s="379"/>
      <c r="E227" s="380"/>
      <c r="F227" s="380"/>
      <c r="G227" s="379"/>
    </row>
    <row r="228" spans="3:7">
      <c r="C228" s="377"/>
      <c r="D228" s="379"/>
      <c r="E228" s="380"/>
      <c r="F228" s="380"/>
      <c r="G228" s="379"/>
    </row>
    <row r="229" spans="3:7">
      <c r="C229" s="377"/>
      <c r="D229" s="379"/>
      <c r="E229" s="380"/>
      <c r="F229" s="380"/>
      <c r="G229" s="379"/>
    </row>
    <row r="230" spans="3:7">
      <c r="C230" s="377"/>
      <c r="D230" s="379"/>
      <c r="E230" s="380"/>
      <c r="F230" s="380"/>
      <c r="G230" s="379"/>
    </row>
    <row r="231" spans="3:7">
      <c r="C231" s="377"/>
      <c r="D231" s="379"/>
      <c r="E231" s="380"/>
      <c r="F231" s="380"/>
      <c r="G231" s="379"/>
    </row>
    <row r="232" spans="3:7">
      <c r="C232" s="377"/>
      <c r="D232" s="379"/>
      <c r="E232" s="380"/>
      <c r="F232" s="380"/>
      <c r="G232" s="379"/>
    </row>
    <row r="233" spans="3:7">
      <c r="C233" s="377"/>
      <c r="D233" s="379"/>
      <c r="E233" s="380"/>
      <c r="F233" s="380"/>
      <c r="G233" s="379"/>
    </row>
    <row r="234" spans="3:7">
      <c r="C234" s="377"/>
      <c r="D234" s="379"/>
      <c r="E234" s="380"/>
      <c r="F234" s="380"/>
      <c r="G234" s="379"/>
    </row>
    <row r="235" spans="3:7">
      <c r="C235" s="377"/>
      <c r="D235" s="379"/>
      <c r="E235" s="380"/>
      <c r="F235" s="380"/>
      <c r="G235" s="379"/>
    </row>
    <row r="236" spans="3:7">
      <c r="C236" s="381"/>
      <c r="D236" s="382"/>
      <c r="G236" s="382"/>
    </row>
    <row r="237" spans="3:7">
      <c r="C237" s="381"/>
      <c r="D237" s="382"/>
      <c r="G237" s="382"/>
    </row>
    <row r="238" spans="3:7">
      <c r="C238" s="381"/>
      <c r="D238" s="382"/>
      <c r="G238" s="382"/>
    </row>
    <row r="239" spans="3:7">
      <c r="C239" s="381"/>
      <c r="D239" s="382"/>
      <c r="G239" s="382"/>
    </row>
    <row r="240" spans="3:7">
      <c r="C240" s="381"/>
      <c r="D240" s="382"/>
      <c r="G240" s="382"/>
    </row>
    <row r="241" spans="3:7">
      <c r="C241" s="381"/>
      <c r="D241" s="382"/>
      <c r="G241" s="382"/>
    </row>
    <row r="242" spans="3:7">
      <c r="C242" s="381"/>
      <c r="D242" s="382"/>
      <c r="G242" s="382"/>
    </row>
    <row r="243" spans="3:7">
      <c r="C243" s="381"/>
      <c r="D243" s="382"/>
      <c r="G243" s="382"/>
    </row>
    <row r="244" spans="3:7">
      <c r="C244" s="381"/>
      <c r="D244" s="382"/>
      <c r="G244" s="382"/>
    </row>
    <row r="245" spans="3:7">
      <c r="C245" s="381"/>
      <c r="D245" s="382"/>
      <c r="G245" s="382"/>
    </row>
    <row r="246" spans="3:7">
      <c r="C246" s="381"/>
      <c r="D246" s="382"/>
      <c r="G246" s="382"/>
    </row>
    <row r="247" spans="3:7">
      <c r="C247" s="381"/>
      <c r="D247" s="382"/>
      <c r="G247" s="382"/>
    </row>
    <row r="248" spans="3:7">
      <c r="C248" s="381"/>
      <c r="D248" s="382"/>
      <c r="G248" s="382"/>
    </row>
    <row r="249" spans="3:7">
      <c r="C249" s="381"/>
      <c r="D249" s="382"/>
      <c r="G249" s="382"/>
    </row>
    <row r="250" spans="3:7">
      <c r="C250" s="381"/>
      <c r="D250" s="382"/>
      <c r="G250" s="382"/>
    </row>
    <row r="251" spans="3:7">
      <c r="C251" s="381"/>
      <c r="D251" s="382"/>
      <c r="G251" s="382"/>
    </row>
    <row r="252" spans="3:7">
      <c r="C252" s="381"/>
      <c r="D252" s="382"/>
      <c r="G252" s="382"/>
    </row>
    <row r="253" spans="3:7">
      <c r="C253" s="381"/>
      <c r="D253" s="382"/>
      <c r="G253" s="382"/>
    </row>
    <row r="254" spans="3:7">
      <c r="C254" s="381"/>
      <c r="D254" s="382"/>
      <c r="G254" s="382"/>
    </row>
    <row r="255" spans="3:7">
      <c r="C255" s="381"/>
      <c r="D255" s="382"/>
      <c r="G255" s="382"/>
    </row>
    <row r="256" spans="3:7">
      <c r="C256" s="381"/>
      <c r="D256" s="382"/>
      <c r="G256" s="382"/>
    </row>
    <row r="257" spans="3:7">
      <c r="C257" s="381"/>
      <c r="D257" s="382"/>
      <c r="G257" s="382"/>
    </row>
    <row r="258" spans="3:7">
      <c r="C258" s="381"/>
      <c r="D258" s="382"/>
      <c r="G258" s="382"/>
    </row>
    <row r="259" spans="3:7">
      <c r="C259" s="381"/>
      <c r="D259" s="382"/>
      <c r="G259" s="382"/>
    </row>
    <row r="260" spans="3:7">
      <c r="C260" s="381"/>
      <c r="D260" s="382"/>
      <c r="G260" s="382"/>
    </row>
    <row r="261" spans="3:7">
      <c r="C261" s="381"/>
      <c r="D261" s="382"/>
      <c r="G261" s="382"/>
    </row>
    <row r="262" spans="3:7">
      <c r="C262" s="381"/>
      <c r="D262" s="382"/>
      <c r="G262" s="382"/>
    </row>
    <row r="263" spans="3:7">
      <c r="C263" s="381"/>
      <c r="D263" s="382"/>
      <c r="G263" s="382"/>
    </row>
    <row r="264" spans="3:7">
      <c r="C264" s="381"/>
      <c r="D264" s="382"/>
      <c r="G264" s="382"/>
    </row>
    <row r="265" spans="3:7">
      <c r="C265" s="381"/>
      <c r="D265" s="382"/>
      <c r="G265" s="382"/>
    </row>
    <row r="266" spans="3:7">
      <c r="C266" s="381"/>
      <c r="D266" s="382"/>
      <c r="G266" s="382"/>
    </row>
    <row r="267" spans="3:7">
      <c r="C267" s="381"/>
      <c r="D267" s="382"/>
      <c r="G267" s="382"/>
    </row>
    <row r="268" spans="3:7">
      <c r="C268" s="381"/>
      <c r="D268" s="382"/>
      <c r="G268" s="382"/>
    </row>
    <row r="269" spans="3:7">
      <c r="C269" s="381"/>
      <c r="D269" s="382"/>
      <c r="G269" s="382"/>
    </row>
    <row r="270" spans="3:7">
      <c r="C270" s="381"/>
      <c r="D270" s="382"/>
      <c r="G270" s="382"/>
    </row>
    <row r="271" spans="3:7">
      <c r="C271" s="381"/>
      <c r="D271" s="382"/>
      <c r="G271" s="382"/>
    </row>
    <row r="272" spans="3:7">
      <c r="C272" s="381"/>
      <c r="D272" s="382"/>
      <c r="G272" s="382"/>
    </row>
    <row r="273" spans="3:7">
      <c r="C273" s="381"/>
      <c r="D273" s="382"/>
      <c r="G273" s="382"/>
    </row>
    <row r="274" spans="3:7">
      <c r="C274" s="381"/>
      <c r="D274" s="382"/>
      <c r="G274" s="382"/>
    </row>
    <row r="275" spans="3:7">
      <c r="C275" s="381"/>
      <c r="D275" s="382"/>
      <c r="G275" s="382"/>
    </row>
    <row r="276" spans="3:7">
      <c r="C276" s="381"/>
      <c r="D276" s="382"/>
      <c r="G276" s="382"/>
    </row>
    <row r="277" spans="3:7">
      <c r="C277" s="381"/>
      <c r="D277" s="382"/>
      <c r="G277" s="382"/>
    </row>
    <row r="278" spans="3:7">
      <c r="C278" s="381"/>
      <c r="D278" s="382"/>
      <c r="G278" s="382"/>
    </row>
    <row r="279" spans="3:7">
      <c r="C279" s="381"/>
      <c r="D279" s="382"/>
      <c r="G279" s="382"/>
    </row>
    <row r="280" spans="3:7">
      <c r="C280" s="381"/>
      <c r="D280" s="382"/>
      <c r="G280" s="382"/>
    </row>
    <row r="281" spans="3:7">
      <c r="C281" s="381"/>
      <c r="D281" s="382"/>
      <c r="G281" s="382"/>
    </row>
    <row r="282" spans="3:7">
      <c r="C282" s="381"/>
      <c r="D282" s="382"/>
      <c r="G282" s="382"/>
    </row>
    <row r="283" spans="3:7">
      <c r="D283" s="382"/>
      <c r="G283" s="382"/>
    </row>
    <row r="284" spans="3:7">
      <c r="D284" s="382"/>
      <c r="G284" s="382"/>
    </row>
    <row r="285" spans="3:7">
      <c r="D285" s="382"/>
      <c r="G285" s="382"/>
    </row>
    <row r="286" spans="3:7">
      <c r="D286" s="382"/>
      <c r="G286" s="382"/>
    </row>
    <row r="287" spans="3:7">
      <c r="D287" s="382"/>
    </row>
    <row r="288" spans="3:7">
      <c r="D288" s="382"/>
    </row>
    <row r="289" spans="4:4">
      <c r="D289" s="382"/>
    </row>
    <row r="290" spans="4:4">
      <c r="D290" s="382"/>
    </row>
    <row r="291" spans="4:4">
      <c r="D291" s="382"/>
    </row>
    <row r="292" spans="4:4">
      <c r="D292" s="382"/>
    </row>
    <row r="293" spans="4:4">
      <c r="D293" s="382"/>
    </row>
    <row r="294" spans="4:4">
      <c r="D294" s="382"/>
    </row>
    <row r="295" spans="4:4">
      <c r="D295" s="382"/>
    </row>
    <row r="296" spans="4:4">
      <c r="D296" s="382"/>
    </row>
    <row r="297" spans="4:4">
      <c r="D297" s="382"/>
    </row>
    <row r="298" spans="4:4">
      <c r="D298" s="382"/>
    </row>
    <row r="299" spans="4:4">
      <c r="D299" s="382"/>
    </row>
    <row r="300" spans="4:4">
      <c r="D300" s="382"/>
    </row>
    <row r="301" spans="4:4">
      <c r="D301" s="382"/>
    </row>
    <row r="302" spans="4:4">
      <c r="D302" s="382"/>
    </row>
    <row r="303" spans="4:4">
      <c r="D303" s="382"/>
    </row>
    <row r="304" spans="4:4">
      <c r="D304" s="382"/>
    </row>
    <row r="305" spans="4:4">
      <c r="D305" s="382"/>
    </row>
    <row r="306" spans="4:4">
      <c r="D306" s="382"/>
    </row>
    <row r="307" spans="4:4">
      <c r="D307" s="382"/>
    </row>
    <row r="308" spans="4:4">
      <c r="D308" s="382"/>
    </row>
    <row r="309" spans="4:4">
      <c r="D309" s="382"/>
    </row>
    <row r="310" spans="4:4">
      <c r="D310" s="382"/>
    </row>
    <row r="311" spans="4:4">
      <c r="D311" s="382"/>
    </row>
    <row r="312" spans="4:4">
      <c r="D312" s="382"/>
    </row>
    <row r="313" spans="4:4">
      <c r="D313" s="382"/>
    </row>
    <row r="314" spans="4:4">
      <c r="D314" s="382"/>
    </row>
    <row r="315" spans="4:4">
      <c r="D315" s="382"/>
    </row>
    <row r="316" spans="4:4">
      <c r="D316" s="382"/>
    </row>
    <row r="317" spans="4:4">
      <c r="D317" s="382"/>
    </row>
    <row r="318" spans="4:4">
      <c r="D318" s="382"/>
    </row>
    <row r="319" spans="4:4">
      <c r="D319" s="382"/>
    </row>
  </sheetData>
  <mergeCells count="10">
    <mergeCell ref="B7:C7"/>
    <mergeCell ref="B15:C15"/>
    <mergeCell ref="B72:B73"/>
    <mergeCell ref="H119:H122"/>
    <mergeCell ref="B1:H1"/>
    <mergeCell ref="B4:B5"/>
    <mergeCell ref="C4:C5"/>
    <mergeCell ref="F4:F5"/>
    <mergeCell ref="G4:G5"/>
    <mergeCell ref="H4:H5"/>
  </mergeCells>
  <pageMargins left="0.59055118110236227" right="0" top="0" bottom="0" header="0.31496062992125984" footer="0.31496062992125984"/>
  <pageSetup paperSize="9" scale="45" fitToHeight="0" orientation="landscape" r:id="rId1"/>
  <headerFooter alignWithMargins="0"/>
  <rowBreaks count="3" manualBreakCount="3">
    <brk id="34" min="1" max="7" man="1"/>
    <brk id="71" min="1" max="7" man="1"/>
    <brk id="122" min="1" max="7"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962"/>
  <sheetViews>
    <sheetView workbookViewId="0">
      <pane xSplit="3" ySplit="4" topLeftCell="D350" activePane="bottomRight" state="frozen"/>
      <selection activeCell="D5" sqref="D5"/>
      <selection pane="topRight"/>
      <selection pane="bottomLeft"/>
      <selection pane="bottomRight" activeCell="E246" sqref="E246"/>
    </sheetView>
  </sheetViews>
  <sheetFormatPr defaultRowHeight="15"/>
  <cols>
    <col min="1" max="1" width="7.42578125" style="233" customWidth="1"/>
    <col min="2" max="2" width="36.42578125" style="231" customWidth="1"/>
    <col min="3" max="3" width="12.7109375" style="234" customWidth="1"/>
    <col min="4" max="4" width="10.28515625" style="234" customWidth="1"/>
    <col min="5" max="5" width="17.140625" style="488" customWidth="1"/>
    <col min="6" max="6" width="18" style="488" customWidth="1"/>
    <col min="7" max="7" width="15" style="488" customWidth="1"/>
    <col min="8" max="8" width="11.7109375" style="488" customWidth="1"/>
    <col min="9" max="9" width="15.5703125" style="488" customWidth="1"/>
    <col min="10" max="10" width="49.28515625" style="232" customWidth="1"/>
    <col min="11" max="11" width="32.7109375" style="235" customWidth="1"/>
    <col min="12" max="12" width="0.140625" style="223" hidden="1" customWidth="1"/>
    <col min="13" max="13" width="12.85546875" style="223" hidden="1" customWidth="1"/>
    <col min="14" max="14" width="39.85546875" style="223" hidden="1" customWidth="1"/>
    <col min="15" max="15" width="12.5703125" style="223" hidden="1" customWidth="1"/>
    <col min="16" max="16" width="13.5703125" style="223" hidden="1" customWidth="1"/>
    <col min="17" max="16384" width="9.140625" style="223"/>
  </cols>
  <sheetData>
    <row r="1" spans="1:15">
      <c r="A1" s="1217" t="s">
        <v>229</v>
      </c>
      <c r="B1" s="1217"/>
      <c r="C1" s="1217"/>
      <c r="D1" s="1217"/>
      <c r="E1" s="1217"/>
      <c r="F1" s="1217"/>
      <c r="G1" s="1217"/>
      <c r="H1" s="1217"/>
      <c r="I1" s="1217"/>
      <c r="J1" s="1217"/>
      <c r="K1" s="1217"/>
    </row>
    <row r="2" spans="1:15">
      <c r="A2" s="1218"/>
      <c r="B2" s="1218"/>
      <c r="C2" s="1218"/>
      <c r="D2" s="1218"/>
      <c r="E2" s="1218"/>
      <c r="F2" s="1218"/>
      <c r="G2" s="1218"/>
      <c r="H2" s="1218"/>
      <c r="I2" s="1218"/>
      <c r="J2" s="1218"/>
      <c r="K2" s="1218"/>
    </row>
    <row r="3" spans="1:15">
      <c r="A3" s="1219" t="s">
        <v>0</v>
      </c>
      <c r="B3" s="1220" t="s">
        <v>230</v>
      </c>
      <c r="C3" s="1220" t="s">
        <v>231</v>
      </c>
      <c r="D3" s="1221" t="s">
        <v>1</v>
      </c>
      <c r="E3" s="1221"/>
      <c r="F3" s="1221"/>
      <c r="G3" s="1221"/>
      <c r="H3" s="1221"/>
      <c r="I3" s="1221"/>
      <c r="J3" s="1222" t="s">
        <v>232</v>
      </c>
      <c r="K3" s="1223" t="s">
        <v>2</v>
      </c>
    </row>
    <row r="4" spans="1:15" ht="25.5">
      <c r="A4" s="1219"/>
      <c r="B4" s="1220"/>
      <c r="C4" s="1220"/>
      <c r="D4" s="224" t="s">
        <v>233</v>
      </c>
      <c r="E4" s="483" t="s">
        <v>3</v>
      </c>
      <c r="F4" s="483" t="s">
        <v>4</v>
      </c>
      <c r="G4" s="483" t="s">
        <v>5</v>
      </c>
      <c r="H4" s="483" t="s">
        <v>6</v>
      </c>
      <c r="I4" s="483" t="s">
        <v>7</v>
      </c>
      <c r="J4" s="1222"/>
      <c r="K4" s="1223"/>
      <c r="M4" s="225"/>
      <c r="N4" s="225">
        <v>0</v>
      </c>
    </row>
    <row r="5" spans="1:15">
      <c r="A5" s="1224"/>
      <c r="B5" s="1224" t="s">
        <v>234</v>
      </c>
      <c r="C5" s="1224" t="s">
        <v>235</v>
      </c>
      <c r="D5" s="226" t="s">
        <v>3</v>
      </c>
      <c r="E5" s="484">
        <f t="shared" ref="E5:E9" si="0">SUM(F5:I5)</f>
        <v>14516737.154805804</v>
      </c>
      <c r="F5" s="484">
        <f>SUM(F6:F11)</f>
        <v>12487029.62329</v>
      </c>
      <c r="G5" s="484">
        <f>SUM(G6:G11)</f>
        <v>1741720.28149</v>
      </c>
      <c r="H5" s="484">
        <f>SUM(H6:H11)</f>
        <v>276987.25002580346</v>
      </c>
      <c r="I5" s="484">
        <f>SUM(I6:I10)</f>
        <v>11000</v>
      </c>
      <c r="J5" s="1227"/>
      <c r="K5" s="1230" t="s">
        <v>236</v>
      </c>
      <c r="M5" s="223">
        <f>E12+E19</f>
        <v>14516737.154805804</v>
      </c>
    </row>
    <row r="6" spans="1:15">
      <c r="A6" s="1225"/>
      <c r="B6" s="1225"/>
      <c r="C6" s="1225"/>
      <c r="D6" s="226">
        <v>2021</v>
      </c>
      <c r="E6" s="484">
        <f t="shared" si="0"/>
        <v>1613228.6017916503</v>
      </c>
      <c r="F6" s="484">
        <f t="shared" ref="F6:I10" si="1">F27+F208+F416+F941</f>
        <v>1267910.29015</v>
      </c>
      <c r="G6" s="484">
        <f t="shared" si="1"/>
        <v>301879.99800000002</v>
      </c>
      <c r="H6" s="484">
        <f t="shared" si="1"/>
        <v>43438.313641650384</v>
      </c>
      <c r="I6" s="484">
        <f t="shared" si="1"/>
        <v>0</v>
      </c>
      <c r="J6" s="1228"/>
      <c r="K6" s="1231"/>
    </row>
    <row r="7" spans="1:15">
      <c r="A7" s="1225"/>
      <c r="B7" s="1225"/>
      <c r="C7" s="1225"/>
      <c r="D7" s="226">
        <v>2022</v>
      </c>
      <c r="E7" s="484">
        <f t="shared" si="0"/>
        <v>2883391.4108731011</v>
      </c>
      <c r="F7" s="484">
        <f t="shared" si="1"/>
        <v>2558971.7024200005</v>
      </c>
      <c r="G7" s="484">
        <f t="shared" si="1"/>
        <v>244045.77</v>
      </c>
      <c r="H7" s="484">
        <f t="shared" si="1"/>
        <v>80373.93845310052</v>
      </c>
      <c r="I7" s="484">
        <f t="shared" si="1"/>
        <v>0</v>
      </c>
      <c r="J7" s="1228"/>
      <c r="K7" s="1231"/>
    </row>
    <row r="8" spans="1:15">
      <c r="A8" s="1225"/>
      <c r="B8" s="1225"/>
      <c r="C8" s="1225"/>
      <c r="D8" s="226">
        <v>2023</v>
      </c>
      <c r="E8" s="484">
        <f t="shared" si="0"/>
        <v>2154380.0644200002</v>
      </c>
      <c r="F8" s="484">
        <f t="shared" si="1"/>
        <v>1676033.8104900003</v>
      </c>
      <c r="G8" s="484">
        <f t="shared" si="1"/>
        <v>436920.95484999998</v>
      </c>
      <c r="H8" s="484">
        <f t="shared" si="1"/>
        <v>41425.299079999975</v>
      </c>
      <c r="I8" s="484">
        <f t="shared" si="1"/>
        <v>0</v>
      </c>
      <c r="J8" s="1228"/>
      <c r="K8" s="1231"/>
    </row>
    <row r="9" spans="1:15">
      <c r="A9" s="1225"/>
      <c r="B9" s="1225"/>
      <c r="C9" s="1225"/>
      <c r="D9" s="226">
        <v>2024</v>
      </c>
      <c r="E9" s="612">
        <f t="shared" si="0"/>
        <v>3455370.2345410525</v>
      </c>
      <c r="F9" s="612">
        <f t="shared" si="1"/>
        <v>2733718.6086800001</v>
      </c>
      <c r="G9" s="612">
        <f t="shared" si="1"/>
        <v>632873.55863999994</v>
      </c>
      <c r="H9" s="612">
        <f t="shared" si="1"/>
        <v>77778.067221052625</v>
      </c>
      <c r="I9" s="612">
        <f t="shared" si="1"/>
        <v>11000</v>
      </c>
      <c r="J9" s="1228"/>
      <c r="K9" s="1231"/>
    </row>
    <row r="10" spans="1:15">
      <c r="A10" s="1225"/>
      <c r="B10" s="1225"/>
      <c r="C10" s="1225"/>
      <c r="D10" s="226">
        <v>2025</v>
      </c>
      <c r="E10" s="484">
        <f t="shared" ref="E10:E46" si="2">SUM(F10:I10)</f>
        <v>2560786.7540799999</v>
      </c>
      <c r="F10" s="484">
        <f t="shared" si="1"/>
        <v>2453404.6457499997</v>
      </c>
      <c r="G10" s="484">
        <f t="shared" si="1"/>
        <v>90000</v>
      </c>
      <c r="H10" s="484">
        <f t="shared" si="1"/>
        <v>17382.108329999999</v>
      </c>
      <c r="I10" s="484">
        <f t="shared" si="1"/>
        <v>0</v>
      </c>
      <c r="J10" s="1228"/>
      <c r="K10" s="1231"/>
    </row>
    <row r="11" spans="1:15">
      <c r="A11" s="1226"/>
      <c r="B11" s="1226"/>
      <c r="C11" s="1226"/>
      <c r="D11" s="226">
        <v>2026</v>
      </c>
      <c r="E11" s="484">
        <f t="shared" si="2"/>
        <v>1849580.0891000002</v>
      </c>
      <c r="F11" s="484">
        <f>SUM(F32,F213,F421,F946)</f>
        <v>1796990.5658000002</v>
      </c>
      <c r="G11" s="484">
        <f>SUM(G32,G213,G421,G946)</f>
        <v>36000</v>
      </c>
      <c r="H11" s="484">
        <f>SUM(H32,H213,H421,H946)</f>
        <v>16589.523300000001</v>
      </c>
      <c r="I11" s="484">
        <f>SUM(I32,I213,I421,I946)</f>
        <v>0</v>
      </c>
      <c r="J11" s="1229"/>
      <c r="K11" s="1232"/>
    </row>
    <row r="12" spans="1:15">
      <c r="A12" s="1224"/>
      <c r="B12" s="1224" t="s">
        <v>237</v>
      </c>
      <c r="C12" s="1224" t="s">
        <v>235</v>
      </c>
      <c r="D12" s="226" t="s">
        <v>3</v>
      </c>
      <c r="E12" s="484">
        <f t="shared" si="2"/>
        <v>9970869.1364678424</v>
      </c>
      <c r="F12" s="484">
        <f>SUM(F13:F18)</f>
        <v>9470446.8891700003</v>
      </c>
      <c r="G12" s="484">
        <f>SUM(G13:G18)</f>
        <v>327292.04249000002</v>
      </c>
      <c r="H12" s="484">
        <f>SUM(H13:H18)</f>
        <v>173130.20480784267</v>
      </c>
      <c r="I12" s="484">
        <v>0</v>
      </c>
      <c r="J12" s="1227"/>
      <c r="K12" s="1230" t="s">
        <v>65</v>
      </c>
    </row>
    <row r="13" spans="1:15">
      <c r="A13" s="1225"/>
      <c r="B13" s="1225"/>
      <c r="C13" s="1225"/>
      <c r="D13" s="226">
        <v>2021</v>
      </c>
      <c r="E13" s="484">
        <f t="shared" si="2"/>
        <v>1143437.1402100001</v>
      </c>
      <c r="F13" s="484">
        <f t="shared" ref="F13:H18" si="3">F6-F20</f>
        <v>1079783.2501300001</v>
      </c>
      <c r="G13" s="484">
        <f t="shared" si="3"/>
        <v>44391.299000000028</v>
      </c>
      <c r="H13" s="484">
        <f t="shared" si="3"/>
        <v>19262.591080000006</v>
      </c>
      <c r="I13" s="484">
        <v>0</v>
      </c>
      <c r="J13" s="1228"/>
      <c r="K13" s="1231"/>
      <c r="O13" s="223" t="s">
        <v>6</v>
      </c>
    </row>
    <row r="14" spans="1:15">
      <c r="A14" s="1225"/>
      <c r="B14" s="1225"/>
      <c r="C14" s="1225"/>
      <c r="D14" s="226">
        <v>2022</v>
      </c>
      <c r="E14" s="484">
        <f t="shared" si="2"/>
        <v>1725609.8373178432</v>
      </c>
      <c r="F14" s="484">
        <f t="shared" si="3"/>
        <v>1637815.2563600005</v>
      </c>
      <c r="G14" s="484">
        <f t="shared" si="3"/>
        <v>66437.87</v>
      </c>
      <c r="H14" s="484">
        <f t="shared" si="3"/>
        <v>21356.710957842668</v>
      </c>
      <c r="I14" s="484">
        <v>0</v>
      </c>
      <c r="J14" s="1228"/>
      <c r="K14" s="1231"/>
      <c r="M14" s="225"/>
      <c r="O14" s="223">
        <f>SUM(H28,H209,H452,H466,H557,H592,H599,H606,H613,H676,H711,H781,H788,H795,H802,H844,H914,H942)</f>
        <v>21356.710957842668</v>
      </c>
    </row>
    <row r="15" spans="1:15">
      <c r="A15" s="1225"/>
      <c r="B15" s="1225"/>
      <c r="C15" s="1225"/>
      <c r="D15" s="226">
        <v>2023</v>
      </c>
      <c r="E15" s="484">
        <f t="shared" si="2"/>
        <v>1506558.2582200002</v>
      </c>
      <c r="F15" s="484">
        <f t="shared" si="3"/>
        <v>1461119.3400300003</v>
      </c>
      <c r="G15" s="484">
        <f t="shared" si="3"/>
        <v>12210.214849999989</v>
      </c>
      <c r="H15" s="484">
        <f t="shared" si="3"/>
        <v>33228.70334</v>
      </c>
      <c r="I15" s="484">
        <v>0</v>
      </c>
      <c r="J15" s="1228"/>
      <c r="K15" s="1231"/>
    </row>
    <row r="16" spans="1:15">
      <c r="A16" s="1225"/>
      <c r="B16" s="1225"/>
      <c r="C16" s="1225"/>
      <c r="D16" s="226">
        <v>2024</v>
      </c>
      <c r="E16" s="612">
        <f t="shared" si="2"/>
        <v>2147706.63754</v>
      </c>
      <c r="F16" s="612">
        <f t="shared" si="3"/>
        <v>2003350.8261000002</v>
      </c>
      <c r="G16" s="612">
        <f t="shared" si="3"/>
        <v>78252.658640000038</v>
      </c>
      <c r="H16" s="612">
        <f t="shared" si="3"/>
        <v>66103.152799999996</v>
      </c>
      <c r="I16" s="612">
        <v>0</v>
      </c>
      <c r="J16" s="1228"/>
      <c r="K16" s="1231"/>
      <c r="M16" s="225">
        <f>2079429.33+1632.045</f>
        <v>2081061.375</v>
      </c>
      <c r="O16" s="223">
        <f>SUM(H30,H211,H454,H468,H559,H594,H601,H608,H615,H678,H713,H783,H790,H797,H804,H846,H916,H944)</f>
        <v>66103.152799999996</v>
      </c>
    </row>
    <row r="17" spans="1:15">
      <c r="A17" s="1225"/>
      <c r="B17" s="1225"/>
      <c r="C17" s="1225"/>
      <c r="D17" s="226">
        <v>2025</v>
      </c>
      <c r="E17" s="484">
        <f t="shared" si="2"/>
        <v>1597977.1740799996</v>
      </c>
      <c r="F17" s="484">
        <f t="shared" si="3"/>
        <v>1491387.6507499996</v>
      </c>
      <c r="G17" s="484">
        <f t="shared" si="3"/>
        <v>90000</v>
      </c>
      <c r="H17" s="484">
        <f t="shared" si="3"/>
        <v>16589.52333</v>
      </c>
      <c r="I17" s="484">
        <v>0</v>
      </c>
      <c r="J17" s="1228"/>
      <c r="K17" s="1231"/>
      <c r="M17" s="225">
        <f>F16+G16</f>
        <v>2081603.4847400002</v>
      </c>
      <c r="O17" s="223">
        <f>SUM(H31,H212,H456,H470,H561,H596,H602,H610,H617,H680,H714,H785,H792,H799,H806,H847,H917,H945)</f>
        <v>16589.52333</v>
      </c>
    </row>
    <row r="18" spans="1:15">
      <c r="A18" s="1226"/>
      <c r="B18" s="1226"/>
      <c r="C18" s="1226"/>
      <c r="D18" s="226">
        <v>2026</v>
      </c>
      <c r="E18" s="484">
        <f t="shared" si="2"/>
        <v>1849580.0891000002</v>
      </c>
      <c r="F18" s="484">
        <f t="shared" si="3"/>
        <v>1796990.5658000002</v>
      </c>
      <c r="G18" s="484">
        <f t="shared" si="3"/>
        <v>36000</v>
      </c>
      <c r="H18" s="484">
        <f t="shared" si="3"/>
        <v>16589.523300000001</v>
      </c>
      <c r="I18" s="484">
        <f>I11-I25</f>
        <v>0</v>
      </c>
      <c r="J18" s="1229"/>
      <c r="K18" s="1232"/>
      <c r="M18" s="225">
        <f>M17-M16</f>
        <v>542.10974000021815</v>
      </c>
    </row>
    <row r="19" spans="1:15">
      <c r="A19" s="1224"/>
      <c r="B19" s="1224" t="s">
        <v>238</v>
      </c>
      <c r="C19" s="1224" t="s">
        <v>235</v>
      </c>
      <c r="D19" s="226" t="s">
        <v>3</v>
      </c>
      <c r="E19" s="484">
        <f t="shared" si="2"/>
        <v>4545868.0183379613</v>
      </c>
      <c r="F19" s="484">
        <f>F20+F21+F22+F23+F24+F25</f>
        <v>3016582.7341200002</v>
      </c>
      <c r="G19" s="484">
        <f>G20+G21+G22+G23+G24+G25</f>
        <v>1414428.2389999998</v>
      </c>
      <c r="H19" s="484">
        <f>H20+H21+H22+H23+H24+H25</f>
        <v>103857.04521796084</v>
      </c>
      <c r="I19" s="484">
        <f>I20+I21+I22+I23+I24+I25</f>
        <v>11000</v>
      </c>
      <c r="J19" s="1227"/>
      <c r="K19" s="1230" t="s">
        <v>239</v>
      </c>
      <c r="N19" s="225">
        <f>F74+F88+F95+F102+F109+F129+F150+F157+F164+F192+F199+F227+F234+F241+F248+F255+F325+F395+F603+F715+F827+F834+F855+F918+F960</f>
        <v>1796990.5658000002</v>
      </c>
    </row>
    <row r="20" spans="1:15">
      <c r="A20" s="1225"/>
      <c r="B20" s="1225"/>
      <c r="C20" s="1225"/>
      <c r="D20" s="226">
        <v>2021</v>
      </c>
      <c r="E20" s="484">
        <f t="shared" si="2"/>
        <v>469791.46158165036</v>
      </c>
      <c r="F20" s="484">
        <f t="shared" ref="F20:I25" si="4">F430+F437+F444+F458+F472+F479+F486+F493+F500+F507+F514+F521+F528+F535+F542+F549+F563+F570+F577+F619+F626+F633+F640+F647+F654+F661+F668+F682+F689+F696+F703+F717+F724+F731+F738+F745+F752+F759+F766+F773+F808+F815+F836+F864+F871+F878+F892+F899+F920+F927+F934</f>
        <v>188127.04001999999</v>
      </c>
      <c r="G20" s="484">
        <f t="shared" si="4"/>
        <v>257488.69899999999</v>
      </c>
      <c r="H20" s="484">
        <f t="shared" si="4"/>
        <v>24175.722561650378</v>
      </c>
      <c r="I20" s="484">
        <f t="shared" si="4"/>
        <v>0</v>
      </c>
      <c r="J20" s="1228"/>
      <c r="K20" s="1231"/>
    </row>
    <row r="21" spans="1:15">
      <c r="A21" s="1225"/>
      <c r="B21" s="1225"/>
      <c r="C21" s="1225"/>
      <c r="D21" s="226">
        <v>2022</v>
      </c>
      <c r="E21" s="484">
        <f t="shared" si="2"/>
        <v>1157781.5735552576</v>
      </c>
      <c r="F21" s="484">
        <f t="shared" si="4"/>
        <v>921156.44605999999</v>
      </c>
      <c r="G21" s="484">
        <f t="shared" si="4"/>
        <v>177607.9</v>
      </c>
      <c r="H21" s="484">
        <f t="shared" si="4"/>
        <v>59017.227495257852</v>
      </c>
      <c r="I21" s="484">
        <f t="shared" si="4"/>
        <v>0</v>
      </c>
      <c r="J21" s="1228"/>
      <c r="K21" s="1231"/>
    </row>
    <row r="22" spans="1:15">
      <c r="A22" s="1225"/>
      <c r="B22" s="1225"/>
      <c r="C22" s="1225"/>
      <c r="D22" s="226">
        <v>2023</v>
      </c>
      <c r="E22" s="484">
        <f t="shared" si="2"/>
        <v>647821.80619999999</v>
      </c>
      <c r="F22" s="484">
        <f t="shared" si="4"/>
        <v>214914.47045999998</v>
      </c>
      <c r="G22" s="484">
        <f t="shared" si="4"/>
        <v>424710.74</v>
      </c>
      <c r="H22" s="484">
        <f t="shared" si="4"/>
        <v>8196.5957399999752</v>
      </c>
      <c r="I22" s="484">
        <f t="shared" si="4"/>
        <v>0</v>
      </c>
      <c r="J22" s="1228"/>
      <c r="K22" s="1231"/>
    </row>
    <row r="23" spans="1:15">
      <c r="A23" s="1225"/>
      <c r="B23" s="1225"/>
      <c r="C23" s="1225"/>
      <c r="D23" s="226">
        <v>2024</v>
      </c>
      <c r="E23" s="612">
        <f t="shared" si="2"/>
        <v>1307663.5970010525</v>
      </c>
      <c r="F23" s="612">
        <f t="shared" si="4"/>
        <v>730367.78258</v>
      </c>
      <c r="G23" s="612">
        <f t="shared" si="4"/>
        <v>554620.89999999991</v>
      </c>
      <c r="H23" s="612">
        <f t="shared" si="4"/>
        <v>11674.914421052632</v>
      </c>
      <c r="I23" s="612">
        <f t="shared" si="4"/>
        <v>11000</v>
      </c>
      <c r="J23" s="1228"/>
      <c r="K23" s="1231"/>
      <c r="M23" s="225"/>
      <c r="N23" s="225"/>
    </row>
    <row r="24" spans="1:15">
      <c r="A24" s="1225"/>
      <c r="B24" s="1225"/>
      <c r="C24" s="1225"/>
      <c r="D24" s="226">
        <v>2025</v>
      </c>
      <c r="E24" s="484">
        <f t="shared" si="2"/>
        <v>962809.58000000007</v>
      </c>
      <c r="F24" s="484">
        <f t="shared" si="4"/>
        <v>962016.99500000011</v>
      </c>
      <c r="G24" s="484">
        <f t="shared" si="4"/>
        <v>0</v>
      </c>
      <c r="H24" s="484">
        <f t="shared" si="4"/>
        <v>792.58500000000004</v>
      </c>
      <c r="I24" s="484">
        <f t="shared" si="4"/>
        <v>0</v>
      </c>
      <c r="J24" s="1228"/>
      <c r="K24" s="1231"/>
    </row>
    <row r="25" spans="1:15">
      <c r="A25" s="1226"/>
      <c r="B25" s="1226"/>
      <c r="C25" s="1226"/>
      <c r="D25" s="226">
        <v>2026</v>
      </c>
      <c r="E25" s="484">
        <f t="shared" si="2"/>
        <v>0</v>
      </c>
      <c r="F25" s="484">
        <f t="shared" si="4"/>
        <v>0</v>
      </c>
      <c r="G25" s="484">
        <f t="shared" si="4"/>
        <v>0</v>
      </c>
      <c r="H25" s="484">
        <f t="shared" si="4"/>
        <v>0</v>
      </c>
      <c r="I25" s="484">
        <f t="shared" si="4"/>
        <v>0</v>
      </c>
      <c r="J25" s="1229"/>
      <c r="K25" s="1232"/>
    </row>
    <row r="26" spans="1:15">
      <c r="A26" s="1224" t="s">
        <v>240</v>
      </c>
      <c r="B26" s="1224" t="s">
        <v>110</v>
      </c>
      <c r="C26" s="1224" t="s">
        <v>235</v>
      </c>
      <c r="D26" s="226" t="s">
        <v>3</v>
      </c>
      <c r="E26" s="484">
        <f t="shared" si="2"/>
        <v>1756820.7149800002</v>
      </c>
      <c r="F26" s="484">
        <f>SUM(F27:F32)</f>
        <v>1675404.6533600001</v>
      </c>
      <c r="G26" s="484">
        <f>SUM(G27:G31)</f>
        <v>23683.307479999996</v>
      </c>
      <c r="H26" s="484">
        <f>SUM(H27:H31)</f>
        <v>57732.754140000005</v>
      </c>
      <c r="I26" s="484">
        <f>SUM(I27:I31)</f>
        <v>0</v>
      </c>
      <c r="J26" s="1227"/>
      <c r="K26" s="1230" t="s">
        <v>241</v>
      </c>
      <c r="L26" s="1233" t="s">
        <v>242</v>
      </c>
    </row>
    <row r="27" spans="1:15">
      <c r="A27" s="1225"/>
      <c r="B27" s="1225"/>
      <c r="C27" s="1225"/>
      <c r="D27" s="226">
        <v>2021</v>
      </c>
      <c r="E27" s="484">
        <f t="shared" si="2"/>
        <v>138607.88275000002</v>
      </c>
      <c r="F27" s="484">
        <f t="shared" ref="F27:I30" si="5">F34+F62+F173</f>
        <v>118407.68375000001</v>
      </c>
      <c r="G27" s="484">
        <f t="shared" si="5"/>
        <v>20200.198999999997</v>
      </c>
      <c r="H27" s="484">
        <f t="shared" si="5"/>
        <v>0</v>
      </c>
      <c r="I27" s="484">
        <f t="shared" si="5"/>
        <v>0</v>
      </c>
      <c r="J27" s="1228"/>
      <c r="K27" s="1231"/>
      <c r="L27" s="1233"/>
    </row>
    <row r="28" spans="1:15">
      <c r="A28" s="1225"/>
      <c r="B28" s="1225"/>
      <c r="C28" s="1225"/>
      <c r="D28" s="226">
        <v>2022</v>
      </c>
      <c r="E28" s="484">
        <f t="shared" si="2"/>
        <v>284204.41166000004</v>
      </c>
      <c r="F28" s="484">
        <f t="shared" si="5"/>
        <v>281836.93466000003</v>
      </c>
      <c r="G28" s="484">
        <f t="shared" si="5"/>
        <v>2367.4769999999999</v>
      </c>
      <c r="H28" s="484">
        <f t="shared" si="5"/>
        <v>0</v>
      </c>
      <c r="I28" s="484">
        <f t="shared" si="5"/>
        <v>0</v>
      </c>
      <c r="J28" s="1228"/>
      <c r="K28" s="1231"/>
      <c r="L28" s="1233"/>
    </row>
    <row r="29" spans="1:15">
      <c r="A29" s="1225"/>
      <c r="B29" s="1225"/>
      <c r="C29" s="1225"/>
      <c r="D29" s="226">
        <v>2023</v>
      </c>
      <c r="E29" s="484">
        <f t="shared" si="2"/>
        <v>296877.74302999995</v>
      </c>
      <c r="F29" s="484">
        <f t="shared" si="5"/>
        <v>283276.32020999998</v>
      </c>
      <c r="G29" s="484">
        <f t="shared" si="5"/>
        <v>1115.63148</v>
      </c>
      <c r="H29" s="484">
        <f t="shared" si="5"/>
        <v>12485.79134</v>
      </c>
      <c r="I29" s="484">
        <f t="shared" si="5"/>
        <v>0</v>
      </c>
      <c r="J29" s="1228"/>
      <c r="K29" s="1231"/>
      <c r="L29" s="1233"/>
    </row>
    <row r="30" spans="1:15">
      <c r="A30" s="1225"/>
      <c r="B30" s="1225"/>
      <c r="C30" s="1225"/>
      <c r="D30" s="226">
        <v>2024</v>
      </c>
      <c r="E30" s="484">
        <f t="shared" si="2"/>
        <v>542015.88037999999</v>
      </c>
      <c r="F30" s="484">
        <f t="shared" si="5"/>
        <v>496768.91758000001</v>
      </c>
      <c r="G30" s="484">
        <f t="shared" si="5"/>
        <v>0</v>
      </c>
      <c r="H30" s="484">
        <f t="shared" si="5"/>
        <v>45246.962800000001</v>
      </c>
      <c r="I30" s="484">
        <f t="shared" si="5"/>
        <v>0</v>
      </c>
      <c r="J30" s="1228"/>
      <c r="K30" s="1231"/>
      <c r="L30" s="1233"/>
    </row>
    <row r="31" spans="1:15">
      <c r="A31" s="1225"/>
      <c r="B31" s="1225"/>
      <c r="C31" s="1225"/>
      <c r="D31" s="226">
        <v>2025</v>
      </c>
      <c r="E31" s="484">
        <f t="shared" si="2"/>
        <v>247557.39858000001</v>
      </c>
      <c r="F31" s="484">
        <f>F39+F66+F177</f>
        <v>247557.39858000001</v>
      </c>
      <c r="G31" s="484">
        <f>G39+G66+G177</f>
        <v>0</v>
      </c>
      <c r="H31" s="484">
        <f>H39+H66+H177</f>
        <v>0</v>
      </c>
      <c r="I31" s="484">
        <f>I39+I66+I177</f>
        <v>0</v>
      </c>
      <c r="J31" s="1228"/>
      <c r="K31" s="1231"/>
      <c r="L31" s="1233"/>
    </row>
    <row r="32" spans="1:15">
      <c r="A32" s="1226"/>
      <c r="B32" s="1226"/>
      <c r="C32" s="1226"/>
      <c r="D32" s="226">
        <v>2026</v>
      </c>
      <c r="E32" s="484">
        <f t="shared" si="2"/>
        <v>247557.39858000001</v>
      </c>
      <c r="F32" s="484">
        <f>SUM(F67,F178)</f>
        <v>247557.39858000001</v>
      </c>
      <c r="G32" s="484">
        <f>SUM(G67,G178)</f>
        <v>0</v>
      </c>
      <c r="H32" s="484">
        <f>SUM(H67,H178)</f>
        <v>0</v>
      </c>
      <c r="I32" s="484">
        <f>SUM(I67,I178)</f>
        <v>0</v>
      </c>
      <c r="J32" s="1229"/>
      <c r="K32" s="1232"/>
    </row>
    <row r="33" spans="1:12">
      <c r="A33" s="1219" t="s">
        <v>243</v>
      </c>
      <c r="B33" s="1220" t="s">
        <v>244</v>
      </c>
      <c r="C33" s="1224" t="s">
        <v>235</v>
      </c>
      <c r="D33" s="226" t="s">
        <v>3</v>
      </c>
      <c r="E33" s="484">
        <f t="shared" si="2"/>
        <v>3054.4259999999999</v>
      </c>
      <c r="F33" s="484">
        <f>SUM(F34:F39)</f>
        <v>3054.4259999999999</v>
      </c>
      <c r="G33" s="484">
        <f>SUM(G34:G39)</f>
        <v>0</v>
      </c>
      <c r="H33" s="484">
        <f>SUM(H34:H39)</f>
        <v>0</v>
      </c>
      <c r="I33" s="484">
        <f>SUM(I34:I39)</f>
        <v>0</v>
      </c>
      <c r="J33" s="1227" t="s">
        <v>245</v>
      </c>
      <c r="K33" s="1223" t="s">
        <v>246</v>
      </c>
      <c r="L33" s="1233"/>
    </row>
    <row r="34" spans="1:12">
      <c r="A34" s="1219"/>
      <c r="B34" s="1220"/>
      <c r="C34" s="1225"/>
      <c r="D34" s="226">
        <v>2021</v>
      </c>
      <c r="E34" s="484">
        <f t="shared" si="2"/>
        <v>3054.4259999999999</v>
      </c>
      <c r="F34" s="484">
        <f t="shared" ref="F34:I39" si="6">F41+F48</f>
        <v>3054.4259999999999</v>
      </c>
      <c r="G34" s="484">
        <f t="shared" si="6"/>
        <v>0</v>
      </c>
      <c r="H34" s="484">
        <f t="shared" si="6"/>
        <v>0</v>
      </c>
      <c r="I34" s="484">
        <f t="shared" si="6"/>
        <v>0</v>
      </c>
      <c r="J34" s="1228"/>
      <c r="K34" s="1223"/>
      <c r="L34" s="1233"/>
    </row>
    <row r="35" spans="1:12">
      <c r="A35" s="1219"/>
      <c r="B35" s="1220"/>
      <c r="C35" s="1225"/>
      <c r="D35" s="226">
        <v>2022</v>
      </c>
      <c r="E35" s="484">
        <f t="shared" si="2"/>
        <v>0</v>
      </c>
      <c r="F35" s="484">
        <f t="shared" si="6"/>
        <v>0</v>
      </c>
      <c r="G35" s="484">
        <f t="shared" si="6"/>
        <v>0</v>
      </c>
      <c r="H35" s="484">
        <f t="shared" si="6"/>
        <v>0</v>
      </c>
      <c r="I35" s="484">
        <f t="shared" si="6"/>
        <v>0</v>
      </c>
      <c r="J35" s="1228"/>
      <c r="K35" s="1223"/>
      <c r="L35" s="1233"/>
    </row>
    <row r="36" spans="1:12">
      <c r="A36" s="1219"/>
      <c r="B36" s="1220"/>
      <c r="C36" s="1225"/>
      <c r="D36" s="226">
        <v>2023</v>
      </c>
      <c r="E36" s="484">
        <f t="shared" si="2"/>
        <v>0</v>
      </c>
      <c r="F36" s="484">
        <f t="shared" si="6"/>
        <v>0</v>
      </c>
      <c r="G36" s="484">
        <f t="shared" si="6"/>
        <v>0</v>
      </c>
      <c r="H36" s="484">
        <f t="shared" si="6"/>
        <v>0</v>
      </c>
      <c r="I36" s="484">
        <f t="shared" si="6"/>
        <v>0</v>
      </c>
      <c r="J36" s="1228"/>
      <c r="K36" s="1223"/>
      <c r="L36" s="1233"/>
    </row>
    <row r="37" spans="1:12">
      <c r="A37" s="1219"/>
      <c r="B37" s="1220"/>
      <c r="C37" s="1225"/>
      <c r="D37" s="226">
        <v>2024</v>
      </c>
      <c r="E37" s="484">
        <f t="shared" si="2"/>
        <v>0</v>
      </c>
      <c r="F37" s="484">
        <f>F44+F51+F58</f>
        <v>0</v>
      </c>
      <c r="G37" s="484">
        <f t="shared" si="6"/>
        <v>0</v>
      </c>
      <c r="H37" s="484">
        <f t="shared" si="6"/>
        <v>0</v>
      </c>
      <c r="I37" s="484">
        <f t="shared" si="6"/>
        <v>0</v>
      </c>
      <c r="J37" s="1228"/>
      <c r="K37" s="1223"/>
      <c r="L37" s="1233"/>
    </row>
    <row r="38" spans="1:12">
      <c r="A38" s="1219"/>
      <c r="B38" s="1220"/>
      <c r="C38" s="1225"/>
      <c r="D38" s="226">
        <v>2025</v>
      </c>
      <c r="E38" s="484">
        <v>0</v>
      </c>
      <c r="F38" s="484">
        <v>0</v>
      </c>
      <c r="G38" s="484">
        <v>0</v>
      </c>
      <c r="H38" s="484">
        <v>0</v>
      </c>
      <c r="I38" s="484">
        <v>0</v>
      </c>
      <c r="J38" s="1228"/>
      <c r="K38" s="1223"/>
      <c r="L38" s="1233"/>
    </row>
    <row r="39" spans="1:12">
      <c r="A39" s="1219"/>
      <c r="B39" s="1220"/>
      <c r="C39" s="1226"/>
      <c r="D39" s="226">
        <v>2026</v>
      </c>
      <c r="E39" s="484">
        <f t="shared" si="2"/>
        <v>0</v>
      </c>
      <c r="F39" s="484">
        <f>F46+F53</f>
        <v>0</v>
      </c>
      <c r="G39" s="484">
        <f t="shared" si="6"/>
        <v>0</v>
      </c>
      <c r="H39" s="484">
        <f t="shared" si="6"/>
        <v>0</v>
      </c>
      <c r="I39" s="484">
        <f t="shared" si="6"/>
        <v>0</v>
      </c>
      <c r="J39" s="1229"/>
      <c r="K39" s="1223"/>
      <c r="L39" s="1233"/>
    </row>
    <row r="40" spans="1:12">
      <c r="A40" s="1219" t="s">
        <v>247</v>
      </c>
      <c r="B40" s="1220" t="s">
        <v>248</v>
      </c>
      <c r="C40" s="1219" t="s">
        <v>249</v>
      </c>
      <c r="D40" s="226" t="s">
        <v>3</v>
      </c>
      <c r="E40" s="484">
        <f t="shared" si="2"/>
        <v>0</v>
      </c>
      <c r="F40" s="484">
        <f>SUM(F41:F46)</f>
        <v>0</v>
      </c>
      <c r="G40" s="484">
        <f>SUM(G41:G46)</f>
        <v>0</v>
      </c>
      <c r="H40" s="484">
        <f>SUM(H41:H46)</f>
        <v>0</v>
      </c>
      <c r="I40" s="484">
        <f>SUM(I41:I46)</f>
        <v>0</v>
      </c>
      <c r="J40" s="1222" t="s">
        <v>250</v>
      </c>
      <c r="K40" s="1223" t="s">
        <v>241</v>
      </c>
    </row>
    <row r="41" spans="1:12">
      <c r="A41" s="1219"/>
      <c r="B41" s="1220"/>
      <c r="C41" s="1219"/>
      <c r="D41" s="226">
        <v>2021</v>
      </c>
      <c r="E41" s="484">
        <f t="shared" si="2"/>
        <v>0</v>
      </c>
      <c r="F41" s="484">
        <v>0</v>
      </c>
      <c r="G41" s="484">
        <v>0</v>
      </c>
      <c r="H41" s="484">
        <v>0</v>
      </c>
      <c r="I41" s="484">
        <v>0</v>
      </c>
      <c r="J41" s="1222"/>
      <c r="K41" s="1223"/>
    </row>
    <row r="42" spans="1:12">
      <c r="A42" s="1219"/>
      <c r="B42" s="1220"/>
      <c r="C42" s="1219"/>
      <c r="D42" s="226">
        <v>2022</v>
      </c>
      <c r="E42" s="484">
        <f t="shared" si="2"/>
        <v>0</v>
      </c>
      <c r="F42" s="484">
        <v>0</v>
      </c>
      <c r="G42" s="484">
        <v>0</v>
      </c>
      <c r="H42" s="484">
        <v>0</v>
      </c>
      <c r="I42" s="484">
        <v>0</v>
      </c>
      <c r="J42" s="1222"/>
      <c r="K42" s="1223"/>
    </row>
    <row r="43" spans="1:12">
      <c r="A43" s="1219"/>
      <c r="B43" s="1220"/>
      <c r="C43" s="1219"/>
      <c r="D43" s="226">
        <v>2023</v>
      </c>
      <c r="E43" s="484">
        <f t="shared" si="2"/>
        <v>0</v>
      </c>
      <c r="F43" s="484">
        <v>0</v>
      </c>
      <c r="G43" s="484">
        <v>0</v>
      </c>
      <c r="H43" s="484">
        <v>0</v>
      </c>
      <c r="I43" s="484">
        <v>0</v>
      </c>
      <c r="J43" s="1222"/>
      <c r="K43" s="1223"/>
    </row>
    <row r="44" spans="1:12">
      <c r="A44" s="1219"/>
      <c r="B44" s="1220"/>
      <c r="C44" s="1219"/>
      <c r="D44" s="226">
        <v>2024</v>
      </c>
      <c r="E44" s="484">
        <f t="shared" si="2"/>
        <v>0</v>
      </c>
      <c r="F44" s="484">
        <v>0</v>
      </c>
      <c r="G44" s="484">
        <v>0</v>
      </c>
      <c r="H44" s="484">
        <v>0</v>
      </c>
      <c r="I44" s="484">
        <v>0</v>
      </c>
      <c r="J44" s="1222"/>
      <c r="K44" s="1223"/>
    </row>
    <row r="45" spans="1:12">
      <c r="A45" s="1219"/>
      <c r="B45" s="1220"/>
      <c r="C45" s="1219"/>
      <c r="D45" s="226">
        <v>2025</v>
      </c>
      <c r="E45" s="484">
        <v>0</v>
      </c>
      <c r="F45" s="484">
        <v>0</v>
      </c>
      <c r="G45" s="484">
        <v>0</v>
      </c>
      <c r="H45" s="484">
        <v>0</v>
      </c>
      <c r="I45" s="484">
        <v>0</v>
      </c>
      <c r="J45" s="1222"/>
      <c r="K45" s="1223"/>
    </row>
    <row r="46" spans="1:12">
      <c r="A46" s="1219"/>
      <c r="B46" s="1220"/>
      <c r="C46" s="1219"/>
      <c r="D46" s="226">
        <v>2026</v>
      </c>
      <c r="E46" s="484">
        <f t="shared" si="2"/>
        <v>0</v>
      </c>
      <c r="F46" s="484">
        <v>0</v>
      </c>
      <c r="G46" s="484">
        <v>0</v>
      </c>
      <c r="H46" s="484">
        <v>0</v>
      </c>
      <c r="I46" s="484">
        <v>0</v>
      </c>
      <c r="J46" s="1222"/>
      <c r="K46" s="1223"/>
    </row>
    <row r="47" spans="1:12">
      <c r="A47" s="1219" t="s">
        <v>251</v>
      </c>
      <c r="B47" s="1220" t="s">
        <v>252</v>
      </c>
      <c r="C47" s="1219" t="s">
        <v>249</v>
      </c>
      <c r="D47" s="226" t="s">
        <v>3</v>
      </c>
      <c r="E47" s="484">
        <f>SUM(E48:E53)</f>
        <v>3054.4259999999999</v>
      </c>
      <c r="F47" s="484">
        <f>SUM(F48:F53)</f>
        <v>3054.4259999999999</v>
      </c>
      <c r="G47" s="484">
        <f>SUM(G48:G53)</f>
        <v>0</v>
      </c>
      <c r="H47" s="484">
        <f>SUM(H48:H53)</f>
        <v>0</v>
      </c>
      <c r="I47" s="484">
        <f>SUM(I48:I53)</f>
        <v>0</v>
      </c>
      <c r="J47" s="1222" t="s">
        <v>253</v>
      </c>
      <c r="K47" s="1223" t="s">
        <v>254</v>
      </c>
      <c r="L47" s="1233"/>
    </row>
    <row r="48" spans="1:12">
      <c r="A48" s="1219"/>
      <c r="B48" s="1220"/>
      <c r="C48" s="1219"/>
      <c r="D48" s="226">
        <v>2021</v>
      </c>
      <c r="E48" s="484">
        <f t="shared" ref="E48:E53" si="7">SUM(F48:I48)</f>
        <v>3054.4259999999999</v>
      </c>
      <c r="F48" s="484">
        <v>3054.4259999999999</v>
      </c>
      <c r="G48" s="484">
        <v>0</v>
      </c>
      <c r="H48" s="484">
        <v>0</v>
      </c>
      <c r="I48" s="484">
        <v>0</v>
      </c>
      <c r="J48" s="1222"/>
      <c r="K48" s="1223"/>
      <c r="L48" s="1233"/>
    </row>
    <row r="49" spans="1:14">
      <c r="A49" s="1219"/>
      <c r="B49" s="1220"/>
      <c r="C49" s="1219"/>
      <c r="D49" s="226">
        <v>2022</v>
      </c>
      <c r="E49" s="484">
        <f t="shared" si="7"/>
        <v>0</v>
      </c>
      <c r="F49" s="484">
        <v>0</v>
      </c>
      <c r="G49" s="484">
        <v>0</v>
      </c>
      <c r="H49" s="484">
        <v>0</v>
      </c>
      <c r="I49" s="484">
        <v>0</v>
      </c>
      <c r="J49" s="1222"/>
      <c r="K49" s="1223"/>
      <c r="L49" s="1233"/>
    </row>
    <row r="50" spans="1:14">
      <c r="A50" s="1219"/>
      <c r="B50" s="1220"/>
      <c r="C50" s="1219"/>
      <c r="D50" s="226">
        <v>2023</v>
      </c>
      <c r="E50" s="484">
        <f t="shared" si="7"/>
        <v>0</v>
      </c>
      <c r="F50" s="484">
        <v>0</v>
      </c>
      <c r="G50" s="484">
        <v>0</v>
      </c>
      <c r="H50" s="484">
        <v>0</v>
      </c>
      <c r="I50" s="484">
        <v>0</v>
      </c>
      <c r="J50" s="1222"/>
      <c r="K50" s="1223"/>
      <c r="L50" s="1233"/>
    </row>
    <row r="51" spans="1:14">
      <c r="A51" s="1219"/>
      <c r="B51" s="1220"/>
      <c r="C51" s="1219"/>
      <c r="D51" s="226">
        <v>2024</v>
      </c>
      <c r="E51" s="484">
        <f t="shared" si="7"/>
        <v>0</v>
      </c>
      <c r="F51" s="484">
        <v>0</v>
      </c>
      <c r="G51" s="484">
        <v>0</v>
      </c>
      <c r="H51" s="484">
        <v>0</v>
      </c>
      <c r="I51" s="484">
        <v>0</v>
      </c>
      <c r="J51" s="1222"/>
      <c r="K51" s="1223"/>
      <c r="L51" s="1233"/>
    </row>
    <row r="52" spans="1:14">
      <c r="A52" s="1219"/>
      <c r="B52" s="1220"/>
      <c r="C52" s="1219"/>
      <c r="D52" s="226">
        <v>2025</v>
      </c>
      <c r="E52" s="484">
        <v>0</v>
      </c>
      <c r="F52" s="484">
        <v>0</v>
      </c>
      <c r="G52" s="484">
        <v>0</v>
      </c>
      <c r="H52" s="484">
        <v>0</v>
      </c>
      <c r="I52" s="484">
        <v>0</v>
      </c>
      <c r="J52" s="1222"/>
      <c r="K52" s="1223"/>
      <c r="L52" s="1233"/>
    </row>
    <row r="53" spans="1:14">
      <c r="A53" s="1219"/>
      <c r="B53" s="1220"/>
      <c r="C53" s="1219"/>
      <c r="D53" s="226">
        <v>2026</v>
      </c>
      <c r="E53" s="484">
        <f t="shared" si="7"/>
        <v>0</v>
      </c>
      <c r="F53" s="484">
        <v>0</v>
      </c>
      <c r="G53" s="484">
        <v>0</v>
      </c>
      <c r="H53" s="484">
        <v>0</v>
      </c>
      <c r="I53" s="484">
        <v>0</v>
      </c>
      <c r="J53" s="1222"/>
      <c r="K53" s="1223"/>
      <c r="L53" s="1233"/>
    </row>
    <row r="54" spans="1:14">
      <c r="A54" s="1235" t="s">
        <v>255</v>
      </c>
      <c r="B54" s="1220" t="s">
        <v>256</v>
      </c>
      <c r="C54" s="1224" t="s">
        <v>235</v>
      </c>
      <c r="D54" s="226" t="s">
        <v>3</v>
      </c>
      <c r="E54" s="484">
        <f>SUM(E55:E60)</f>
        <v>0</v>
      </c>
      <c r="F54" s="484">
        <f>SUM(F55:F60)</f>
        <v>0</v>
      </c>
      <c r="G54" s="484">
        <f>SUM(G55:G60)</f>
        <v>0</v>
      </c>
      <c r="H54" s="484">
        <f>SUM(H55:H60)</f>
        <v>0</v>
      </c>
      <c r="I54" s="484">
        <f>SUM(I55:I60)</f>
        <v>0</v>
      </c>
      <c r="J54" s="1222" t="s">
        <v>257</v>
      </c>
      <c r="K54" s="1223" t="s">
        <v>92</v>
      </c>
      <c r="L54" s="1233"/>
    </row>
    <row r="55" spans="1:14">
      <c r="A55" s="1235"/>
      <c r="B55" s="1220"/>
      <c r="C55" s="1225"/>
      <c r="D55" s="226">
        <v>2021</v>
      </c>
      <c r="E55" s="484">
        <f t="shared" ref="E55:E99" si="8">SUM(F55:I55)</f>
        <v>0</v>
      </c>
      <c r="F55" s="484">
        <v>0</v>
      </c>
      <c r="G55" s="484">
        <v>0</v>
      </c>
      <c r="H55" s="484">
        <v>0</v>
      </c>
      <c r="I55" s="484">
        <v>0</v>
      </c>
      <c r="J55" s="1222"/>
      <c r="K55" s="1223"/>
      <c r="L55" s="1233"/>
    </row>
    <row r="56" spans="1:14">
      <c r="A56" s="1235"/>
      <c r="B56" s="1220"/>
      <c r="C56" s="1225"/>
      <c r="D56" s="226">
        <v>2022</v>
      </c>
      <c r="E56" s="484">
        <f t="shared" si="8"/>
        <v>0</v>
      </c>
      <c r="F56" s="484">
        <v>0</v>
      </c>
      <c r="G56" s="484">
        <v>0</v>
      </c>
      <c r="H56" s="484">
        <v>0</v>
      </c>
      <c r="I56" s="484">
        <v>0</v>
      </c>
      <c r="J56" s="1222"/>
      <c r="K56" s="1223"/>
      <c r="L56" s="1233"/>
    </row>
    <row r="57" spans="1:14">
      <c r="A57" s="1235"/>
      <c r="B57" s="1220"/>
      <c r="C57" s="1225"/>
      <c r="D57" s="226">
        <v>2023</v>
      </c>
      <c r="E57" s="484">
        <f t="shared" si="8"/>
        <v>0</v>
      </c>
      <c r="F57" s="484">
        <v>0</v>
      </c>
      <c r="G57" s="484">
        <v>0</v>
      </c>
      <c r="H57" s="484">
        <v>0</v>
      </c>
      <c r="I57" s="484">
        <v>0</v>
      </c>
      <c r="J57" s="1222"/>
      <c r="K57" s="1223"/>
      <c r="L57" s="1233"/>
    </row>
    <row r="58" spans="1:14">
      <c r="A58" s="1235"/>
      <c r="B58" s="1220"/>
      <c r="C58" s="1225"/>
      <c r="D58" s="226">
        <v>2024</v>
      </c>
      <c r="E58" s="484">
        <f t="shared" si="8"/>
        <v>0</v>
      </c>
      <c r="F58" s="484">
        <f>2368-2368</f>
        <v>0</v>
      </c>
      <c r="G58" s="484">
        <v>0</v>
      </c>
      <c r="H58" s="484">
        <v>0</v>
      </c>
      <c r="I58" s="484">
        <v>0</v>
      </c>
      <c r="J58" s="1222"/>
      <c r="K58" s="1223"/>
      <c r="L58" s="1233"/>
      <c r="N58" s="223">
        <f>SUBTOTAL(9,F58,F72,F86,F93,F100,F107,F127,F148,F155,F162,F176,F225,F232,F246,F253,F365,F323,F372,F379,F386,F393,F400,G400,F587,F853,G853,F916,F958)</f>
        <v>2133008.52935</v>
      </c>
    </row>
    <row r="59" spans="1:14">
      <c r="A59" s="1235"/>
      <c r="B59" s="1220"/>
      <c r="C59" s="1225"/>
      <c r="D59" s="226">
        <v>2025</v>
      </c>
      <c r="E59" s="484">
        <v>0</v>
      </c>
      <c r="F59" s="484">
        <v>0</v>
      </c>
      <c r="G59" s="484">
        <v>0</v>
      </c>
      <c r="H59" s="484">
        <v>0</v>
      </c>
      <c r="I59" s="484">
        <v>0</v>
      </c>
      <c r="J59" s="1222"/>
      <c r="K59" s="1223"/>
      <c r="L59" s="1233"/>
    </row>
    <row r="60" spans="1:14">
      <c r="A60" s="1235"/>
      <c r="B60" s="1220"/>
      <c r="C60" s="1226"/>
      <c r="D60" s="226">
        <v>2026</v>
      </c>
      <c r="E60" s="484">
        <f t="shared" si="8"/>
        <v>0</v>
      </c>
      <c r="F60" s="484">
        <v>0</v>
      </c>
      <c r="G60" s="484">
        <v>0</v>
      </c>
      <c r="H60" s="484">
        <v>0</v>
      </c>
      <c r="I60" s="484">
        <v>0</v>
      </c>
      <c r="J60" s="1222"/>
      <c r="K60" s="1223"/>
      <c r="L60" s="1233"/>
    </row>
    <row r="61" spans="1:14">
      <c r="A61" s="1224" t="s">
        <v>170</v>
      </c>
      <c r="B61" s="1224" t="s">
        <v>258</v>
      </c>
      <c r="C61" s="1224" t="s">
        <v>235</v>
      </c>
      <c r="D61" s="226" t="s">
        <v>3</v>
      </c>
      <c r="E61" s="484">
        <f t="shared" si="8"/>
        <v>1676212.8322300001</v>
      </c>
      <c r="F61" s="484">
        <f>SUM(F62:F67)</f>
        <v>1618480.07809</v>
      </c>
      <c r="G61" s="484">
        <f>SUM(G62:G67)</f>
        <v>0</v>
      </c>
      <c r="H61" s="484">
        <f>SUM(H62:H67)</f>
        <v>57732.754140000005</v>
      </c>
      <c r="I61" s="484">
        <f>SUM(I62:I67)</f>
        <v>0</v>
      </c>
      <c r="J61" s="1227" t="s">
        <v>259</v>
      </c>
      <c r="K61" s="1230" t="s">
        <v>241</v>
      </c>
      <c r="N61" s="1234" t="s">
        <v>256</v>
      </c>
    </row>
    <row r="62" spans="1:14">
      <c r="A62" s="1225"/>
      <c r="B62" s="1225"/>
      <c r="C62" s="1225"/>
      <c r="D62" s="226">
        <v>2021</v>
      </c>
      <c r="E62" s="484">
        <f t="shared" si="8"/>
        <v>108436.894</v>
      </c>
      <c r="F62" s="484">
        <f t="shared" ref="F62:F63" si="9">SUM(F69+F76+F83+F90+F97+F104+F111+F124+F131+F138+F159)</f>
        <v>108436.894</v>
      </c>
      <c r="G62" s="484">
        <f t="shared" ref="G62:I64" si="10">SUM(G69+G76+G83+G90+G97+G104+G111+G124+G131+G138)</f>
        <v>0</v>
      </c>
      <c r="H62" s="484">
        <f t="shared" si="10"/>
        <v>0</v>
      </c>
      <c r="I62" s="484">
        <f t="shared" si="10"/>
        <v>0</v>
      </c>
      <c r="J62" s="1228"/>
      <c r="K62" s="1231"/>
      <c r="N62" s="1234"/>
    </row>
    <row r="63" spans="1:14">
      <c r="A63" s="1225"/>
      <c r="B63" s="1225"/>
      <c r="C63" s="1225"/>
      <c r="D63" s="226">
        <v>2022</v>
      </c>
      <c r="E63" s="484">
        <f t="shared" si="8"/>
        <v>274226.68966000003</v>
      </c>
      <c r="F63" s="484">
        <f t="shared" si="9"/>
        <v>274226.68966000003</v>
      </c>
      <c r="G63" s="484">
        <f t="shared" si="10"/>
        <v>0</v>
      </c>
      <c r="H63" s="484">
        <f t="shared" si="10"/>
        <v>0</v>
      </c>
      <c r="I63" s="484">
        <f t="shared" si="10"/>
        <v>0</v>
      </c>
      <c r="J63" s="1228"/>
      <c r="K63" s="1231"/>
      <c r="N63" s="1234"/>
    </row>
    <row r="64" spans="1:14">
      <c r="A64" s="1225"/>
      <c r="B64" s="1225"/>
      <c r="C64" s="1225"/>
      <c r="D64" s="226">
        <v>2023</v>
      </c>
      <c r="E64" s="484">
        <f t="shared" si="8"/>
        <v>286735.94302999997</v>
      </c>
      <c r="F64" s="484">
        <f>SUM(F71+F78+F85+F92+F99+F106+F113+F126+F133+F140+F161+F147+F154+F168)</f>
        <v>274250.15168999997</v>
      </c>
      <c r="G64" s="484">
        <f>SUM(G71+G78+G85+G92+G99+G106+G113+G126+G133+G140+G161+G147+G154)</f>
        <v>0</v>
      </c>
      <c r="H64" s="484">
        <f>SUM(H71+H78+H85+H92+H99+H106+H113+H126+H133+H140+H161+H147+H154)</f>
        <v>12485.79134</v>
      </c>
      <c r="I64" s="484">
        <f t="shared" si="10"/>
        <v>0</v>
      </c>
      <c r="J64" s="1228"/>
      <c r="K64" s="1231"/>
      <c r="N64" s="1234"/>
    </row>
    <row r="65" spans="1:14">
      <c r="A65" s="1225"/>
      <c r="B65" s="1225"/>
      <c r="C65" s="1225"/>
      <c r="D65" s="226">
        <v>2024</v>
      </c>
      <c r="E65" s="484">
        <f t="shared" si="8"/>
        <v>526016.70837999997</v>
      </c>
      <c r="F65" s="484">
        <f>SUM(F72+F79+F86+F93+F100+F107+F114+F127+F134+F141+F162+F148+F155)</f>
        <v>480769.74557999999</v>
      </c>
      <c r="G65" s="484">
        <f>SUM(G72+G79+G86+G93+G100+G107+G114+G127+G134+G141)</f>
        <v>0</v>
      </c>
      <c r="H65" s="484">
        <f>SUM(H148,H155)</f>
        <v>45246.962800000001</v>
      </c>
      <c r="I65" s="484">
        <f>SUM(I72+I79+I86+I93+I100+I107+I114+I127+I134+I141)</f>
        <v>0</v>
      </c>
      <c r="J65" s="1228"/>
      <c r="K65" s="1231"/>
      <c r="N65" s="1234"/>
    </row>
    <row r="66" spans="1:14">
      <c r="A66" s="1225"/>
      <c r="B66" s="1225"/>
      <c r="C66" s="1225"/>
      <c r="D66" s="226">
        <v>2025</v>
      </c>
      <c r="E66" s="484">
        <f t="shared" si="8"/>
        <v>240398.29858</v>
      </c>
      <c r="F66" s="484">
        <f>SUM(F73+F81+F87+F94+F101+F108+F116+F128+F136+F143+F163+F149+F156)</f>
        <v>240398.29858</v>
      </c>
      <c r="G66" s="484">
        <f>SUM(G73+G81+G87+G94+G101+G108+G116+G128+G136+G143)</f>
        <v>0</v>
      </c>
      <c r="H66" s="484">
        <f>SUM(H73+H81+H87+H94+H101+H108+H116+H128+H136+H143)</f>
        <v>0</v>
      </c>
      <c r="I66" s="484">
        <f>SUM(I73+I81+I87+I94+I101+I108+I116+I128+I136+I143)</f>
        <v>0</v>
      </c>
      <c r="J66" s="1228"/>
      <c r="K66" s="1231"/>
      <c r="N66" s="1234"/>
    </row>
    <row r="67" spans="1:14">
      <c r="A67" s="1226"/>
      <c r="B67" s="1226"/>
      <c r="C67" s="1226"/>
      <c r="D67" s="226">
        <v>2026</v>
      </c>
      <c r="E67" s="484">
        <f t="shared" si="8"/>
        <v>240398.29858</v>
      </c>
      <c r="F67" s="484">
        <f>SUM(F74,F88,F95,F102,F109,F129,F150,F157,F164)</f>
        <v>240398.29858</v>
      </c>
      <c r="G67" s="484">
        <f>SUM(G74,G88,G95,G102,G109,G129,G150,G157,G164)</f>
        <v>0</v>
      </c>
      <c r="H67" s="484">
        <f>SUM(H74,H88,H95,H102,H109,H129,H150,H157,H164)</f>
        <v>0</v>
      </c>
      <c r="I67" s="484">
        <f>SUM(I74,I88,I95,I102,I109,I129,I150,I157,I164)</f>
        <v>0</v>
      </c>
      <c r="J67" s="1229"/>
      <c r="K67" s="1232"/>
      <c r="N67" s="1234"/>
    </row>
    <row r="68" spans="1:14">
      <c r="A68" s="1224" t="s">
        <v>260</v>
      </c>
      <c r="B68" s="1224" t="s">
        <v>261</v>
      </c>
      <c r="C68" s="1224" t="s">
        <v>235</v>
      </c>
      <c r="D68" s="226" t="s">
        <v>3</v>
      </c>
      <c r="E68" s="484">
        <f t="shared" si="8"/>
        <v>291211.62699999998</v>
      </c>
      <c r="F68" s="484">
        <f>SUM(F69:F74)</f>
        <v>291211.62699999998</v>
      </c>
      <c r="G68" s="484">
        <f>SUM(G69:G73)</f>
        <v>0</v>
      </c>
      <c r="H68" s="484">
        <f>SUM(H69:H73)</f>
        <v>0</v>
      </c>
      <c r="I68" s="484">
        <f>SUM(I69:I73)</f>
        <v>0</v>
      </c>
      <c r="J68" s="1227" t="s">
        <v>262</v>
      </c>
      <c r="K68" s="1230" t="s">
        <v>65</v>
      </c>
    </row>
    <row r="69" spans="1:14">
      <c r="A69" s="1225"/>
      <c r="B69" s="1225"/>
      <c r="C69" s="1225"/>
      <c r="D69" s="226">
        <v>2021</v>
      </c>
      <c r="E69" s="484">
        <f t="shared" si="8"/>
        <v>43000</v>
      </c>
      <c r="F69" s="484">
        <v>43000</v>
      </c>
      <c r="G69" s="484">
        <v>0</v>
      </c>
      <c r="H69" s="484">
        <v>0</v>
      </c>
      <c r="I69" s="484">
        <v>0</v>
      </c>
      <c r="J69" s="1228"/>
      <c r="K69" s="1231"/>
    </row>
    <row r="70" spans="1:14">
      <c r="A70" s="1225"/>
      <c r="B70" s="1225"/>
      <c r="C70" s="1225"/>
      <c r="D70" s="226">
        <v>2022</v>
      </c>
      <c r="E70" s="484">
        <f t="shared" si="8"/>
        <v>45000</v>
      </c>
      <c r="F70" s="484">
        <v>45000</v>
      </c>
      <c r="G70" s="484">
        <v>0</v>
      </c>
      <c r="H70" s="484">
        <v>0</v>
      </c>
      <c r="I70" s="484">
        <v>0</v>
      </c>
      <c r="J70" s="1228"/>
      <c r="K70" s="1231"/>
    </row>
    <row r="71" spans="1:14">
      <c r="A71" s="1225"/>
      <c r="B71" s="1225"/>
      <c r="C71" s="1225"/>
      <c r="D71" s="226">
        <v>2023</v>
      </c>
      <c r="E71" s="484">
        <f t="shared" si="8"/>
        <v>61200</v>
      </c>
      <c r="F71" s="484">
        <f>30000+10000+9000+12200</f>
        <v>61200</v>
      </c>
      <c r="G71" s="484">
        <v>0</v>
      </c>
      <c r="H71" s="484">
        <v>0</v>
      </c>
      <c r="I71" s="484">
        <v>0</v>
      </c>
      <c r="J71" s="1228"/>
      <c r="K71" s="1231"/>
    </row>
    <row r="72" spans="1:14">
      <c r="A72" s="1225"/>
      <c r="B72" s="1225"/>
      <c r="C72" s="1225"/>
      <c r="D72" s="226">
        <v>2024</v>
      </c>
      <c r="E72" s="484">
        <f t="shared" si="8"/>
        <v>82011.627000000008</v>
      </c>
      <c r="F72" s="484">
        <f>65000+17011.627</f>
        <v>82011.627000000008</v>
      </c>
      <c r="G72" s="484">
        <v>0</v>
      </c>
      <c r="H72" s="484">
        <v>0</v>
      </c>
      <c r="I72" s="484">
        <v>0</v>
      </c>
      <c r="J72" s="1228"/>
      <c r="K72" s="1231"/>
    </row>
    <row r="73" spans="1:14">
      <c r="A73" s="1225"/>
      <c r="B73" s="1225"/>
      <c r="C73" s="1225"/>
      <c r="D73" s="226">
        <v>2025</v>
      </c>
      <c r="E73" s="484">
        <f t="shared" si="8"/>
        <v>30000</v>
      </c>
      <c r="F73" s="484">
        <v>30000</v>
      </c>
      <c r="G73" s="484">
        <v>0</v>
      </c>
      <c r="H73" s="484">
        <v>0</v>
      </c>
      <c r="I73" s="484">
        <v>0</v>
      </c>
      <c r="J73" s="1228"/>
      <c r="K73" s="1231"/>
    </row>
    <row r="74" spans="1:14">
      <c r="A74" s="1226"/>
      <c r="B74" s="1226"/>
      <c r="C74" s="1226"/>
      <c r="D74" s="226">
        <v>2026</v>
      </c>
      <c r="E74" s="484">
        <f t="shared" si="8"/>
        <v>30000</v>
      </c>
      <c r="F74" s="484">
        <v>30000</v>
      </c>
      <c r="G74" s="484"/>
      <c r="H74" s="484"/>
      <c r="I74" s="484"/>
      <c r="J74" s="1229"/>
      <c r="K74" s="1232"/>
    </row>
    <row r="75" spans="1:14">
      <c r="A75" s="1219" t="s">
        <v>263</v>
      </c>
      <c r="B75" s="1220" t="s">
        <v>264</v>
      </c>
      <c r="C75" s="1224">
        <v>2021</v>
      </c>
      <c r="D75" s="226" t="s">
        <v>3</v>
      </c>
      <c r="E75" s="484">
        <f t="shared" si="8"/>
        <v>0</v>
      </c>
      <c r="F75" s="484">
        <f>SUM(F76:F81)</f>
        <v>0</v>
      </c>
      <c r="G75" s="484">
        <f>SUM(G76:G81)</f>
        <v>0</v>
      </c>
      <c r="H75" s="484">
        <f>SUM(H76:H81)</f>
        <v>0</v>
      </c>
      <c r="I75" s="484">
        <f>SUM(I76:I81)</f>
        <v>0</v>
      </c>
      <c r="J75" s="1222" t="s">
        <v>265</v>
      </c>
      <c r="K75" s="1230" t="s">
        <v>65</v>
      </c>
    </row>
    <row r="76" spans="1:14">
      <c r="A76" s="1219"/>
      <c r="B76" s="1220"/>
      <c r="C76" s="1225"/>
      <c r="D76" s="226">
        <v>2021</v>
      </c>
      <c r="E76" s="484">
        <f t="shared" si="8"/>
        <v>0</v>
      </c>
      <c r="F76" s="484">
        <v>0</v>
      </c>
      <c r="G76" s="484">
        <v>0</v>
      </c>
      <c r="H76" s="484">
        <v>0</v>
      </c>
      <c r="I76" s="484">
        <v>0</v>
      </c>
      <c r="J76" s="1222"/>
      <c r="K76" s="1231"/>
    </row>
    <row r="77" spans="1:14">
      <c r="A77" s="1219"/>
      <c r="B77" s="1220"/>
      <c r="C77" s="1225"/>
      <c r="D77" s="226">
        <v>2022</v>
      </c>
      <c r="E77" s="484">
        <f t="shared" si="8"/>
        <v>0</v>
      </c>
      <c r="F77" s="484">
        <v>0</v>
      </c>
      <c r="G77" s="484">
        <v>0</v>
      </c>
      <c r="H77" s="484">
        <v>0</v>
      </c>
      <c r="I77" s="484">
        <v>0</v>
      </c>
      <c r="J77" s="1222"/>
      <c r="K77" s="1231"/>
    </row>
    <row r="78" spans="1:14">
      <c r="A78" s="1219"/>
      <c r="B78" s="1220"/>
      <c r="C78" s="1225"/>
      <c r="D78" s="226">
        <v>2023</v>
      </c>
      <c r="E78" s="484">
        <f t="shared" si="8"/>
        <v>0</v>
      </c>
      <c r="F78" s="484">
        <v>0</v>
      </c>
      <c r="G78" s="484">
        <v>0</v>
      </c>
      <c r="H78" s="484">
        <v>0</v>
      </c>
      <c r="I78" s="484">
        <v>0</v>
      </c>
      <c r="J78" s="1222"/>
      <c r="K78" s="1231"/>
    </row>
    <row r="79" spans="1:14">
      <c r="A79" s="1219"/>
      <c r="B79" s="1220"/>
      <c r="C79" s="1225"/>
      <c r="D79" s="226">
        <v>2024</v>
      </c>
      <c r="E79" s="484">
        <f t="shared" si="8"/>
        <v>0</v>
      </c>
      <c r="F79" s="484">
        <v>0</v>
      </c>
      <c r="G79" s="484">
        <v>0</v>
      </c>
      <c r="H79" s="484">
        <v>0</v>
      </c>
      <c r="I79" s="484">
        <v>0</v>
      </c>
      <c r="J79" s="1222"/>
      <c r="K79" s="1231"/>
    </row>
    <row r="80" spans="1:14">
      <c r="A80" s="1219"/>
      <c r="B80" s="1220"/>
      <c r="C80" s="1225"/>
      <c r="D80" s="226">
        <v>2025</v>
      </c>
      <c r="E80" s="484">
        <v>0</v>
      </c>
      <c r="F80" s="484">
        <v>0</v>
      </c>
      <c r="G80" s="484">
        <v>0</v>
      </c>
      <c r="H80" s="484">
        <v>0</v>
      </c>
      <c r="I80" s="484">
        <v>0</v>
      </c>
      <c r="J80" s="1222"/>
      <c r="K80" s="1231"/>
    </row>
    <row r="81" spans="1:13">
      <c r="A81" s="1219"/>
      <c r="B81" s="1220"/>
      <c r="C81" s="1226"/>
      <c r="D81" s="226">
        <v>2026</v>
      </c>
      <c r="E81" s="484">
        <f t="shared" si="8"/>
        <v>0</v>
      </c>
      <c r="F81" s="484">
        <v>0</v>
      </c>
      <c r="G81" s="484">
        <v>0</v>
      </c>
      <c r="H81" s="484">
        <v>0</v>
      </c>
      <c r="I81" s="484">
        <v>0</v>
      </c>
      <c r="J81" s="1222"/>
      <c r="K81" s="1232"/>
    </row>
    <row r="82" spans="1:13">
      <c r="A82" s="1224" t="s">
        <v>266</v>
      </c>
      <c r="B82" s="1224" t="s">
        <v>267</v>
      </c>
      <c r="C82" s="1224" t="s">
        <v>235</v>
      </c>
      <c r="D82" s="226" t="s">
        <v>3</v>
      </c>
      <c r="E82" s="484">
        <f t="shared" si="8"/>
        <v>257993.769</v>
      </c>
      <c r="F82" s="484">
        <f>SUM(F83:F88)</f>
        <v>257993.769</v>
      </c>
      <c r="G82" s="484">
        <f>SUM(G83:G87)</f>
        <v>0</v>
      </c>
      <c r="H82" s="484">
        <f>SUM(H83:H87)</f>
        <v>0</v>
      </c>
      <c r="I82" s="484">
        <f>SUM(I83:I87)</f>
        <v>0</v>
      </c>
      <c r="J82" s="1227" t="s">
        <v>169</v>
      </c>
      <c r="K82" s="1230" t="s">
        <v>65</v>
      </c>
    </row>
    <row r="83" spans="1:13">
      <c r="A83" s="1225"/>
      <c r="B83" s="1225"/>
      <c r="C83" s="1225"/>
      <c r="D83" s="226">
        <v>2021</v>
      </c>
      <c r="E83" s="484">
        <f t="shared" si="8"/>
        <v>33993.769</v>
      </c>
      <c r="F83" s="484">
        <v>33993.769</v>
      </c>
      <c r="G83" s="484">
        <v>0</v>
      </c>
      <c r="H83" s="484">
        <v>0</v>
      </c>
      <c r="I83" s="484">
        <v>0</v>
      </c>
      <c r="J83" s="1228"/>
      <c r="K83" s="1231"/>
    </row>
    <row r="84" spans="1:13">
      <c r="A84" s="1225"/>
      <c r="B84" s="1225"/>
      <c r="C84" s="1225"/>
      <c r="D84" s="226">
        <v>2022</v>
      </c>
      <c r="E84" s="484">
        <f t="shared" si="8"/>
        <v>40000</v>
      </c>
      <c r="F84" s="484">
        <v>40000</v>
      </c>
      <c r="G84" s="484">
        <v>0</v>
      </c>
      <c r="H84" s="484">
        <v>0</v>
      </c>
      <c r="I84" s="484">
        <v>0</v>
      </c>
      <c r="J84" s="1228"/>
      <c r="K84" s="1231"/>
    </row>
    <row r="85" spans="1:13">
      <c r="A85" s="1225"/>
      <c r="B85" s="1225"/>
      <c r="C85" s="1225"/>
      <c r="D85" s="226">
        <v>2023</v>
      </c>
      <c r="E85" s="484">
        <f t="shared" si="8"/>
        <v>49000</v>
      </c>
      <c r="F85" s="484">
        <f>40000+9000</f>
        <v>49000</v>
      </c>
      <c r="G85" s="484">
        <v>0</v>
      </c>
      <c r="H85" s="484">
        <v>0</v>
      </c>
      <c r="I85" s="484">
        <v>0</v>
      </c>
      <c r="J85" s="1228"/>
      <c r="K85" s="1231"/>
    </row>
    <row r="86" spans="1:13">
      <c r="A86" s="1225"/>
      <c r="B86" s="1225"/>
      <c r="C86" s="1225"/>
      <c r="D86" s="226">
        <v>2024</v>
      </c>
      <c r="E86" s="484">
        <f t="shared" si="8"/>
        <v>55000</v>
      </c>
      <c r="F86" s="484">
        <v>55000</v>
      </c>
      <c r="G86" s="484">
        <v>0</v>
      </c>
      <c r="H86" s="484">
        <v>0</v>
      </c>
      <c r="I86" s="484">
        <v>0</v>
      </c>
      <c r="J86" s="1228"/>
      <c r="K86" s="1231"/>
    </row>
    <row r="87" spans="1:13">
      <c r="A87" s="1225"/>
      <c r="B87" s="1225"/>
      <c r="C87" s="1225"/>
      <c r="D87" s="226">
        <v>2025</v>
      </c>
      <c r="E87" s="484">
        <f t="shared" si="8"/>
        <v>40000</v>
      </c>
      <c r="F87" s="484">
        <v>40000</v>
      </c>
      <c r="G87" s="484">
        <v>0</v>
      </c>
      <c r="H87" s="484">
        <v>0</v>
      </c>
      <c r="I87" s="484">
        <v>0</v>
      </c>
      <c r="J87" s="1228"/>
      <c r="K87" s="1231"/>
    </row>
    <row r="88" spans="1:13">
      <c r="A88" s="1226"/>
      <c r="B88" s="1226"/>
      <c r="C88" s="1226"/>
      <c r="D88" s="226">
        <v>2026</v>
      </c>
      <c r="E88" s="484">
        <f t="shared" si="8"/>
        <v>40000</v>
      </c>
      <c r="F88" s="484">
        <v>40000</v>
      </c>
      <c r="G88" s="484">
        <v>0</v>
      </c>
      <c r="H88" s="484">
        <v>0</v>
      </c>
      <c r="I88" s="484">
        <v>0</v>
      </c>
      <c r="J88" s="1229"/>
      <c r="K88" s="1232"/>
    </row>
    <row r="89" spans="1:13">
      <c r="A89" s="1224" t="s">
        <v>268</v>
      </c>
      <c r="B89" s="1224" t="s">
        <v>269</v>
      </c>
      <c r="C89" s="1224" t="s">
        <v>235</v>
      </c>
      <c r="D89" s="226" t="s">
        <v>3</v>
      </c>
      <c r="E89" s="484">
        <f t="shared" si="8"/>
        <v>20308.946690000001</v>
      </c>
      <c r="F89" s="484">
        <f>SUM(F90:F95)</f>
        <v>20308.946690000001</v>
      </c>
      <c r="G89" s="484">
        <f>SUM(G90:G94)</f>
        <v>0</v>
      </c>
      <c r="H89" s="484">
        <f>SUM(H90:H94)</f>
        <v>0</v>
      </c>
      <c r="I89" s="484">
        <f>SUM(I90:I94)</f>
        <v>0</v>
      </c>
      <c r="J89" s="1227" t="s">
        <v>73</v>
      </c>
      <c r="K89" s="1230" t="s">
        <v>65</v>
      </c>
    </row>
    <row r="90" spans="1:13">
      <c r="A90" s="1225"/>
      <c r="B90" s="1225"/>
      <c r="C90" s="1225"/>
      <c r="D90" s="226">
        <v>2021</v>
      </c>
      <c r="E90" s="484">
        <f t="shared" si="8"/>
        <v>2000</v>
      </c>
      <c r="F90" s="484">
        <v>2000</v>
      </c>
      <c r="G90" s="484">
        <v>0</v>
      </c>
      <c r="H90" s="484">
        <v>0</v>
      </c>
      <c r="I90" s="484">
        <v>0</v>
      </c>
      <c r="J90" s="1228"/>
      <c r="K90" s="1231"/>
    </row>
    <row r="91" spans="1:13">
      <c r="A91" s="1225"/>
      <c r="B91" s="1225"/>
      <c r="C91" s="1225"/>
      <c r="D91" s="226">
        <v>2022</v>
      </c>
      <c r="E91" s="484">
        <f t="shared" si="8"/>
        <v>2900</v>
      </c>
      <c r="F91" s="484">
        <v>2900</v>
      </c>
      <c r="G91" s="484">
        <v>0</v>
      </c>
      <c r="H91" s="484">
        <v>0</v>
      </c>
      <c r="I91" s="484">
        <v>0</v>
      </c>
      <c r="J91" s="1228"/>
      <c r="K91" s="1231"/>
    </row>
    <row r="92" spans="1:13">
      <c r="A92" s="1225"/>
      <c r="B92" s="1225"/>
      <c r="C92" s="1225"/>
      <c r="D92" s="226">
        <v>2023</v>
      </c>
      <c r="E92" s="484">
        <f t="shared" si="8"/>
        <v>1934.9216900000004</v>
      </c>
      <c r="F92" s="484">
        <f>5600-3148.56931-134.432-300-82.077</f>
        <v>1934.9216900000004</v>
      </c>
      <c r="G92" s="484">
        <v>0</v>
      </c>
      <c r="H92" s="484">
        <v>0</v>
      </c>
      <c r="I92" s="484">
        <v>0</v>
      </c>
      <c r="J92" s="1228"/>
      <c r="K92" s="1231"/>
      <c r="M92" s="223" t="s">
        <v>270</v>
      </c>
    </row>
    <row r="93" spans="1:13">
      <c r="A93" s="1225"/>
      <c r="B93" s="1225"/>
      <c r="C93" s="1225"/>
      <c r="D93" s="226">
        <v>2024</v>
      </c>
      <c r="E93" s="484">
        <f t="shared" si="8"/>
        <v>2274.0250000000001</v>
      </c>
      <c r="F93" s="484">
        <f>5600-925.575-2400.4</f>
        <v>2274.0250000000001</v>
      </c>
      <c r="G93" s="484">
        <v>0</v>
      </c>
      <c r="H93" s="484">
        <v>0</v>
      </c>
      <c r="I93" s="484">
        <v>0</v>
      </c>
      <c r="J93" s="1228"/>
      <c r="K93" s="1231"/>
    </row>
    <row r="94" spans="1:13">
      <c r="A94" s="1225"/>
      <c r="B94" s="1225"/>
      <c r="C94" s="1225"/>
      <c r="D94" s="226">
        <v>2025</v>
      </c>
      <c r="E94" s="484">
        <f t="shared" si="8"/>
        <v>5600</v>
      </c>
      <c r="F94" s="484">
        <v>5600</v>
      </c>
      <c r="G94" s="484">
        <v>0</v>
      </c>
      <c r="H94" s="484">
        <v>0</v>
      </c>
      <c r="I94" s="484">
        <v>0</v>
      </c>
      <c r="J94" s="1228"/>
      <c r="K94" s="1231"/>
    </row>
    <row r="95" spans="1:13">
      <c r="A95" s="1226"/>
      <c r="B95" s="1226"/>
      <c r="C95" s="1226"/>
      <c r="D95" s="226">
        <v>2026</v>
      </c>
      <c r="E95" s="484">
        <f t="shared" si="8"/>
        <v>5600</v>
      </c>
      <c r="F95" s="484">
        <v>5600</v>
      </c>
      <c r="G95" s="484">
        <v>0</v>
      </c>
      <c r="H95" s="484">
        <v>0</v>
      </c>
      <c r="I95" s="484">
        <v>0</v>
      </c>
      <c r="J95" s="1229"/>
      <c r="K95" s="1232"/>
    </row>
    <row r="96" spans="1:13">
      <c r="A96" s="1224" t="s">
        <v>271</v>
      </c>
      <c r="B96" s="1224" t="s">
        <v>168</v>
      </c>
      <c r="C96" s="1224" t="s">
        <v>235</v>
      </c>
      <c r="D96" s="226" t="s">
        <v>3</v>
      </c>
      <c r="E96" s="484">
        <f t="shared" si="8"/>
        <v>486166.48374</v>
      </c>
      <c r="F96" s="484">
        <f>SUM(F97:F102)</f>
        <v>486166.48374</v>
      </c>
      <c r="G96" s="484">
        <f>SUM(G97:G101)</f>
        <v>0</v>
      </c>
      <c r="H96" s="484">
        <f>SUM(H97:H101)</f>
        <v>0</v>
      </c>
      <c r="I96" s="484">
        <f>SUM(I97:I101)</f>
        <v>0</v>
      </c>
      <c r="J96" s="1227" t="s">
        <v>74</v>
      </c>
      <c r="K96" s="1230" t="s">
        <v>241</v>
      </c>
    </row>
    <row r="97" spans="1:11">
      <c r="A97" s="1225"/>
      <c r="B97" s="1225"/>
      <c r="C97" s="1225"/>
      <c r="D97" s="226">
        <v>2021</v>
      </c>
      <c r="E97" s="484">
        <f t="shared" si="8"/>
        <v>29443.125</v>
      </c>
      <c r="F97" s="484">
        <f>29443125/1000</f>
        <v>29443.125</v>
      </c>
      <c r="G97" s="484">
        <v>0</v>
      </c>
      <c r="H97" s="484">
        <v>0</v>
      </c>
      <c r="I97" s="484">
        <v>0</v>
      </c>
      <c r="J97" s="1228"/>
      <c r="K97" s="1231"/>
    </row>
    <row r="98" spans="1:11">
      <c r="A98" s="1225"/>
      <c r="B98" s="1225"/>
      <c r="C98" s="1225"/>
      <c r="D98" s="226">
        <v>2022</v>
      </c>
      <c r="E98" s="484">
        <f t="shared" si="8"/>
        <v>99747.438999999998</v>
      </c>
      <c r="F98" s="484">
        <v>99747.438999999998</v>
      </c>
      <c r="G98" s="484">
        <v>0</v>
      </c>
      <c r="H98" s="484">
        <v>0</v>
      </c>
      <c r="I98" s="484">
        <v>0</v>
      </c>
      <c r="J98" s="1228"/>
      <c r="K98" s="1231"/>
    </row>
    <row r="99" spans="1:11">
      <c r="A99" s="1225"/>
      <c r="B99" s="1225"/>
      <c r="C99" s="1225"/>
      <c r="D99" s="226">
        <v>2023</v>
      </c>
      <c r="E99" s="484">
        <f t="shared" si="8"/>
        <v>74885.229000000007</v>
      </c>
      <c r="F99" s="484">
        <f>56948.035+1000+16937.194</f>
        <v>74885.229000000007</v>
      </c>
      <c r="G99" s="484">
        <v>0</v>
      </c>
      <c r="H99" s="484">
        <v>0</v>
      </c>
      <c r="I99" s="484">
        <v>0</v>
      </c>
      <c r="J99" s="1228"/>
      <c r="K99" s="1231"/>
    </row>
    <row r="100" spans="1:11">
      <c r="A100" s="1225"/>
      <c r="B100" s="1225"/>
      <c r="C100" s="1225"/>
      <c r="D100" s="226">
        <v>2024</v>
      </c>
      <c r="E100" s="484">
        <f t="shared" ref="E100:E163" si="11">SUM(F100:I100)</f>
        <v>160494.09357999999</v>
      </c>
      <c r="F100" s="484">
        <f>115788.59358+1937.5+2368+29200+8900+2300</f>
        <v>160494.09357999999</v>
      </c>
      <c r="G100" s="484">
        <v>0</v>
      </c>
      <c r="H100" s="484">
        <v>0</v>
      </c>
      <c r="I100" s="484">
        <v>0</v>
      </c>
      <c r="J100" s="1228"/>
      <c r="K100" s="1231"/>
    </row>
    <row r="101" spans="1:11">
      <c r="A101" s="1225"/>
      <c r="B101" s="1225"/>
      <c r="C101" s="1225"/>
      <c r="D101" s="226">
        <v>2025</v>
      </c>
      <c r="E101" s="484">
        <f t="shared" si="11"/>
        <v>60798.298580000002</v>
      </c>
      <c r="F101" s="484">
        <v>60798.298580000002</v>
      </c>
      <c r="G101" s="484">
        <v>0</v>
      </c>
      <c r="H101" s="484">
        <v>0</v>
      </c>
      <c r="I101" s="484">
        <v>0</v>
      </c>
      <c r="J101" s="1228"/>
      <c r="K101" s="1231"/>
    </row>
    <row r="102" spans="1:11">
      <c r="A102" s="1226"/>
      <c r="B102" s="1226"/>
      <c r="C102" s="1226"/>
      <c r="D102" s="226">
        <v>2026</v>
      </c>
      <c r="E102" s="484">
        <f t="shared" si="11"/>
        <v>60798.298580000002</v>
      </c>
      <c r="F102" s="484">
        <v>60798.298580000002</v>
      </c>
      <c r="G102" s="484">
        <v>0</v>
      </c>
      <c r="H102" s="484">
        <v>0</v>
      </c>
      <c r="I102" s="484">
        <v>0</v>
      </c>
      <c r="J102" s="1229"/>
      <c r="K102" s="1232"/>
    </row>
    <row r="103" spans="1:11">
      <c r="A103" s="1224" t="s">
        <v>109</v>
      </c>
      <c r="B103" s="1224" t="s">
        <v>107</v>
      </c>
      <c r="C103" s="1224" t="s">
        <v>272</v>
      </c>
      <c r="D103" s="226" t="s">
        <v>3</v>
      </c>
      <c r="E103" s="484">
        <f t="shared" si="11"/>
        <v>100000</v>
      </c>
      <c r="F103" s="484">
        <f>SUM(F104:F109)</f>
        <v>100000</v>
      </c>
      <c r="G103" s="484">
        <f>SUM(G104:G108)</f>
        <v>0</v>
      </c>
      <c r="H103" s="484">
        <f>SUM(H104:H108)</f>
        <v>0</v>
      </c>
      <c r="I103" s="484">
        <f>SUM(I104:I108)</f>
        <v>0</v>
      </c>
      <c r="J103" s="1227" t="s">
        <v>273</v>
      </c>
      <c r="K103" s="1230" t="s">
        <v>65</v>
      </c>
    </row>
    <row r="104" spans="1:11">
      <c r="A104" s="1225"/>
      <c r="B104" s="1225"/>
      <c r="C104" s="1225"/>
      <c r="D104" s="226">
        <v>2021</v>
      </c>
      <c r="E104" s="484">
        <f t="shared" si="11"/>
        <v>0</v>
      </c>
      <c r="F104" s="484">
        <v>0</v>
      </c>
      <c r="G104" s="484">
        <v>0</v>
      </c>
      <c r="H104" s="484">
        <v>0</v>
      </c>
      <c r="I104" s="484">
        <v>0</v>
      </c>
      <c r="J104" s="1228"/>
      <c r="K104" s="1231"/>
    </row>
    <row r="105" spans="1:11">
      <c r="A105" s="1225"/>
      <c r="B105" s="1225"/>
      <c r="C105" s="1225"/>
      <c r="D105" s="226">
        <v>2022</v>
      </c>
      <c r="E105" s="484">
        <f t="shared" si="11"/>
        <v>20000</v>
      </c>
      <c r="F105" s="484">
        <v>20000</v>
      </c>
      <c r="G105" s="484">
        <v>0</v>
      </c>
      <c r="H105" s="484">
        <v>0</v>
      </c>
      <c r="I105" s="484">
        <v>0</v>
      </c>
      <c r="J105" s="1228"/>
      <c r="K105" s="1231"/>
    </row>
    <row r="106" spans="1:11">
      <c r="A106" s="1225"/>
      <c r="B106" s="1225"/>
      <c r="C106" s="1225"/>
      <c r="D106" s="226">
        <v>2023</v>
      </c>
      <c r="E106" s="484">
        <f t="shared" si="11"/>
        <v>20000</v>
      </c>
      <c r="F106" s="484">
        <v>20000</v>
      </c>
      <c r="G106" s="484">
        <v>0</v>
      </c>
      <c r="H106" s="484">
        <v>0</v>
      </c>
      <c r="I106" s="484">
        <v>0</v>
      </c>
      <c r="J106" s="1228"/>
      <c r="K106" s="1231"/>
    </row>
    <row r="107" spans="1:11">
      <c r="A107" s="1225"/>
      <c r="B107" s="1225"/>
      <c r="C107" s="1225"/>
      <c r="D107" s="226">
        <v>2024</v>
      </c>
      <c r="E107" s="484">
        <f t="shared" si="11"/>
        <v>20000</v>
      </c>
      <c r="F107" s="484">
        <v>20000</v>
      </c>
      <c r="G107" s="484">
        <v>0</v>
      </c>
      <c r="H107" s="484">
        <v>0</v>
      </c>
      <c r="I107" s="484">
        <v>0</v>
      </c>
      <c r="J107" s="1228"/>
      <c r="K107" s="1231"/>
    </row>
    <row r="108" spans="1:11">
      <c r="A108" s="1225"/>
      <c r="B108" s="1225"/>
      <c r="C108" s="1225"/>
      <c r="D108" s="226">
        <v>2025</v>
      </c>
      <c r="E108" s="484">
        <f t="shared" si="11"/>
        <v>20000</v>
      </c>
      <c r="F108" s="484">
        <v>20000</v>
      </c>
      <c r="G108" s="484">
        <v>0</v>
      </c>
      <c r="H108" s="484">
        <v>0</v>
      </c>
      <c r="I108" s="484">
        <v>0</v>
      </c>
      <c r="J108" s="1228"/>
      <c r="K108" s="1231"/>
    </row>
    <row r="109" spans="1:11">
      <c r="A109" s="1226"/>
      <c r="B109" s="1226"/>
      <c r="C109" s="1226"/>
      <c r="D109" s="226">
        <v>2026</v>
      </c>
      <c r="E109" s="484">
        <f t="shared" si="11"/>
        <v>20000</v>
      </c>
      <c r="F109" s="484">
        <v>20000</v>
      </c>
      <c r="G109" s="484">
        <v>0</v>
      </c>
      <c r="H109" s="484">
        <v>0</v>
      </c>
      <c r="I109" s="484">
        <v>0</v>
      </c>
      <c r="J109" s="1229"/>
      <c r="K109" s="1232"/>
    </row>
    <row r="110" spans="1:11">
      <c r="A110" s="1219" t="s">
        <v>274</v>
      </c>
      <c r="B110" s="1220" t="s">
        <v>275</v>
      </c>
      <c r="C110" s="1219" t="s">
        <v>235</v>
      </c>
      <c r="D110" s="226" t="s">
        <v>3</v>
      </c>
      <c r="E110" s="484">
        <f t="shared" si="11"/>
        <v>3220</v>
      </c>
      <c r="F110" s="484">
        <f>SUM(F111:F116)</f>
        <v>3220</v>
      </c>
      <c r="G110" s="484">
        <f>SUM(G111:G116)</f>
        <v>0</v>
      </c>
      <c r="H110" s="484">
        <f>SUM(H111:H116)</f>
        <v>0</v>
      </c>
      <c r="I110" s="484">
        <f>SUM(I111:I116)</f>
        <v>0</v>
      </c>
      <c r="J110" s="1222" t="s">
        <v>276</v>
      </c>
      <c r="K110" s="1223" t="s">
        <v>65</v>
      </c>
    </row>
    <row r="111" spans="1:11">
      <c r="A111" s="1219"/>
      <c r="B111" s="1220"/>
      <c r="C111" s="1219"/>
      <c r="D111" s="226">
        <v>2021</v>
      </c>
      <c r="E111" s="484">
        <f t="shared" si="11"/>
        <v>0</v>
      </c>
      <c r="F111" s="484">
        <v>0</v>
      </c>
      <c r="G111" s="484">
        <v>0</v>
      </c>
      <c r="H111" s="484">
        <v>0</v>
      </c>
      <c r="I111" s="484">
        <v>0</v>
      </c>
      <c r="J111" s="1222"/>
      <c r="K111" s="1223"/>
    </row>
    <row r="112" spans="1:11">
      <c r="A112" s="1219"/>
      <c r="B112" s="1220"/>
      <c r="C112" s="1219"/>
      <c r="D112" s="226">
        <v>2022</v>
      </c>
      <c r="E112" s="484">
        <f t="shared" si="11"/>
        <v>3220</v>
      </c>
      <c r="F112" s="484">
        <f>3360-140</f>
        <v>3220</v>
      </c>
      <c r="G112" s="484">
        <v>0</v>
      </c>
      <c r="H112" s="484">
        <v>0</v>
      </c>
      <c r="I112" s="484">
        <v>0</v>
      </c>
      <c r="J112" s="1222"/>
      <c r="K112" s="1223"/>
    </row>
    <row r="113" spans="1:11">
      <c r="A113" s="1219"/>
      <c r="B113" s="1220"/>
      <c r="C113" s="1219"/>
      <c r="D113" s="226">
        <v>2023</v>
      </c>
      <c r="E113" s="484">
        <f t="shared" si="11"/>
        <v>0</v>
      </c>
      <c r="F113" s="484">
        <v>0</v>
      </c>
      <c r="G113" s="484">
        <v>0</v>
      </c>
      <c r="H113" s="484">
        <v>0</v>
      </c>
      <c r="I113" s="484">
        <v>0</v>
      </c>
      <c r="J113" s="1222"/>
      <c r="K113" s="1223"/>
    </row>
    <row r="114" spans="1:11">
      <c r="A114" s="1219"/>
      <c r="B114" s="1220"/>
      <c r="C114" s="1219"/>
      <c r="D114" s="226">
        <v>2024</v>
      </c>
      <c r="E114" s="484">
        <f t="shared" si="11"/>
        <v>0</v>
      </c>
      <c r="F114" s="484">
        <v>0</v>
      </c>
      <c r="G114" s="484">
        <v>0</v>
      </c>
      <c r="H114" s="484">
        <v>0</v>
      </c>
      <c r="I114" s="484">
        <v>0</v>
      </c>
      <c r="J114" s="1222"/>
      <c r="K114" s="1223"/>
    </row>
    <row r="115" spans="1:11">
      <c r="A115" s="1219"/>
      <c r="B115" s="1220"/>
      <c r="C115" s="1219"/>
      <c r="D115" s="226">
        <v>2025</v>
      </c>
      <c r="E115" s="484">
        <v>0</v>
      </c>
      <c r="F115" s="484">
        <v>0</v>
      </c>
      <c r="G115" s="484">
        <v>0</v>
      </c>
      <c r="H115" s="484">
        <v>0</v>
      </c>
      <c r="I115" s="484">
        <v>0</v>
      </c>
      <c r="J115" s="1222"/>
      <c r="K115" s="1223"/>
    </row>
    <row r="116" spans="1:11">
      <c r="A116" s="1219"/>
      <c r="B116" s="1220"/>
      <c r="C116" s="1219"/>
      <c r="D116" s="226">
        <v>2026</v>
      </c>
      <c r="E116" s="484">
        <f t="shared" si="11"/>
        <v>0</v>
      </c>
      <c r="F116" s="484">
        <v>0</v>
      </c>
      <c r="G116" s="484">
        <v>0</v>
      </c>
      <c r="H116" s="484">
        <v>0</v>
      </c>
      <c r="I116" s="484">
        <v>0</v>
      </c>
      <c r="J116" s="1222"/>
      <c r="K116" s="1223"/>
    </row>
    <row r="117" spans="1:11">
      <c r="A117" s="1219" t="s">
        <v>277</v>
      </c>
      <c r="B117" s="1220" t="s">
        <v>278</v>
      </c>
      <c r="C117" s="1219" t="s">
        <v>235</v>
      </c>
      <c r="D117" s="226" t="s">
        <v>3</v>
      </c>
      <c r="E117" s="484">
        <f t="shared" si="11"/>
        <v>0</v>
      </c>
      <c r="F117" s="484">
        <f>SUM(F118:F122)</f>
        <v>0</v>
      </c>
      <c r="G117" s="484">
        <f>SUM(G118:G122)</f>
        <v>0</v>
      </c>
      <c r="H117" s="484">
        <f>SUM(H118:H122)</f>
        <v>0</v>
      </c>
      <c r="I117" s="484">
        <f>SUM(I118:I122)</f>
        <v>0</v>
      </c>
      <c r="J117" s="1222" t="s">
        <v>279</v>
      </c>
      <c r="K117" s="1223" t="s">
        <v>65</v>
      </c>
    </row>
    <row r="118" spans="1:11">
      <c r="A118" s="1219"/>
      <c r="B118" s="1220"/>
      <c r="C118" s="1219"/>
      <c r="D118" s="226">
        <v>2021</v>
      </c>
      <c r="E118" s="484">
        <f t="shared" si="11"/>
        <v>0</v>
      </c>
      <c r="F118" s="484">
        <v>0</v>
      </c>
      <c r="G118" s="484">
        <v>0</v>
      </c>
      <c r="H118" s="484">
        <v>0</v>
      </c>
      <c r="I118" s="484">
        <v>0</v>
      </c>
      <c r="J118" s="1222"/>
      <c r="K118" s="1223"/>
    </row>
    <row r="119" spans="1:11">
      <c r="A119" s="1219"/>
      <c r="B119" s="1220"/>
      <c r="C119" s="1219"/>
      <c r="D119" s="226">
        <v>2022</v>
      </c>
      <c r="E119" s="484">
        <f t="shared" si="11"/>
        <v>0</v>
      </c>
      <c r="F119" s="484">
        <v>0</v>
      </c>
      <c r="G119" s="484">
        <v>0</v>
      </c>
      <c r="H119" s="484">
        <v>0</v>
      </c>
      <c r="I119" s="484">
        <v>0</v>
      </c>
      <c r="J119" s="1222"/>
      <c r="K119" s="1223"/>
    </row>
    <row r="120" spans="1:11">
      <c r="A120" s="1219"/>
      <c r="B120" s="1220"/>
      <c r="C120" s="1219"/>
      <c r="D120" s="226">
        <v>2023</v>
      </c>
      <c r="E120" s="484">
        <f t="shared" si="11"/>
        <v>0</v>
      </c>
      <c r="F120" s="484">
        <v>0</v>
      </c>
      <c r="G120" s="484">
        <v>0</v>
      </c>
      <c r="H120" s="484">
        <v>0</v>
      </c>
      <c r="I120" s="484">
        <v>0</v>
      </c>
      <c r="J120" s="1222"/>
      <c r="K120" s="1223"/>
    </row>
    <row r="121" spans="1:11">
      <c r="A121" s="1219"/>
      <c r="B121" s="1220"/>
      <c r="C121" s="1219"/>
      <c r="D121" s="226">
        <v>2024</v>
      </c>
      <c r="E121" s="484">
        <f t="shared" si="11"/>
        <v>0</v>
      </c>
      <c r="F121" s="484">
        <v>0</v>
      </c>
      <c r="G121" s="484">
        <v>0</v>
      </c>
      <c r="H121" s="484">
        <v>0</v>
      </c>
      <c r="I121" s="484">
        <v>0</v>
      </c>
      <c r="J121" s="1222"/>
      <c r="K121" s="1223"/>
    </row>
    <row r="122" spans="1:11">
      <c r="A122" s="1219"/>
      <c r="B122" s="1220"/>
      <c r="C122" s="1219"/>
      <c r="D122" s="226">
        <v>2025</v>
      </c>
      <c r="E122" s="484">
        <v>0</v>
      </c>
      <c r="F122" s="484">
        <v>0</v>
      </c>
      <c r="G122" s="484">
        <v>0</v>
      </c>
      <c r="H122" s="484">
        <v>0</v>
      </c>
      <c r="I122" s="484">
        <v>0</v>
      </c>
      <c r="J122" s="1222"/>
      <c r="K122" s="1223"/>
    </row>
    <row r="123" spans="1:11">
      <c r="A123" s="1224" t="s">
        <v>111</v>
      </c>
      <c r="B123" s="1227" t="s">
        <v>108</v>
      </c>
      <c r="C123" s="1224" t="s">
        <v>272</v>
      </c>
      <c r="D123" s="226" t="s">
        <v>3</v>
      </c>
      <c r="E123" s="484">
        <f t="shared" si="11"/>
        <v>116500</v>
      </c>
      <c r="F123" s="484">
        <f>SUM(F124:F129)</f>
        <v>116500</v>
      </c>
      <c r="G123" s="484">
        <f>SUM(G124:G128)</f>
        <v>0</v>
      </c>
      <c r="H123" s="484">
        <f>SUM(H124:H128)</f>
        <v>0</v>
      </c>
      <c r="I123" s="484">
        <f>SUM(I124:I128)</f>
        <v>0</v>
      </c>
      <c r="J123" s="1227" t="s">
        <v>167</v>
      </c>
      <c r="K123" s="1230" t="s">
        <v>92</v>
      </c>
    </row>
    <row r="124" spans="1:11">
      <c r="A124" s="1225"/>
      <c r="B124" s="1228"/>
      <c r="C124" s="1225"/>
      <c r="D124" s="226">
        <v>2021</v>
      </c>
      <c r="E124" s="484">
        <f t="shared" si="11"/>
        <v>0</v>
      </c>
      <c r="F124" s="484">
        <v>0</v>
      </c>
      <c r="G124" s="484">
        <v>0</v>
      </c>
      <c r="H124" s="484">
        <v>0</v>
      </c>
      <c r="I124" s="484">
        <v>0</v>
      </c>
      <c r="J124" s="1228"/>
      <c r="K124" s="1231"/>
    </row>
    <row r="125" spans="1:11">
      <c r="A125" s="1225"/>
      <c r="B125" s="1228"/>
      <c r="C125" s="1225"/>
      <c r="D125" s="226">
        <v>2022</v>
      </c>
      <c r="E125" s="484">
        <f t="shared" si="11"/>
        <v>21000</v>
      </c>
      <c r="F125" s="484">
        <v>21000</v>
      </c>
      <c r="G125" s="484">
        <v>0</v>
      </c>
      <c r="H125" s="484">
        <v>0</v>
      </c>
      <c r="I125" s="484">
        <v>0</v>
      </c>
      <c r="J125" s="1228"/>
      <c r="K125" s="1231"/>
    </row>
    <row r="126" spans="1:11">
      <c r="A126" s="1225"/>
      <c r="B126" s="1228"/>
      <c r="C126" s="1225"/>
      <c r="D126" s="226">
        <v>2023</v>
      </c>
      <c r="E126" s="484">
        <f t="shared" si="11"/>
        <v>22500</v>
      </c>
      <c r="F126" s="484">
        <f>26000-3500</f>
        <v>22500</v>
      </c>
      <c r="G126" s="484">
        <v>0</v>
      </c>
      <c r="H126" s="484">
        <v>0</v>
      </c>
      <c r="I126" s="484">
        <v>0</v>
      </c>
      <c r="J126" s="1228"/>
      <c r="K126" s="1231"/>
    </row>
    <row r="127" spans="1:11">
      <c r="A127" s="1225"/>
      <c r="B127" s="1228"/>
      <c r="C127" s="1225"/>
      <c r="D127" s="226">
        <v>2024</v>
      </c>
      <c r="E127" s="484">
        <f t="shared" si="11"/>
        <v>21000</v>
      </c>
      <c r="F127" s="484">
        <f>26000-5000</f>
        <v>21000</v>
      </c>
      <c r="G127" s="484">
        <v>0</v>
      </c>
      <c r="H127" s="484">
        <v>0</v>
      </c>
      <c r="I127" s="484">
        <v>0</v>
      </c>
      <c r="J127" s="1228"/>
      <c r="K127" s="1231"/>
    </row>
    <row r="128" spans="1:11">
      <c r="A128" s="1225"/>
      <c r="B128" s="1228"/>
      <c r="C128" s="1225"/>
      <c r="D128" s="226">
        <v>2025</v>
      </c>
      <c r="E128" s="484">
        <f t="shared" si="11"/>
        <v>26000</v>
      </c>
      <c r="F128" s="484">
        <v>26000</v>
      </c>
      <c r="G128" s="484">
        <v>0</v>
      </c>
      <c r="H128" s="484">
        <v>0</v>
      </c>
      <c r="I128" s="484">
        <v>0</v>
      </c>
      <c r="J128" s="1228"/>
      <c r="K128" s="1231"/>
    </row>
    <row r="129" spans="1:11">
      <c r="A129" s="1226"/>
      <c r="B129" s="1229"/>
      <c r="C129" s="1226"/>
      <c r="D129" s="226"/>
      <c r="E129" s="484">
        <f t="shared" si="11"/>
        <v>26000</v>
      </c>
      <c r="F129" s="484">
        <v>26000</v>
      </c>
      <c r="G129" s="484"/>
      <c r="H129" s="484"/>
      <c r="I129" s="484"/>
      <c r="J129" s="1229"/>
      <c r="K129" s="1232"/>
    </row>
    <row r="130" spans="1:11">
      <c r="A130" s="1219" t="s">
        <v>280</v>
      </c>
      <c r="B130" s="1220" t="s">
        <v>281</v>
      </c>
      <c r="C130" s="1224" t="s">
        <v>282</v>
      </c>
      <c r="D130" s="226" t="s">
        <v>3</v>
      </c>
      <c r="E130" s="484">
        <f t="shared" si="11"/>
        <v>9000</v>
      </c>
      <c r="F130" s="484">
        <f>SUM(F131:F136)</f>
        <v>9000</v>
      </c>
      <c r="G130" s="484">
        <f>SUM(G131:G136)</f>
        <v>0</v>
      </c>
      <c r="H130" s="484">
        <f>SUM(H131:H136)</f>
        <v>0</v>
      </c>
      <c r="I130" s="484">
        <f>SUM(I131:I136)</f>
        <v>0</v>
      </c>
      <c r="J130" s="1222" t="s">
        <v>283</v>
      </c>
      <c r="K130" s="1223" t="s">
        <v>92</v>
      </c>
    </row>
    <row r="131" spans="1:11">
      <c r="A131" s="1219"/>
      <c r="B131" s="1220"/>
      <c r="C131" s="1225"/>
      <c r="D131" s="226">
        <v>2021</v>
      </c>
      <c r="E131" s="484">
        <f t="shared" si="11"/>
        <v>0</v>
      </c>
      <c r="F131" s="484">
        <v>0</v>
      </c>
      <c r="G131" s="484">
        <v>0</v>
      </c>
      <c r="H131" s="484">
        <v>0</v>
      </c>
      <c r="I131" s="484">
        <v>0</v>
      </c>
      <c r="J131" s="1222"/>
      <c r="K131" s="1223"/>
    </row>
    <row r="132" spans="1:11">
      <c r="A132" s="1219"/>
      <c r="B132" s="1220"/>
      <c r="C132" s="1225"/>
      <c r="D132" s="226">
        <v>2022</v>
      </c>
      <c r="E132" s="484">
        <f t="shared" si="11"/>
        <v>9000</v>
      </c>
      <c r="F132" s="484">
        <v>9000</v>
      </c>
      <c r="G132" s="484">
        <v>0</v>
      </c>
      <c r="H132" s="484">
        <v>0</v>
      </c>
      <c r="I132" s="484">
        <v>0</v>
      </c>
      <c r="J132" s="1222"/>
      <c r="K132" s="1223"/>
    </row>
    <row r="133" spans="1:11">
      <c r="A133" s="1219"/>
      <c r="B133" s="1220"/>
      <c r="C133" s="1225"/>
      <c r="D133" s="226">
        <v>2023</v>
      </c>
      <c r="E133" s="484">
        <f t="shared" si="11"/>
        <v>0</v>
      </c>
      <c r="F133" s="484">
        <v>0</v>
      </c>
      <c r="G133" s="484">
        <v>0</v>
      </c>
      <c r="H133" s="484">
        <v>0</v>
      </c>
      <c r="I133" s="484">
        <v>0</v>
      </c>
      <c r="J133" s="1222"/>
      <c r="K133" s="1223"/>
    </row>
    <row r="134" spans="1:11">
      <c r="A134" s="1219"/>
      <c r="B134" s="1220"/>
      <c r="C134" s="1225"/>
      <c r="D134" s="226">
        <v>2024</v>
      </c>
      <c r="E134" s="484">
        <f t="shared" si="11"/>
        <v>0</v>
      </c>
      <c r="F134" s="484">
        <v>0</v>
      </c>
      <c r="G134" s="484">
        <v>0</v>
      </c>
      <c r="H134" s="484">
        <v>0</v>
      </c>
      <c r="I134" s="484">
        <v>0</v>
      </c>
      <c r="J134" s="1222"/>
      <c r="K134" s="1223"/>
    </row>
    <row r="135" spans="1:11">
      <c r="A135" s="1219"/>
      <c r="B135" s="1220"/>
      <c r="C135" s="1225"/>
      <c r="D135" s="226">
        <v>2025</v>
      </c>
      <c r="E135" s="484">
        <v>0</v>
      </c>
      <c r="F135" s="484">
        <v>0</v>
      </c>
      <c r="G135" s="484">
        <v>0</v>
      </c>
      <c r="H135" s="484">
        <v>0</v>
      </c>
      <c r="I135" s="484">
        <v>0</v>
      </c>
      <c r="J135" s="1222"/>
      <c r="K135" s="1223"/>
    </row>
    <row r="136" spans="1:11">
      <c r="A136" s="1219"/>
      <c r="B136" s="1220"/>
      <c r="C136" s="1226"/>
      <c r="D136" s="226">
        <v>2026</v>
      </c>
      <c r="E136" s="484">
        <f t="shared" si="11"/>
        <v>0</v>
      </c>
      <c r="F136" s="484">
        <v>0</v>
      </c>
      <c r="G136" s="484">
        <v>0</v>
      </c>
      <c r="H136" s="484">
        <v>0</v>
      </c>
      <c r="I136" s="484">
        <v>0</v>
      </c>
      <c r="J136" s="1222"/>
      <c r="K136" s="1223"/>
    </row>
    <row r="137" spans="1:11">
      <c r="A137" s="1219" t="s">
        <v>284</v>
      </c>
      <c r="B137" s="1220" t="s">
        <v>285</v>
      </c>
      <c r="C137" s="1224">
        <v>2022</v>
      </c>
      <c r="D137" s="226" t="s">
        <v>3</v>
      </c>
      <c r="E137" s="484">
        <f t="shared" si="11"/>
        <v>33359.250659999998</v>
      </c>
      <c r="F137" s="484">
        <f>SUM(F138:F143)</f>
        <v>33359.250659999998</v>
      </c>
      <c r="G137" s="484">
        <f>SUM(G138:G143)</f>
        <v>0</v>
      </c>
      <c r="H137" s="484">
        <f>SUM(H138:H143)</f>
        <v>0</v>
      </c>
      <c r="I137" s="484">
        <f>SUM(I138:I143)</f>
        <v>0</v>
      </c>
      <c r="J137" s="1222" t="s">
        <v>283</v>
      </c>
      <c r="K137" s="1223" t="s">
        <v>92</v>
      </c>
    </row>
    <row r="138" spans="1:11">
      <c r="A138" s="1219"/>
      <c r="B138" s="1220"/>
      <c r="C138" s="1225"/>
      <c r="D138" s="226">
        <v>2021</v>
      </c>
      <c r="E138" s="484">
        <f t="shared" si="11"/>
        <v>0</v>
      </c>
      <c r="F138" s="484">
        <v>0</v>
      </c>
      <c r="G138" s="484">
        <v>0</v>
      </c>
      <c r="H138" s="484">
        <v>0</v>
      </c>
      <c r="I138" s="484">
        <v>0</v>
      </c>
      <c r="J138" s="1222"/>
      <c r="K138" s="1223"/>
    </row>
    <row r="139" spans="1:11">
      <c r="A139" s="1219"/>
      <c r="B139" s="1220"/>
      <c r="C139" s="1225"/>
      <c r="D139" s="226">
        <v>2022</v>
      </c>
      <c r="E139" s="484">
        <f t="shared" si="11"/>
        <v>33359.250659999998</v>
      </c>
      <c r="F139" s="484">
        <f>33194.388+164.86266</f>
        <v>33359.250659999998</v>
      </c>
      <c r="G139" s="484">
        <v>0</v>
      </c>
      <c r="H139" s="484">
        <v>0</v>
      </c>
      <c r="I139" s="484">
        <v>0</v>
      </c>
      <c r="J139" s="1222"/>
      <c r="K139" s="1223"/>
    </row>
    <row r="140" spans="1:11">
      <c r="A140" s="1219"/>
      <c r="B140" s="1220"/>
      <c r="C140" s="1225"/>
      <c r="D140" s="226">
        <v>2023</v>
      </c>
      <c r="E140" s="484">
        <f t="shared" si="11"/>
        <v>0</v>
      </c>
      <c r="F140" s="484">
        <f t="shared" ref="F140:F143" si="12">SUM(G140:J140)</f>
        <v>0</v>
      </c>
      <c r="G140" s="484">
        <f t="shared" ref="G140:H143" si="13">SUM(H140:K140)</f>
        <v>0</v>
      </c>
      <c r="H140" s="484">
        <f t="shared" si="13"/>
        <v>0</v>
      </c>
      <c r="I140" s="484">
        <v>0</v>
      </c>
      <c r="J140" s="1222"/>
      <c r="K140" s="1223"/>
    </row>
    <row r="141" spans="1:11">
      <c r="A141" s="1219"/>
      <c r="B141" s="1220"/>
      <c r="C141" s="1225"/>
      <c r="D141" s="226">
        <v>2024</v>
      </c>
      <c r="E141" s="484">
        <f t="shared" si="11"/>
        <v>0</v>
      </c>
      <c r="F141" s="484">
        <f t="shared" si="12"/>
        <v>0</v>
      </c>
      <c r="G141" s="484">
        <f t="shared" si="13"/>
        <v>0</v>
      </c>
      <c r="H141" s="484">
        <f t="shared" si="13"/>
        <v>0</v>
      </c>
      <c r="I141" s="484">
        <v>0</v>
      </c>
      <c r="J141" s="1222"/>
      <c r="K141" s="1223"/>
    </row>
    <row r="142" spans="1:11">
      <c r="A142" s="1219"/>
      <c r="B142" s="1220"/>
      <c r="C142" s="1225"/>
      <c r="D142" s="226">
        <v>2025</v>
      </c>
      <c r="E142" s="484">
        <v>0</v>
      </c>
      <c r="F142" s="484">
        <v>0</v>
      </c>
      <c r="G142" s="484">
        <v>0</v>
      </c>
      <c r="H142" s="484">
        <v>0</v>
      </c>
      <c r="I142" s="484">
        <v>0</v>
      </c>
      <c r="J142" s="1222"/>
      <c r="K142" s="1223"/>
    </row>
    <row r="143" spans="1:11">
      <c r="A143" s="1219"/>
      <c r="B143" s="1220"/>
      <c r="C143" s="1226"/>
      <c r="D143" s="226">
        <v>2026</v>
      </c>
      <c r="E143" s="484">
        <f t="shared" si="11"/>
        <v>0</v>
      </c>
      <c r="F143" s="484">
        <f t="shared" si="12"/>
        <v>0</v>
      </c>
      <c r="G143" s="484">
        <f t="shared" si="13"/>
        <v>0</v>
      </c>
      <c r="H143" s="484">
        <f t="shared" si="13"/>
        <v>0</v>
      </c>
      <c r="I143" s="484">
        <v>0</v>
      </c>
      <c r="J143" s="1222"/>
      <c r="K143" s="1223"/>
    </row>
    <row r="144" spans="1:11">
      <c r="A144" s="1224" t="s">
        <v>166</v>
      </c>
      <c r="B144" s="1224" t="s">
        <v>165</v>
      </c>
      <c r="C144" s="1224" t="s">
        <v>286</v>
      </c>
      <c r="D144" s="226" t="s">
        <v>3</v>
      </c>
      <c r="E144" s="484">
        <f t="shared" si="11"/>
        <v>42849.06712</v>
      </c>
      <c r="F144" s="484">
        <f>SUM(F145:F150)</f>
        <v>36000</v>
      </c>
      <c r="G144" s="484">
        <f>SUM(G145:G149)</f>
        <v>0</v>
      </c>
      <c r="H144" s="484">
        <f>SUM(H145:H149)</f>
        <v>6849.0671199999997</v>
      </c>
      <c r="I144" s="484">
        <f>SUM(I145:I149)</f>
        <v>0</v>
      </c>
      <c r="J144" s="1236" t="s">
        <v>287</v>
      </c>
      <c r="K144" s="1230" t="s">
        <v>92</v>
      </c>
    </row>
    <row r="145" spans="1:11">
      <c r="A145" s="1225"/>
      <c r="B145" s="1225"/>
      <c r="C145" s="1225"/>
      <c r="D145" s="226">
        <v>2021</v>
      </c>
      <c r="E145" s="484">
        <f t="shared" si="11"/>
        <v>0</v>
      </c>
      <c r="F145" s="484">
        <v>0</v>
      </c>
      <c r="G145" s="484">
        <v>0</v>
      </c>
      <c r="H145" s="484">
        <v>0</v>
      </c>
      <c r="I145" s="484">
        <v>0</v>
      </c>
      <c r="J145" s="1237"/>
      <c r="K145" s="1231"/>
    </row>
    <row r="146" spans="1:11">
      <c r="A146" s="1225"/>
      <c r="B146" s="1225"/>
      <c r="C146" s="1225"/>
      <c r="D146" s="226">
        <v>2022</v>
      </c>
      <c r="E146" s="484">
        <f t="shared" si="11"/>
        <v>0</v>
      </c>
      <c r="F146" s="484">
        <v>0</v>
      </c>
      <c r="G146" s="484">
        <v>0</v>
      </c>
      <c r="H146" s="484">
        <v>0</v>
      </c>
      <c r="I146" s="484">
        <v>0</v>
      </c>
      <c r="J146" s="1237"/>
      <c r="K146" s="1231"/>
    </row>
    <row r="147" spans="1:11">
      <c r="A147" s="1225"/>
      <c r="B147" s="1225"/>
      <c r="C147" s="1225"/>
      <c r="D147" s="226">
        <v>2023</v>
      </c>
      <c r="E147" s="484">
        <f t="shared" si="11"/>
        <v>14210.526320000001</v>
      </c>
      <c r="F147" s="484">
        <v>9000</v>
      </c>
      <c r="G147" s="484">
        <v>0</v>
      </c>
      <c r="H147" s="484">
        <v>5210.5263199999999</v>
      </c>
      <c r="I147" s="484">
        <v>0</v>
      </c>
      <c r="J147" s="1237"/>
      <c r="K147" s="1231"/>
    </row>
    <row r="148" spans="1:11">
      <c r="A148" s="1225"/>
      <c r="B148" s="1225"/>
      <c r="C148" s="1225"/>
      <c r="D148" s="226">
        <v>2024</v>
      </c>
      <c r="E148" s="484">
        <f t="shared" si="11"/>
        <v>10638.540800000001</v>
      </c>
      <c r="F148" s="484">
        <v>9000</v>
      </c>
      <c r="G148" s="484">
        <v>0</v>
      </c>
      <c r="H148" s="484">
        <v>1638.5408</v>
      </c>
      <c r="I148" s="484">
        <v>0</v>
      </c>
      <c r="J148" s="1237"/>
      <c r="K148" s="1231"/>
    </row>
    <row r="149" spans="1:11">
      <c r="A149" s="1225"/>
      <c r="B149" s="1225"/>
      <c r="C149" s="1225"/>
      <c r="D149" s="226">
        <v>2025</v>
      </c>
      <c r="E149" s="484">
        <f t="shared" si="11"/>
        <v>9000</v>
      </c>
      <c r="F149" s="484">
        <v>9000</v>
      </c>
      <c r="G149" s="484">
        <v>0</v>
      </c>
      <c r="H149" s="484">
        <v>0</v>
      </c>
      <c r="I149" s="484">
        <v>0</v>
      </c>
      <c r="J149" s="1237"/>
      <c r="K149" s="1231"/>
    </row>
    <row r="150" spans="1:11">
      <c r="A150" s="1226"/>
      <c r="B150" s="1226"/>
      <c r="C150" s="1226"/>
      <c r="D150" s="226">
        <v>2026</v>
      </c>
      <c r="E150" s="484">
        <f t="shared" si="11"/>
        <v>9000</v>
      </c>
      <c r="F150" s="484">
        <v>9000</v>
      </c>
      <c r="G150" s="484">
        <v>0</v>
      </c>
      <c r="H150" s="484">
        <v>0</v>
      </c>
      <c r="I150" s="484"/>
      <c r="J150" s="1238"/>
      <c r="K150" s="1232"/>
    </row>
    <row r="151" spans="1:11">
      <c r="A151" s="1224" t="s">
        <v>164</v>
      </c>
      <c r="B151" s="1224" t="s">
        <v>163</v>
      </c>
      <c r="C151" s="1224" t="s">
        <v>286</v>
      </c>
      <c r="D151" s="226" t="s">
        <v>3</v>
      </c>
      <c r="E151" s="484">
        <f t="shared" si="11"/>
        <v>275883.68702000001</v>
      </c>
      <c r="F151" s="484">
        <f>SUM(F152:F157)</f>
        <v>225000</v>
      </c>
      <c r="G151" s="484">
        <f>SUM(G152:G156)</f>
        <v>0</v>
      </c>
      <c r="H151" s="484">
        <f>SUM(H152:H156)</f>
        <v>50883.687019999998</v>
      </c>
      <c r="I151" s="484">
        <f>SUM(I152:I156)</f>
        <v>0</v>
      </c>
      <c r="J151" s="1236" t="s">
        <v>288</v>
      </c>
      <c r="K151" s="1230" t="s">
        <v>92</v>
      </c>
    </row>
    <row r="152" spans="1:11">
      <c r="A152" s="1225"/>
      <c r="B152" s="1225"/>
      <c r="C152" s="1225"/>
      <c r="D152" s="226">
        <v>2021</v>
      </c>
      <c r="E152" s="484">
        <f t="shared" si="11"/>
        <v>0</v>
      </c>
      <c r="F152" s="484">
        <v>0</v>
      </c>
      <c r="G152" s="484">
        <f t="shared" ref="G152:H156" si="14">SUM(H152:K152)</f>
        <v>0</v>
      </c>
      <c r="H152" s="484">
        <f t="shared" si="14"/>
        <v>0</v>
      </c>
      <c r="I152" s="484">
        <v>0</v>
      </c>
      <c r="J152" s="1237"/>
      <c r="K152" s="1231"/>
    </row>
    <row r="153" spans="1:11">
      <c r="A153" s="1225"/>
      <c r="B153" s="1225"/>
      <c r="C153" s="1225"/>
      <c r="D153" s="226">
        <v>2022</v>
      </c>
      <c r="E153" s="484">
        <f t="shared" si="11"/>
        <v>0</v>
      </c>
      <c r="F153" s="484">
        <v>0</v>
      </c>
      <c r="G153" s="484">
        <f t="shared" si="14"/>
        <v>0</v>
      </c>
      <c r="H153" s="484">
        <f t="shared" si="14"/>
        <v>0</v>
      </c>
      <c r="I153" s="484">
        <v>0</v>
      </c>
      <c r="J153" s="1237"/>
      <c r="K153" s="1231"/>
    </row>
    <row r="154" spans="1:11">
      <c r="A154" s="1225"/>
      <c r="B154" s="1225"/>
      <c r="C154" s="1225"/>
      <c r="D154" s="226">
        <v>2023</v>
      </c>
      <c r="E154" s="484">
        <f t="shared" si="11"/>
        <v>42275.265019999999</v>
      </c>
      <c r="F154" s="484">
        <v>35000</v>
      </c>
      <c r="G154" s="484"/>
      <c r="H154" s="484">
        <v>7275.2650199999998</v>
      </c>
      <c r="I154" s="484">
        <v>0</v>
      </c>
      <c r="J154" s="1237"/>
      <c r="K154" s="1231"/>
    </row>
    <row r="155" spans="1:11">
      <c r="A155" s="1225"/>
      <c r="B155" s="1225"/>
      <c r="C155" s="1225"/>
      <c r="D155" s="226">
        <v>2024</v>
      </c>
      <c r="E155" s="484">
        <f t="shared" si="11"/>
        <v>163608.42199999999</v>
      </c>
      <c r="F155" s="484">
        <v>120000</v>
      </c>
      <c r="G155" s="484">
        <v>0</v>
      </c>
      <c r="H155" s="484">
        <v>43608.421999999999</v>
      </c>
      <c r="I155" s="484">
        <v>0</v>
      </c>
      <c r="J155" s="1237"/>
      <c r="K155" s="1231"/>
    </row>
    <row r="156" spans="1:11">
      <c r="A156" s="1225"/>
      <c r="B156" s="1225"/>
      <c r="C156" s="1225"/>
      <c r="D156" s="226">
        <v>2025</v>
      </c>
      <c r="E156" s="484">
        <f t="shared" si="11"/>
        <v>35000</v>
      </c>
      <c r="F156" s="484">
        <v>35000</v>
      </c>
      <c r="G156" s="484">
        <f t="shared" si="14"/>
        <v>0</v>
      </c>
      <c r="H156" s="484">
        <f t="shared" si="14"/>
        <v>0</v>
      </c>
      <c r="I156" s="484">
        <v>0</v>
      </c>
      <c r="J156" s="1237"/>
      <c r="K156" s="1231"/>
    </row>
    <row r="157" spans="1:11">
      <c r="A157" s="1226"/>
      <c r="B157" s="1226"/>
      <c r="C157" s="1226"/>
      <c r="D157" s="226">
        <v>2026</v>
      </c>
      <c r="E157" s="484">
        <f t="shared" si="11"/>
        <v>35000</v>
      </c>
      <c r="F157" s="484">
        <v>35000</v>
      </c>
      <c r="G157" s="484">
        <v>0</v>
      </c>
      <c r="H157" s="484">
        <v>0</v>
      </c>
      <c r="I157" s="484">
        <v>0</v>
      </c>
      <c r="J157" s="1238"/>
      <c r="K157" s="1232"/>
    </row>
    <row r="158" spans="1:11">
      <c r="A158" s="1224" t="s">
        <v>162</v>
      </c>
      <c r="B158" s="1224" t="s">
        <v>161</v>
      </c>
      <c r="C158" s="1224" t="s">
        <v>286</v>
      </c>
      <c r="D158" s="226" t="s">
        <v>3</v>
      </c>
      <c r="E158" s="484">
        <f t="shared" si="11"/>
        <v>39720.001000000004</v>
      </c>
      <c r="F158" s="484">
        <f>SUM(F159:F164)</f>
        <v>39720.001000000004</v>
      </c>
      <c r="G158" s="484">
        <f>SUM(G159:G163)</f>
        <v>0</v>
      </c>
      <c r="H158" s="484">
        <f>SUM(H159:H163)</f>
        <v>0</v>
      </c>
      <c r="I158" s="484">
        <f>SUM(I159:I163)</f>
        <v>0</v>
      </c>
      <c r="J158" s="1227" t="s">
        <v>160</v>
      </c>
      <c r="K158" s="1230" t="s">
        <v>65</v>
      </c>
    </row>
    <row r="159" spans="1:11">
      <c r="A159" s="1225"/>
      <c r="B159" s="1225"/>
      <c r="C159" s="1225"/>
      <c r="D159" s="226">
        <v>2021</v>
      </c>
      <c r="E159" s="484">
        <f t="shared" si="11"/>
        <v>0</v>
      </c>
      <c r="F159" s="484">
        <v>0</v>
      </c>
      <c r="G159" s="484">
        <v>0</v>
      </c>
      <c r="H159" s="484">
        <v>0</v>
      </c>
      <c r="I159" s="484">
        <v>0</v>
      </c>
      <c r="J159" s="1228"/>
      <c r="K159" s="1231"/>
    </row>
    <row r="160" spans="1:11">
      <c r="A160" s="1225"/>
      <c r="B160" s="1225"/>
      <c r="C160" s="1225"/>
      <c r="D160" s="226">
        <v>2022</v>
      </c>
      <c r="E160" s="484">
        <f t="shared" si="11"/>
        <v>0</v>
      </c>
      <c r="F160" s="484">
        <v>0</v>
      </c>
      <c r="G160" s="484">
        <v>0</v>
      </c>
      <c r="H160" s="484">
        <v>0</v>
      </c>
      <c r="I160" s="484">
        <v>0</v>
      </c>
      <c r="J160" s="1228"/>
      <c r="K160" s="1231"/>
    </row>
    <row r="161" spans="1:11">
      <c r="A161" s="1225"/>
      <c r="B161" s="1225"/>
      <c r="C161" s="1225"/>
      <c r="D161" s="226">
        <v>2023</v>
      </c>
      <c r="E161" s="484">
        <f t="shared" si="11"/>
        <v>730.00100000000009</v>
      </c>
      <c r="F161" s="484">
        <f>14000-5000-8105.321-164.678</f>
        <v>730.00100000000009</v>
      </c>
      <c r="G161" s="484">
        <v>0</v>
      </c>
      <c r="H161" s="484">
        <v>0</v>
      </c>
      <c r="I161" s="484">
        <v>0</v>
      </c>
      <c r="J161" s="1228"/>
      <c r="K161" s="1231"/>
    </row>
    <row r="162" spans="1:11">
      <c r="A162" s="1225"/>
      <c r="B162" s="1225"/>
      <c r="C162" s="1225"/>
      <c r="D162" s="226">
        <v>2024</v>
      </c>
      <c r="E162" s="484">
        <f t="shared" si="11"/>
        <v>10990</v>
      </c>
      <c r="F162" s="484">
        <f>14000-3010</f>
        <v>10990</v>
      </c>
      <c r="G162" s="484">
        <v>0</v>
      </c>
      <c r="H162" s="484">
        <v>0</v>
      </c>
      <c r="I162" s="484">
        <v>0</v>
      </c>
      <c r="J162" s="1228"/>
      <c r="K162" s="1231"/>
    </row>
    <row r="163" spans="1:11">
      <c r="A163" s="1225"/>
      <c r="B163" s="1225"/>
      <c r="C163" s="1225"/>
      <c r="D163" s="226">
        <v>2025</v>
      </c>
      <c r="E163" s="484">
        <f t="shared" si="11"/>
        <v>14000</v>
      </c>
      <c r="F163" s="484">
        <v>14000</v>
      </c>
      <c r="G163" s="484">
        <v>0</v>
      </c>
      <c r="H163" s="484">
        <v>0</v>
      </c>
      <c r="I163" s="484">
        <v>0</v>
      </c>
      <c r="J163" s="1228"/>
      <c r="K163" s="1231"/>
    </row>
    <row r="164" spans="1:11">
      <c r="A164" s="1226"/>
      <c r="B164" s="1226"/>
      <c r="C164" s="1226"/>
      <c r="D164" s="226">
        <v>2026</v>
      </c>
      <c r="E164" s="484">
        <f t="shared" ref="E164" si="15">SUM(F164:I164)</f>
        <v>14000</v>
      </c>
      <c r="F164" s="484">
        <v>14000</v>
      </c>
      <c r="G164" s="484">
        <v>0</v>
      </c>
      <c r="H164" s="484">
        <v>0</v>
      </c>
      <c r="I164" s="484">
        <v>0</v>
      </c>
      <c r="J164" s="1229"/>
      <c r="K164" s="1232"/>
    </row>
    <row r="165" spans="1:11">
      <c r="A165" s="1219" t="s">
        <v>289</v>
      </c>
      <c r="B165" s="1220" t="s">
        <v>290</v>
      </c>
      <c r="C165" s="1224" t="s">
        <v>291</v>
      </c>
      <c r="D165" s="226" t="s">
        <v>3</v>
      </c>
      <c r="E165" s="484">
        <f>SUM(E166:E171)</f>
        <v>0</v>
      </c>
      <c r="F165" s="484">
        <v>0</v>
      </c>
      <c r="G165" s="484">
        <v>0</v>
      </c>
      <c r="H165" s="484">
        <v>0</v>
      </c>
      <c r="I165" s="484">
        <v>0</v>
      </c>
      <c r="J165" s="1227" t="s">
        <v>292</v>
      </c>
      <c r="K165" s="1230" t="s">
        <v>65</v>
      </c>
    </row>
    <row r="166" spans="1:11">
      <c r="A166" s="1219"/>
      <c r="B166" s="1220"/>
      <c r="C166" s="1225"/>
      <c r="D166" s="226">
        <v>2021</v>
      </c>
      <c r="E166" s="484">
        <f t="shared" ref="E166:E229" si="16">SUM(F166:I166)</f>
        <v>0</v>
      </c>
      <c r="F166" s="484">
        <v>0</v>
      </c>
      <c r="G166" s="484">
        <v>0</v>
      </c>
      <c r="H166" s="484">
        <v>0</v>
      </c>
      <c r="I166" s="484">
        <v>0</v>
      </c>
      <c r="J166" s="1228"/>
      <c r="K166" s="1231"/>
    </row>
    <row r="167" spans="1:11">
      <c r="A167" s="1219"/>
      <c r="B167" s="1220"/>
      <c r="C167" s="1225"/>
      <c r="D167" s="226">
        <v>2022</v>
      </c>
      <c r="E167" s="484">
        <f t="shared" si="16"/>
        <v>0</v>
      </c>
      <c r="F167" s="484">
        <v>0</v>
      </c>
      <c r="G167" s="484">
        <v>0</v>
      </c>
      <c r="H167" s="484">
        <v>0</v>
      </c>
      <c r="I167" s="484">
        <v>0</v>
      </c>
      <c r="J167" s="1228"/>
      <c r="K167" s="1231"/>
    </row>
    <row r="168" spans="1:11">
      <c r="A168" s="1219"/>
      <c r="B168" s="1220"/>
      <c r="C168" s="1225"/>
      <c r="D168" s="226">
        <v>2023</v>
      </c>
      <c r="E168" s="484">
        <f t="shared" si="16"/>
        <v>0</v>
      </c>
      <c r="F168" s="484">
        <v>0</v>
      </c>
      <c r="G168" s="484">
        <v>0</v>
      </c>
      <c r="H168" s="484"/>
      <c r="I168" s="484">
        <v>0</v>
      </c>
      <c r="J168" s="1228"/>
      <c r="K168" s="1231"/>
    </row>
    <row r="169" spans="1:11">
      <c r="A169" s="1219"/>
      <c r="B169" s="1220"/>
      <c r="C169" s="1225"/>
      <c r="D169" s="226">
        <v>2024</v>
      </c>
      <c r="E169" s="484">
        <f t="shared" si="16"/>
        <v>0</v>
      </c>
      <c r="F169" s="484">
        <v>0</v>
      </c>
      <c r="G169" s="484">
        <v>0</v>
      </c>
      <c r="H169" s="484">
        <v>0</v>
      </c>
      <c r="I169" s="484">
        <v>0</v>
      </c>
      <c r="J169" s="1228"/>
      <c r="K169" s="1231"/>
    </row>
    <row r="170" spans="1:11">
      <c r="A170" s="1219"/>
      <c r="B170" s="1220"/>
      <c r="C170" s="1225"/>
      <c r="D170" s="226">
        <v>2025</v>
      </c>
      <c r="E170" s="484">
        <v>0</v>
      </c>
      <c r="F170" s="484">
        <v>0</v>
      </c>
      <c r="G170" s="484">
        <v>0</v>
      </c>
      <c r="H170" s="484">
        <v>0</v>
      </c>
      <c r="I170" s="484">
        <v>0</v>
      </c>
      <c r="J170" s="1228"/>
      <c r="K170" s="1231"/>
    </row>
    <row r="171" spans="1:11">
      <c r="A171" s="1219"/>
      <c r="B171" s="1220"/>
      <c r="C171" s="1226"/>
      <c r="D171" s="226">
        <v>2026</v>
      </c>
      <c r="E171" s="484">
        <f t="shared" si="16"/>
        <v>0</v>
      </c>
      <c r="F171" s="484">
        <v>0</v>
      </c>
      <c r="G171" s="484">
        <v>0</v>
      </c>
      <c r="H171" s="484">
        <v>0</v>
      </c>
      <c r="I171" s="484">
        <v>0</v>
      </c>
      <c r="J171" s="1229"/>
      <c r="K171" s="1232"/>
    </row>
    <row r="172" spans="1:11">
      <c r="A172" s="1224" t="s">
        <v>293</v>
      </c>
      <c r="B172" s="1224" t="s">
        <v>55</v>
      </c>
      <c r="C172" s="1224" t="s">
        <v>235</v>
      </c>
      <c r="D172" s="226" t="s">
        <v>3</v>
      </c>
      <c r="E172" s="484">
        <f t="shared" si="16"/>
        <v>77553.456749999983</v>
      </c>
      <c r="F172" s="484">
        <f>SUM(F173:F178)</f>
        <v>53870.149269999994</v>
      </c>
      <c r="G172" s="484">
        <f>SUM(G173:G177)</f>
        <v>23683.307479999996</v>
      </c>
      <c r="H172" s="484">
        <f>SUM(H173:H177)</f>
        <v>0</v>
      </c>
      <c r="I172" s="484">
        <f>SUM(I173:I177)</f>
        <v>0</v>
      </c>
      <c r="J172" s="1227" t="s">
        <v>294</v>
      </c>
      <c r="K172" s="1230" t="s">
        <v>295</v>
      </c>
    </row>
    <row r="173" spans="1:11">
      <c r="A173" s="1225"/>
      <c r="B173" s="1225"/>
      <c r="C173" s="1225"/>
      <c r="D173" s="226">
        <v>2021</v>
      </c>
      <c r="E173" s="484">
        <f t="shared" si="16"/>
        <v>27116.562749999997</v>
      </c>
      <c r="F173" s="484">
        <f t="shared" ref="F173:I176" si="17">F187+F201+F180+F194</f>
        <v>6916.3637500000004</v>
      </c>
      <c r="G173" s="484">
        <f t="shared" si="17"/>
        <v>20200.198999999997</v>
      </c>
      <c r="H173" s="484">
        <f t="shared" si="17"/>
        <v>0</v>
      </c>
      <c r="I173" s="484">
        <f t="shared" si="17"/>
        <v>0</v>
      </c>
      <c r="J173" s="1228"/>
      <c r="K173" s="1231"/>
    </row>
    <row r="174" spans="1:11">
      <c r="A174" s="1225"/>
      <c r="B174" s="1225"/>
      <c r="C174" s="1225"/>
      <c r="D174" s="226">
        <v>2022</v>
      </c>
      <c r="E174" s="484">
        <f t="shared" si="16"/>
        <v>9977.7219999999998</v>
      </c>
      <c r="F174" s="484">
        <f t="shared" si="17"/>
        <v>7610.2449999999999</v>
      </c>
      <c r="G174" s="484">
        <f t="shared" si="17"/>
        <v>2367.4769999999999</v>
      </c>
      <c r="H174" s="484">
        <f t="shared" si="17"/>
        <v>0</v>
      </c>
      <c r="I174" s="484">
        <f t="shared" si="17"/>
        <v>0</v>
      </c>
      <c r="J174" s="1228"/>
      <c r="K174" s="1231"/>
    </row>
    <row r="175" spans="1:11">
      <c r="A175" s="1225"/>
      <c r="B175" s="1225"/>
      <c r="C175" s="1225"/>
      <c r="D175" s="226">
        <v>2023</v>
      </c>
      <c r="E175" s="484">
        <f t="shared" si="16"/>
        <v>10141.799999999999</v>
      </c>
      <c r="F175" s="484">
        <f t="shared" si="17"/>
        <v>9026.1685199999993</v>
      </c>
      <c r="G175" s="484">
        <f t="shared" si="17"/>
        <v>1115.63148</v>
      </c>
      <c r="H175" s="484">
        <f t="shared" si="17"/>
        <v>0</v>
      </c>
      <c r="I175" s="484">
        <f t="shared" si="17"/>
        <v>0</v>
      </c>
      <c r="J175" s="1228"/>
      <c r="K175" s="1231"/>
    </row>
    <row r="176" spans="1:11">
      <c r="A176" s="1225"/>
      <c r="B176" s="1225"/>
      <c r="C176" s="1225"/>
      <c r="D176" s="226">
        <v>2024</v>
      </c>
      <c r="E176" s="484">
        <f t="shared" si="16"/>
        <v>15999.171999999999</v>
      </c>
      <c r="F176" s="484">
        <f t="shared" si="17"/>
        <v>15999.171999999999</v>
      </c>
      <c r="G176" s="484">
        <f t="shared" si="17"/>
        <v>0</v>
      </c>
      <c r="H176" s="484">
        <f t="shared" si="17"/>
        <v>0</v>
      </c>
      <c r="I176" s="484">
        <f t="shared" si="17"/>
        <v>0</v>
      </c>
      <c r="J176" s="1228"/>
      <c r="K176" s="1231"/>
    </row>
    <row r="177" spans="1:13">
      <c r="A177" s="1225"/>
      <c r="B177" s="1225"/>
      <c r="C177" s="1225"/>
      <c r="D177" s="226">
        <v>2025</v>
      </c>
      <c r="E177" s="484">
        <f t="shared" si="16"/>
        <v>7159.1</v>
      </c>
      <c r="F177" s="484">
        <f>F191+F206+F185+F198</f>
        <v>7159.1</v>
      </c>
      <c r="G177" s="484">
        <f>G191+G206+G185+G198</f>
        <v>0</v>
      </c>
      <c r="H177" s="484">
        <f>H191+H206+H185+H198</f>
        <v>0</v>
      </c>
      <c r="I177" s="484">
        <f>I191+I206+I185+I198</f>
        <v>0</v>
      </c>
      <c r="J177" s="1228"/>
      <c r="K177" s="1231"/>
    </row>
    <row r="178" spans="1:13">
      <c r="A178" s="1226"/>
      <c r="B178" s="1226"/>
      <c r="C178" s="1226"/>
      <c r="D178" s="226">
        <v>2026</v>
      </c>
      <c r="E178" s="484">
        <f t="shared" si="16"/>
        <v>7159.1</v>
      </c>
      <c r="F178" s="484">
        <f>SUM(F192,F199)</f>
        <v>7159.1</v>
      </c>
      <c r="G178" s="484">
        <f>SUM(G192,G199)</f>
        <v>0</v>
      </c>
      <c r="H178" s="484">
        <f>SUM(H192,H199)</f>
        <v>0</v>
      </c>
      <c r="I178" s="484">
        <f>SUM(I192,I199)</f>
        <v>0</v>
      </c>
      <c r="J178" s="1229"/>
      <c r="K178" s="1232"/>
    </row>
    <row r="179" spans="1:13">
      <c r="A179" s="1219" t="s">
        <v>296</v>
      </c>
      <c r="B179" s="1220" t="s">
        <v>58</v>
      </c>
      <c r="C179" s="1224" t="s">
        <v>297</v>
      </c>
      <c r="D179" s="226" t="s">
        <v>3</v>
      </c>
      <c r="E179" s="484">
        <f t="shared" si="16"/>
        <v>5045.5297499999997</v>
      </c>
      <c r="F179" s="484">
        <f>SUM(F180:F185)</f>
        <v>302.73126999999999</v>
      </c>
      <c r="G179" s="484">
        <f>SUM(G180:G185)</f>
        <v>4742.7984799999995</v>
      </c>
      <c r="H179" s="484">
        <f>SUM(H180:H185)</f>
        <v>0</v>
      </c>
      <c r="I179" s="484">
        <f>SUM(I180:I185)</f>
        <v>0</v>
      </c>
      <c r="J179" s="1227" t="s">
        <v>298</v>
      </c>
      <c r="K179" s="1223" t="s">
        <v>299</v>
      </c>
    </row>
    <row r="180" spans="1:13">
      <c r="A180" s="1219"/>
      <c r="B180" s="1220"/>
      <c r="C180" s="1225"/>
      <c r="D180" s="226">
        <v>2021</v>
      </c>
      <c r="E180" s="484">
        <f t="shared" si="16"/>
        <v>1340.09575</v>
      </c>
      <c r="F180" s="484">
        <v>80.405749999999998</v>
      </c>
      <c r="G180" s="484">
        <v>1259.69</v>
      </c>
      <c r="H180" s="484">
        <v>0</v>
      </c>
      <c r="I180" s="484">
        <v>0</v>
      </c>
      <c r="J180" s="1228"/>
      <c r="K180" s="1223"/>
    </row>
    <row r="181" spans="1:13">
      <c r="A181" s="1219"/>
      <c r="B181" s="1220"/>
      <c r="C181" s="1225"/>
      <c r="D181" s="226">
        <v>2022</v>
      </c>
      <c r="E181" s="484">
        <f t="shared" si="16"/>
        <v>2518.5919999999996</v>
      </c>
      <c r="F181" s="484">
        <v>151.11500000000001</v>
      </c>
      <c r="G181" s="484">
        <v>2367.4769999999999</v>
      </c>
      <c r="H181" s="484">
        <v>0</v>
      </c>
      <c r="I181" s="484">
        <v>0</v>
      </c>
      <c r="J181" s="1228"/>
      <c r="K181" s="1223"/>
    </row>
    <row r="182" spans="1:13">
      <c r="A182" s="1219"/>
      <c r="B182" s="1220"/>
      <c r="C182" s="1225"/>
      <c r="D182" s="226">
        <v>2023</v>
      </c>
      <c r="E182" s="484">
        <f t="shared" si="16"/>
        <v>1186.8420000000001</v>
      </c>
      <c r="F182" s="484">
        <v>71.210520000000002</v>
      </c>
      <c r="G182" s="484">
        <v>1115.63148</v>
      </c>
      <c r="H182" s="484">
        <v>0</v>
      </c>
      <c r="I182" s="484">
        <v>0</v>
      </c>
      <c r="J182" s="1228"/>
      <c r="K182" s="1223"/>
    </row>
    <row r="183" spans="1:13">
      <c r="A183" s="1219"/>
      <c r="B183" s="1220"/>
      <c r="C183" s="1225"/>
      <c r="D183" s="226">
        <v>2024</v>
      </c>
      <c r="E183" s="484">
        <f t="shared" si="16"/>
        <v>0</v>
      </c>
      <c r="F183" s="484">
        <v>0</v>
      </c>
      <c r="G183" s="484">
        <v>0</v>
      </c>
      <c r="H183" s="484">
        <v>0</v>
      </c>
      <c r="I183" s="484">
        <v>0</v>
      </c>
      <c r="J183" s="1228"/>
      <c r="K183" s="1223"/>
    </row>
    <row r="184" spans="1:13">
      <c r="A184" s="1219"/>
      <c r="B184" s="1220"/>
      <c r="C184" s="1225"/>
      <c r="D184" s="226">
        <v>2025</v>
      </c>
      <c r="E184" s="484">
        <v>0</v>
      </c>
      <c r="F184" s="484">
        <v>0</v>
      </c>
      <c r="G184" s="484">
        <v>0</v>
      </c>
      <c r="H184" s="484">
        <v>0</v>
      </c>
      <c r="I184" s="484">
        <v>0</v>
      </c>
      <c r="J184" s="1228"/>
      <c r="K184" s="1223"/>
    </row>
    <row r="185" spans="1:13">
      <c r="A185" s="1219"/>
      <c r="B185" s="1220"/>
      <c r="C185" s="1226"/>
      <c r="D185" s="226">
        <v>2026</v>
      </c>
      <c r="E185" s="484">
        <f t="shared" si="16"/>
        <v>0</v>
      </c>
      <c r="F185" s="484">
        <v>0</v>
      </c>
      <c r="G185" s="484">
        <v>0</v>
      </c>
      <c r="H185" s="484">
        <v>0</v>
      </c>
      <c r="I185" s="484">
        <v>0</v>
      </c>
      <c r="J185" s="1229"/>
      <c r="K185" s="1223"/>
    </row>
    <row r="186" spans="1:13">
      <c r="A186" s="1224" t="s">
        <v>300</v>
      </c>
      <c r="B186" s="1224" t="s">
        <v>301</v>
      </c>
      <c r="C186" s="1224" t="s">
        <v>235</v>
      </c>
      <c r="D186" s="226" t="s">
        <v>3</v>
      </c>
      <c r="E186" s="484">
        <f t="shared" si="16"/>
        <v>22562.140999999996</v>
      </c>
      <c r="F186" s="484">
        <f>SUM(F187:F192)</f>
        <v>22562.140999999996</v>
      </c>
      <c r="G186" s="484">
        <f>SUM(G187:G191)</f>
        <v>0</v>
      </c>
      <c r="H186" s="484">
        <f>SUM(H187:H191)</f>
        <v>0</v>
      </c>
      <c r="I186" s="484">
        <f>SUM(I187:I191)</f>
        <v>0</v>
      </c>
      <c r="J186" s="1227" t="s">
        <v>302</v>
      </c>
      <c r="K186" s="1230" t="s">
        <v>65</v>
      </c>
      <c r="L186" s="1233"/>
    </row>
    <row r="187" spans="1:13">
      <c r="A187" s="1225"/>
      <c r="B187" s="1225"/>
      <c r="C187" s="1225"/>
      <c r="D187" s="226">
        <v>2021</v>
      </c>
      <c r="E187" s="484">
        <f t="shared" si="16"/>
        <v>1631.52</v>
      </c>
      <c r="F187" s="484">
        <v>1631.52</v>
      </c>
      <c r="G187" s="484">
        <v>0</v>
      </c>
      <c r="H187" s="484">
        <v>0</v>
      </c>
      <c r="I187" s="484">
        <v>0</v>
      </c>
      <c r="J187" s="1228"/>
      <c r="K187" s="1231"/>
      <c r="L187" s="1233"/>
    </row>
    <row r="188" spans="1:13">
      <c r="A188" s="1225"/>
      <c r="B188" s="1225"/>
      <c r="C188" s="1225"/>
      <c r="D188" s="226">
        <v>2022</v>
      </c>
      <c r="E188" s="484">
        <f t="shared" si="16"/>
        <v>3459.13</v>
      </c>
      <c r="F188" s="484">
        <v>3459.13</v>
      </c>
      <c r="G188" s="484">
        <v>0</v>
      </c>
      <c r="H188" s="484">
        <v>0</v>
      </c>
      <c r="I188" s="484">
        <v>0</v>
      </c>
      <c r="J188" s="1228"/>
      <c r="K188" s="1231"/>
      <c r="L188" s="1233"/>
    </row>
    <row r="189" spans="1:13">
      <c r="A189" s="1225"/>
      <c r="B189" s="1225"/>
      <c r="C189" s="1225"/>
      <c r="D189" s="226">
        <v>2023</v>
      </c>
      <c r="E189" s="484">
        <f t="shared" si="16"/>
        <v>3154.1189999999997</v>
      </c>
      <c r="F189" s="484">
        <f>3159.1-4.981</f>
        <v>3154.1189999999997</v>
      </c>
      <c r="G189" s="484">
        <v>0</v>
      </c>
      <c r="H189" s="484">
        <v>0</v>
      </c>
      <c r="I189" s="484">
        <v>0</v>
      </c>
      <c r="J189" s="1228"/>
      <c r="K189" s="1231"/>
      <c r="L189" s="1233"/>
    </row>
    <row r="190" spans="1:13">
      <c r="A190" s="1225"/>
      <c r="B190" s="1225"/>
      <c r="C190" s="1225"/>
      <c r="D190" s="226">
        <v>2024</v>
      </c>
      <c r="E190" s="484">
        <f t="shared" si="16"/>
        <v>7999.1719999999996</v>
      </c>
      <c r="F190" s="484">
        <f>8000-0.828</f>
        <v>7999.1719999999996</v>
      </c>
      <c r="G190" s="484">
        <v>0</v>
      </c>
      <c r="H190" s="484">
        <v>0</v>
      </c>
      <c r="I190" s="484">
        <v>0</v>
      </c>
      <c r="J190" s="1228"/>
      <c r="K190" s="1231"/>
      <c r="L190" s="1233"/>
      <c r="M190" s="223" t="s">
        <v>690</v>
      </c>
    </row>
    <row r="191" spans="1:13">
      <c r="A191" s="1225"/>
      <c r="B191" s="1225"/>
      <c r="C191" s="1225"/>
      <c r="D191" s="226">
        <v>2025</v>
      </c>
      <c r="E191" s="484">
        <f t="shared" si="16"/>
        <v>3159.1</v>
      </c>
      <c r="F191" s="484">
        <v>3159.1</v>
      </c>
      <c r="G191" s="484">
        <v>0</v>
      </c>
      <c r="H191" s="484">
        <v>0</v>
      </c>
      <c r="I191" s="484">
        <v>0</v>
      </c>
      <c r="J191" s="1228"/>
      <c r="K191" s="1231"/>
      <c r="L191" s="1233"/>
    </row>
    <row r="192" spans="1:13">
      <c r="A192" s="1226"/>
      <c r="B192" s="1226"/>
      <c r="C192" s="1226"/>
      <c r="D192" s="226">
        <v>2026</v>
      </c>
      <c r="E192" s="484">
        <f t="shared" si="16"/>
        <v>3159.1</v>
      </c>
      <c r="F192" s="484">
        <v>3159.1</v>
      </c>
      <c r="G192" s="484">
        <v>0</v>
      </c>
      <c r="H192" s="484">
        <v>0</v>
      </c>
      <c r="I192" s="484">
        <v>0</v>
      </c>
      <c r="J192" s="1229"/>
      <c r="K192" s="1232"/>
    </row>
    <row r="193" spans="1:12">
      <c r="A193" s="1224" t="s">
        <v>303</v>
      </c>
      <c r="B193" s="1224" t="s">
        <v>158</v>
      </c>
      <c r="C193" s="1224" t="s">
        <v>235</v>
      </c>
      <c r="D193" s="226" t="s">
        <v>3</v>
      </c>
      <c r="E193" s="484">
        <f t="shared" si="16"/>
        <v>29796.309000000001</v>
      </c>
      <c r="F193" s="484">
        <f>SUM(F194:F199)</f>
        <v>29796.309000000001</v>
      </c>
      <c r="G193" s="484">
        <f>SUM(G194:G198)</f>
        <v>0</v>
      </c>
      <c r="H193" s="484">
        <f>SUM(H194:H198)</f>
        <v>0</v>
      </c>
      <c r="I193" s="484">
        <f>SUM(I194:I198)</f>
        <v>0</v>
      </c>
      <c r="J193" s="1227" t="s">
        <v>91</v>
      </c>
      <c r="K193" s="1230" t="s">
        <v>92</v>
      </c>
    </row>
    <row r="194" spans="1:12">
      <c r="A194" s="1225"/>
      <c r="B194" s="1225"/>
      <c r="C194" s="1225"/>
      <c r="D194" s="226">
        <v>2021</v>
      </c>
      <c r="E194" s="484">
        <f t="shared" si="16"/>
        <v>3995.47</v>
      </c>
      <c r="F194" s="484">
        <v>3995.47</v>
      </c>
      <c r="G194" s="484">
        <v>0</v>
      </c>
      <c r="H194" s="484">
        <v>0</v>
      </c>
      <c r="I194" s="484">
        <v>0</v>
      </c>
      <c r="J194" s="1228"/>
      <c r="K194" s="1231"/>
    </row>
    <row r="195" spans="1:12">
      <c r="A195" s="1225"/>
      <c r="B195" s="1225"/>
      <c r="C195" s="1225"/>
      <c r="D195" s="226">
        <v>2022</v>
      </c>
      <c r="E195" s="484">
        <f t="shared" si="16"/>
        <v>4000</v>
      </c>
      <c r="F195" s="484">
        <v>4000</v>
      </c>
      <c r="G195" s="484">
        <v>0</v>
      </c>
      <c r="H195" s="484">
        <v>0</v>
      </c>
      <c r="I195" s="484">
        <v>0</v>
      </c>
      <c r="J195" s="1228"/>
      <c r="K195" s="1231"/>
    </row>
    <row r="196" spans="1:12">
      <c r="A196" s="1225"/>
      <c r="B196" s="1225"/>
      <c r="C196" s="1225"/>
      <c r="D196" s="226">
        <v>2023</v>
      </c>
      <c r="E196" s="484">
        <f t="shared" si="16"/>
        <v>5800.8389999999999</v>
      </c>
      <c r="F196" s="484">
        <f>4000+164.678+1500+136.161</f>
        <v>5800.8389999999999</v>
      </c>
      <c r="G196" s="484">
        <v>0</v>
      </c>
      <c r="H196" s="484">
        <v>0</v>
      </c>
      <c r="I196" s="484">
        <v>0</v>
      </c>
      <c r="J196" s="1228"/>
      <c r="K196" s="1231"/>
    </row>
    <row r="197" spans="1:12">
      <c r="A197" s="1225"/>
      <c r="B197" s="1225"/>
      <c r="C197" s="1225"/>
      <c r="D197" s="226">
        <v>2024</v>
      </c>
      <c r="E197" s="484">
        <f t="shared" si="16"/>
        <v>8000</v>
      </c>
      <c r="F197" s="484">
        <v>8000</v>
      </c>
      <c r="G197" s="484">
        <v>0</v>
      </c>
      <c r="H197" s="484">
        <v>0</v>
      </c>
      <c r="I197" s="484">
        <v>0</v>
      </c>
      <c r="J197" s="1228"/>
      <c r="K197" s="1231"/>
    </row>
    <row r="198" spans="1:12">
      <c r="A198" s="1225"/>
      <c r="B198" s="1225"/>
      <c r="C198" s="1225"/>
      <c r="D198" s="226">
        <v>2025</v>
      </c>
      <c r="E198" s="484">
        <f t="shared" si="16"/>
        <v>4000</v>
      </c>
      <c r="F198" s="484">
        <v>4000</v>
      </c>
      <c r="G198" s="484">
        <v>0</v>
      </c>
      <c r="H198" s="484">
        <v>0</v>
      </c>
      <c r="I198" s="484">
        <v>0</v>
      </c>
      <c r="J198" s="1228"/>
      <c r="K198" s="1231"/>
    </row>
    <row r="199" spans="1:12">
      <c r="A199" s="1226"/>
      <c r="B199" s="1226"/>
      <c r="C199" s="1226"/>
      <c r="D199" s="226">
        <v>2026</v>
      </c>
      <c r="E199" s="484">
        <f t="shared" si="16"/>
        <v>4000</v>
      </c>
      <c r="F199" s="484">
        <v>4000</v>
      </c>
      <c r="G199" s="484">
        <v>0</v>
      </c>
      <c r="H199" s="484">
        <v>0</v>
      </c>
      <c r="I199" s="484">
        <v>0</v>
      </c>
      <c r="J199" s="1229"/>
      <c r="K199" s="1232"/>
    </row>
    <row r="200" spans="1:12">
      <c r="A200" s="1219" t="s">
        <v>304</v>
      </c>
      <c r="B200" s="1220" t="s">
        <v>58</v>
      </c>
      <c r="C200" s="1224" t="s">
        <v>235</v>
      </c>
      <c r="D200" s="226" t="s">
        <v>3</v>
      </c>
      <c r="E200" s="484">
        <f t="shared" si="16"/>
        <v>20149.476999999999</v>
      </c>
      <c r="F200" s="484">
        <f>SUM(F201:F206)</f>
        <v>1208.9680000000001</v>
      </c>
      <c r="G200" s="484">
        <f>SUM(G201:G206)</f>
        <v>18940.508999999998</v>
      </c>
      <c r="H200" s="484">
        <f>SUM(H201:H206)</f>
        <v>0</v>
      </c>
      <c r="I200" s="484">
        <f>SUM(I201:I206)</f>
        <v>0</v>
      </c>
      <c r="J200" s="1227" t="s">
        <v>305</v>
      </c>
      <c r="K200" s="1230" t="s">
        <v>92</v>
      </c>
    </row>
    <row r="201" spans="1:12">
      <c r="A201" s="1219"/>
      <c r="B201" s="1220"/>
      <c r="C201" s="1225"/>
      <c r="D201" s="226">
        <v>2021</v>
      </c>
      <c r="E201" s="484">
        <f t="shared" si="16"/>
        <v>20149.476999999999</v>
      </c>
      <c r="F201" s="484">
        <v>1208.9680000000001</v>
      </c>
      <c r="G201" s="484">
        <v>18940.508999999998</v>
      </c>
      <c r="H201" s="484">
        <v>0</v>
      </c>
      <c r="I201" s="484">
        <v>0</v>
      </c>
      <c r="J201" s="1228"/>
      <c r="K201" s="1231"/>
    </row>
    <row r="202" spans="1:12">
      <c r="A202" s="1219"/>
      <c r="B202" s="1220"/>
      <c r="C202" s="1225"/>
      <c r="D202" s="226">
        <v>2022</v>
      </c>
      <c r="E202" s="484">
        <f t="shared" si="16"/>
        <v>0</v>
      </c>
      <c r="F202" s="484">
        <v>0</v>
      </c>
      <c r="G202" s="484">
        <v>0</v>
      </c>
      <c r="H202" s="484">
        <v>0</v>
      </c>
      <c r="I202" s="484">
        <v>0</v>
      </c>
      <c r="J202" s="1228"/>
      <c r="K202" s="1231"/>
    </row>
    <row r="203" spans="1:12">
      <c r="A203" s="1219"/>
      <c r="B203" s="1220"/>
      <c r="C203" s="1225"/>
      <c r="D203" s="226">
        <v>2023</v>
      </c>
      <c r="E203" s="484">
        <f t="shared" si="16"/>
        <v>0</v>
      </c>
      <c r="F203" s="484">
        <v>0</v>
      </c>
      <c r="G203" s="484">
        <v>0</v>
      </c>
      <c r="H203" s="484">
        <v>0</v>
      </c>
      <c r="I203" s="484">
        <v>0</v>
      </c>
      <c r="J203" s="1228"/>
      <c r="K203" s="1231"/>
    </row>
    <row r="204" spans="1:12">
      <c r="A204" s="1219"/>
      <c r="B204" s="1220"/>
      <c r="C204" s="1225"/>
      <c r="D204" s="226">
        <v>2024</v>
      </c>
      <c r="E204" s="484">
        <f t="shared" si="16"/>
        <v>0</v>
      </c>
      <c r="F204" s="484">
        <v>0</v>
      </c>
      <c r="G204" s="484">
        <v>0</v>
      </c>
      <c r="H204" s="484">
        <v>0</v>
      </c>
      <c r="I204" s="484">
        <v>0</v>
      </c>
      <c r="J204" s="1228"/>
      <c r="K204" s="1231"/>
    </row>
    <row r="205" spans="1:12">
      <c r="A205" s="1219"/>
      <c r="B205" s="1220"/>
      <c r="C205" s="1225"/>
      <c r="D205" s="226">
        <v>2025</v>
      </c>
      <c r="E205" s="484">
        <v>0</v>
      </c>
      <c r="F205" s="484">
        <v>0</v>
      </c>
      <c r="G205" s="484">
        <v>0</v>
      </c>
      <c r="H205" s="484">
        <v>0</v>
      </c>
      <c r="I205" s="484">
        <v>0</v>
      </c>
      <c r="J205" s="1228"/>
      <c r="K205" s="1231"/>
    </row>
    <row r="206" spans="1:12">
      <c r="A206" s="1219"/>
      <c r="B206" s="1220"/>
      <c r="C206" s="1226"/>
      <c r="D206" s="226">
        <v>2026</v>
      </c>
      <c r="E206" s="484">
        <f t="shared" si="16"/>
        <v>0</v>
      </c>
      <c r="F206" s="484">
        <v>0</v>
      </c>
      <c r="G206" s="484">
        <v>0</v>
      </c>
      <c r="H206" s="484">
        <v>0</v>
      </c>
      <c r="I206" s="484">
        <v>0</v>
      </c>
      <c r="J206" s="1229"/>
      <c r="K206" s="1232"/>
    </row>
    <row r="207" spans="1:12">
      <c r="A207" s="1224">
        <v>2</v>
      </c>
      <c r="B207" s="1224" t="s">
        <v>112</v>
      </c>
      <c r="C207" s="1224" t="s">
        <v>235</v>
      </c>
      <c r="D207" s="226" t="s">
        <v>3</v>
      </c>
      <c r="E207" s="484">
        <f t="shared" si="16"/>
        <v>6913523.845329999</v>
      </c>
      <c r="F207" s="484">
        <f>SUM(F208:F213)</f>
        <v>6747078.8564799996</v>
      </c>
      <c r="G207" s="484">
        <f>SUM(G208:G212)</f>
        <v>59537.642009999996</v>
      </c>
      <c r="H207" s="484">
        <f>SUM(H208:H213)</f>
        <v>106907.34684</v>
      </c>
      <c r="I207" s="484">
        <f>SUM(I208:I212)</f>
        <v>0</v>
      </c>
      <c r="J207" s="1227"/>
      <c r="K207" s="1230" t="s">
        <v>295</v>
      </c>
      <c r="L207" s="223" t="s">
        <v>306</v>
      </c>
    </row>
    <row r="208" spans="1:12">
      <c r="A208" s="1225"/>
      <c r="B208" s="1225"/>
      <c r="C208" s="1225"/>
      <c r="D208" s="226">
        <v>2021</v>
      </c>
      <c r="E208" s="484">
        <f t="shared" si="16"/>
        <v>891879.98959000001</v>
      </c>
      <c r="F208" s="484">
        <f t="shared" ref="F208:I212" si="18">F215+F376+F397</f>
        <v>854371.18938</v>
      </c>
      <c r="G208" s="484">
        <f t="shared" si="18"/>
        <v>24191.1</v>
      </c>
      <c r="H208" s="484">
        <f t="shared" si="18"/>
        <v>13317.700210000001</v>
      </c>
      <c r="I208" s="484">
        <f t="shared" si="18"/>
        <v>0</v>
      </c>
      <c r="J208" s="1228"/>
      <c r="K208" s="1231"/>
    </row>
    <row r="209" spans="1:12">
      <c r="A209" s="1225"/>
      <c r="B209" s="1225"/>
      <c r="C209" s="1225"/>
      <c r="D209" s="226">
        <v>2022</v>
      </c>
      <c r="E209" s="484">
        <f t="shared" si="16"/>
        <v>1227311.4540000001</v>
      </c>
      <c r="F209" s="484">
        <f t="shared" si="18"/>
        <v>1191344.9740000002</v>
      </c>
      <c r="G209" s="484">
        <f t="shared" si="18"/>
        <v>16189.3</v>
      </c>
      <c r="H209" s="484">
        <f t="shared" si="18"/>
        <v>19777.18</v>
      </c>
      <c r="I209" s="484">
        <f t="shared" si="18"/>
        <v>0</v>
      </c>
      <c r="J209" s="1228"/>
      <c r="K209" s="1231"/>
    </row>
    <row r="210" spans="1:12">
      <c r="A210" s="1225"/>
      <c r="B210" s="1225"/>
      <c r="C210" s="1225"/>
      <c r="D210" s="226">
        <v>2023</v>
      </c>
      <c r="E210" s="484">
        <f t="shared" si="16"/>
        <v>1113485.83519</v>
      </c>
      <c r="F210" s="484">
        <f t="shared" si="18"/>
        <v>1082614.0218200001</v>
      </c>
      <c r="G210" s="484">
        <f t="shared" si="18"/>
        <v>11094.58337</v>
      </c>
      <c r="H210" s="484">
        <f t="shared" si="18"/>
        <v>19777.23</v>
      </c>
      <c r="I210" s="484">
        <f t="shared" si="18"/>
        <v>0</v>
      </c>
      <c r="J210" s="1228"/>
      <c r="K210" s="1231"/>
    </row>
    <row r="211" spans="1:12">
      <c r="A211" s="1225"/>
      <c r="B211" s="1225"/>
      <c r="C211" s="1225"/>
      <c r="D211" s="226">
        <v>2024</v>
      </c>
      <c r="E211" s="484">
        <f t="shared" si="16"/>
        <v>1432872.8248299998</v>
      </c>
      <c r="F211" s="484">
        <f t="shared" si="18"/>
        <v>1403953.9761899998</v>
      </c>
      <c r="G211" s="484">
        <f t="shared" si="18"/>
        <v>8062.6586400000006</v>
      </c>
      <c r="H211" s="484">
        <f t="shared" si="18"/>
        <v>20856.189999999999</v>
      </c>
      <c r="I211" s="484">
        <f t="shared" si="18"/>
        <v>0</v>
      </c>
      <c r="J211" s="1228"/>
      <c r="K211" s="1231"/>
    </row>
    <row r="212" spans="1:12">
      <c r="A212" s="1225"/>
      <c r="B212" s="1225"/>
      <c r="C212" s="1225"/>
      <c r="D212" s="226">
        <v>2025</v>
      </c>
      <c r="E212" s="484">
        <f t="shared" si="16"/>
        <v>1146360.4516799999</v>
      </c>
      <c r="F212" s="484">
        <f t="shared" si="18"/>
        <v>1129770.9283499999</v>
      </c>
      <c r="G212" s="484">
        <f t="shared" si="18"/>
        <v>0</v>
      </c>
      <c r="H212" s="484">
        <f t="shared" si="18"/>
        <v>16589.52333</v>
      </c>
      <c r="I212" s="484">
        <f t="shared" si="18"/>
        <v>0</v>
      </c>
      <c r="J212" s="1228"/>
      <c r="K212" s="1231"/>
    </row>
    <row r="213" spans="1:12">
      <c r="A213" s="1226"/>
      <c r="B213" s="1226"/>
      <c r="C213" s="1226"/>
      <c r="D213" s="226">
        <v>2026</v>
      </c>
      <c r="E213" s="484">
        <f t="shared" si="16"/>
        <v>1101613.2900400001</v>
      </c>
      <c r="F213" s="484">
        <f>SUM(F220,F381)</f>
        <v>1085023.7667400001</v>
      </c>
      <c r="G213" s="484">
        <f>SUM(G220,G381)</f>
        <v>0</v>
      </c>
      <c r="H213" s="484">
        <f>SUM(H220,H381)</f>
        <v>16589.523300000001</v>
      </c>
      <c r="I213" s="484">
        <f>SUM(I220,I381)</f>
        <v>0</v>
      </c>
      <c r="J213" s="1229"/>
      <c r="K213" s="1232"/>
    </row>
    <row r="214" spans="1:12">
      <c r="A214" s="1224" t="s">
        <v>307</v>
      </c>
      <c r="B214" s="1224" t="s">
        <v>308</v>
      </c>
      <c r="C214" s="1224" t="s">
        <v>235</v>
      </c>
      <c r="D214" s="226" t="s">
        <v>3</v>
      </c>
      <c r="E214" s="484">
        <f t="shared" si="16"/>
        <v>6471235.1550399996</v>
      </c>
      <c r="F214" s="484">
        <f>SUM(F215:F220)</f>
        <v>6471235.1550399996</v>
      </c>
      <c r="G214" s="484">
        <f>SUM(G215:G219)</f>
        <v>0</v>
      </c>
      <c r="H214" s="484">
        <f>SUM(H215:H219)</f>
        <v>0</v>
      </c>
      <c r="I214" s="484">
        <f>SUM(I215:I219)</f>
        <v>0</v>
      </c>
      <c r="J214" s="1227" t="s">
        <v>157</v>
      </c>
      <c r="K214" s="1230" t="s">
        <v>241</v>
      </c>
      <c r="L214" s="1233"/>
    </row>
    <row r="215" spans="1:12">
      <c r="A215" s="1225"/>
      <c r="B215" s="1225"/>
      <c r="C215" s="1225"/>
      <c r="D215" s="226">
        <v>2021</v>
      </c>
      <c r="E215" s="484">
        <f t="shared" si="16"/>
        <v>809865.57669999998</v>
      </c>
      <c r="F215" s="484">
        <f>F222+F229+F236+F243+F250+F257++F264+F271+F278+F285+F292+F299+F306+F313+F320+F327+F334+F341+F355+F348</f>
        <v>809865.57669999998</v>
      </c>
      <c r="G215" s="484">
        <f t="shared" ref="G215:I218" si="19">G222+G229+G236+G243+G250+G257++G264+G271+G278+G285+G292+G299+G306+G313+G320+G327+G334+G341+G355</f>
        <v>0</v>
      </c>
      <c r="H215" s="484">
        <f t="shared" si="19"/>
        <v>0</v>
      </c>
      <c r="I215" s="484">
        <f t="shared" si="19"/>
        <v>0</v>
      </c>
      <c r="J215" s="1228"/>
      <c r="K215" s="1231"/>
      <c r="L215" s="1233"/>
    </row>
    <row r="216" spans="1:12">
      <c r="A216" s="1225"/>
      <c r="B216" s="1225"/>
      <c r="C216" s="1225"/>
      <c r="D216" s="226">
        <v>2022</v>
      </c>
      <c r="E216" s="484">
        <f t="shared" si="16"/>
        <v>1140833.8970000001</v>
      </c>
      <c r="F216" s="484">
        <f>F223+F230+F237+F244+F251+F258++F265+F272+F279+F286+F293+F300+F307+F314+F321+F328+F335+F342+F356</f>
        <v>1140833.8970000001</v>
      </c>
      <c r="G216" s="484">
        <f t="shared" si="19"/>
        <v>0</v>
      </c>
      <c r="H216" s="484">
        <f t="shared" si="19"/>
        <v>0</v>
      </c>
      <c r="I216" s="484">
        <f t="shared" si="19"/>
        <v>0</v>
      </c>
      <c r="J216" s="1228"/>
      <c r="K216" s="1231"/>
      <c r="L216" s="1233"/>
    </row>
    <row r="217" spans="1:12">
      <c r="A217" s="1225"/>
      <c r="B217" s="1225"/>
      <c r="C217" s="1225"/>
      <c r="D217" s="226">
        <v>2023</v>
      </c>
      <c r="E217" s="484">
        <f t="shared" si="16"/>
        <v>1034105.8569300001</v>
      </c>
      <c r="F217" s="484">
        <f>F224+F231+F238+F245+F252+F259++F266+F273+F280+F287+F294+F301+F308+F315+F322+F329+F336+F343+F357+F364</f>
        <v>1034105.8569300001</v>
      </c>
      <c r="G217" s="484">
        <f t="shared" si="19"/>
        <v>0</v>
      </c>
      <c r="H217" s="484">
        <f t="shared" si="19"/>
        <v>0</v>
      </c>
      <c r="I217" s="484">
        <f t="shared" si="19"/>
        <v>0</v>
      </c>
      <c r="J217" s="1228"/>
      <c r="K217" s="1231"/>
      <c r="L217" s="1233"/>
    </row>
    <row r="218" spans="1:12">
      <c r="A218" s="1225"/>
      <c r="B218" s="1225"/>
      <c r="C218" s="1225"/>
      <c r="D218" s="226">
        <v>2024</v>
      </c>
      <c r="E218" s="484">
        <f t="shared" si="16"/>
        <v>1354435.1293199998</v>
      </c>
      <c r="F218" s="484">
        <f>F225+F232+F239+F246+F253+F260++F267+F274+F281+F288+F295+F302+F309+F316+F323+F330+F337+F344+F358+F365+F372</f>
        <v>1354435.1293199998</v>
      </c>
      <c r="G218" s="484">
        <f t="shared" si="19"/>
        <v>0</v>
      </c>
      <c r="H218" s="484">
        <f t="shared" si="19"/>
        <v>0</v>
      </c>
      <c r="I218" s="484">
        <f t="shared" si="19"/>
        <v>0</v>
      </c>
      <c r="J218" s="1228"/>
      <c r="K218" s="1231"/>
      <c r="L218" s="1233"/>
    </row>
    <row r="219" spans="1:12">
      <c r="A219" s="1225"/>
      <c r="B219" s="1225"/>
      <c r="C219" s="1225"/>
      <c r="D219" s="226">
        <v>2025</v>
      </c>
      <c r="E219" s="484">
        <f t="shared" si="16"/>
        <v>1088370.9283499999</v>
      </c>
      <c r="F219" s="484">
        <f>F226+F233+F240+F247+F254+F262++F269+F276+F283+F290+F297+F304+F311+F318+F324+F332+F339+F346+F360+F294</f>
        <v>1088370.9283499999</v>
      </c>
      <c r="G219" s="484">
        <f>G226+G233+G240+G247+G254+G262++G269+G276+G283+G290+G297+G304+G311+G318+G324+G332+G339+G346+G360</f>
        <v>0</v>
      </c>
      <c r="H219" s="484">
        <f>H226+H233+H240+H247+H254+H262++H269+H276+H283+H290+H297+H304+H311+H318+H324+H332+H339+H346+H360</f>
        <v>0</v>
      </c>
      <c r="I219" s="484">
        <f>I226+I233+I240+I247+I254+I262++I269+I276+I283+I290+I297+I304+I311+I318+I324+I332+I339+I346+I360</f>
        <v>0</v>
      </c>
      <c r="J219" s="1228"/>
      <c r="K219" s="1231"/>
      <c r="L219" s="1233"/>
    </row>
    <row r="220" spans="1:12">
      <c r="A220" s="1226"/>
      <c r="B220" s="1226"/>
      <c r="C220" s="1226"/>
      <c r="D220" s="226">
        <v>2026</v>
      </c>
      <c r="E220" s="484">
        <f t="shared" si="16"/>
        <v>1043623.7667400001</v>
      </c>
      <c r="F220" s="484">
        <f>SUM(F227,F234,F241,F248,F255,F325)</f>
        <v>1043623.7667400001</v>
      </c>
      <c r="G220" s="484">
        <f>SUM(G227,G234,G241,G248,G255,G325)</f>
        <v>0</v>
      </c>
      <c r="H220" s="484">
        <f>SUM(H227,H234,H241,H248,H255,H325)</f>
        <v>0</v>
      </c>
      <c r="I220" s="484">
        <f>SUM(I227,I234,I241,I248,I255,I325)</f>
        <v>0</v>
      </c>
      <c r="J220" s="1229"/>
      <c r="K220" s="1232"/>
    </row>
    <row r="221" spans="1:12">
      <c r="A221" s="1224" t="s">
        <v>309</v>
      </c>
      <c r="B221" s="1224" t="s">
        <v>14</v>
      </c>
      <c r="C221" s="1224" t="s">
        <v>235</v>
      </c>
      <c r="D221" s="226" t="s">
        <v>3</v>
      </c>
      <c r="E221" s="484">
        <f t="shared" si="16"/>
        <v>15007.20577</v>
      </c>
      <c r="F221" s="484">
        <f>SUM(F222:F227)</f>
        <v>15007.20577</v>
      </c>
      <c r="G221" s="484">
        <f>SUM(G222:G226)</f>
        <v>0</v>
      </c>
      <c r="H221" s="484">
        <f>SUM(H222:H226)</f>
        <v>0</v>
      </c>
      <c r="I221" s="484">
        <f>SUM(I222:I226)</f>
        <v>0</v>
      </c>
      <c r="J221" s="1227" t="s">
        <v>156</v>
      </c>
      <c r="K221" s="1230" t="s">
        <v>65</v>
      </c>
      <c r="L221" s="1233"/>
    </row>
    <row r="222" spans="1:12">
      <c r="A222" s="1225"/>
      <c r="B222" s="1225"/>
      <c r="C222" s="1225"/>
      <c r="D222" s="226">
        <v>2021</v>
      </c>
      <c r="E222" s="484">
        <f t="shared" si="16"/>
        <v>2106.6577000000002</v>
      </c>
      <c r="F222" s="484">
        <f>2106.6577</f>
        <v>2106.6577000000002</v>
      </c>
      <c r="G222" s="484">
        <v>0</v>
      </c>
      <c r="H222" s="484">
        <v>0</v>
      </c>
      <c r="I222" s="484">
        <v>0</v>
      </c>
      <c r="J222" s="1228"/>
      <c r="K222" s="1231"/>
      <c r="L222" s="1233"/>
    </row>
    <row r="223" spans="1:12">
      <c r="A223" s="1225"/>
      <c r="B223" s="1225"/>
      <c r="C223" s="1225"/>
      <c r="D223" s="226">
        <v>2022</v>
      </c>
      <c r="E223" s="484">
        <f t="shared" si="16"/>
        <v>5343.0770000000002</v>
      </c>
      <c r="F223" s="484">
        <f>5912.957-569.88</f>
        <v>5343.0770000000002</v>
      </c>
      <c r="G223" s="484">
        <v>0</v>
      </c>
      <c r="H223" s="484">
        <v>0</v>
      </c>
      <c r="I223" s="484">
        <v>0</v>
      </c>
      <c r="J223" s="1228"/>
      <c r="K223" s="1231"/>
      <c r="L223" s="1233"/>
    </row>
    <row r="224" spans="1:12">
      <c r="A224" s="1225"/>
      <c r="B224" s="1225"/>
      <c r="C224" s="1225"/>
      <c r="D224" s="226">
        <v>2023</v>
      </c>
      <c r="E224" s="484">
        <f t="shared" si="16"/>
        <v>1237.58797</v>
      </c>
      <c r="F224" s="484">
        <f>2106.657+(30930.97/1000)-900</f>
        <v>1237.58797</v>
      </c>
      <c r="G224" s="484">
        <v>0</v>
      </c>
      <c r="H224" s="484">
        <v>0</v>
      </c>
      <c r="I224" s="484">
        <v>0</v>
      </c>
      <c r="J224" s="1228"/>
      <c r="K224" s="1231"/>
      <c r="L224" s="1233"/>
    </row>
    <row r="225" spans="1:12">
      <c r="A225" s="1225"/>
      <c r="B225" s="1225"/>
      <c r="C225" s="1225"/>
      <c r="D225" s="226">
        <v>2024</v>
      </c>
      <c r="E225" s="484">
        <f t="shared" si="16"/>
        <v>2106.6577000000002</v>
      </c>
      <c r="F225" s="484">
        <v>2106.6577000000002</v>
      </c>
      <c r="G225" s="484">
        <v>0</v>
      </c>
      <c r="H225" s="484">
        <v>0</v>
      </c>
      <c r="I225" s="484">
        <v>0</v>
      </c>
      <c r="J225" s="1228"/>
      <c r="K225" s="1231"/>
      <c r="L225" s="1233"/>
    </row>
    <row r="226" spans="1:12">
      <c r="A226" s="1225"/>
      <c r="B226" s="1225"/>
      <c r="C226" s="1225"/>
      <c r="D226" s="226">
        <v>2025</v>
      </c>
      <c r="E226" s="484">
        <f t="shared" si="16"/>
        <v>2106.5677000000001</v>
      </c>
      <c r="F226" s="484">
        <v>2106.5677000000001</v>
      </c>
      <c r="G226" s="484">
        <f>+G233+G240+G247+G276</f>
        <v>0</v>
      </c>
      <c r="H226" s="484">
        <v>0</v>
      </c>
      <c r="I226" s="484">
        <v>0</v>
      </c>
      <c r="J226" s="1228"/>
      <c r="K226" s="1231"/>
      <c r="L226" s="1233"/>
    </row>
    <row r="227" spans="1:12">
      <c r="A227" s="1226"/>
      <c r="B227" s="1226"/>
      <c r="C227" s="1226"/>
      <c r="D227" s="226">
        <v>2026</v>
      </c>
      <c r="E227" s="484">
        <f t="shared" si="16"/>
        <v>2106.6577000000002</v>
      </c>
      <c r="F227" s="484">
        <v>2106.6577000000002</v>
      </c>
      <c r="G227" s="484">
        <v>0</v>
      </c>
      <c r="H227" s="484">
        <v>0</v>
      </c>
      <c r="I227" s="484">
        <v>0</v>
      </c>
      <c r="J227" s="1229"/>
      <c r="K227" s="1232"/>
    </row>
    <row r="228" spans="1:12">
      <c r="A228" s="1224" t="s">
        <v>311</v>
      </c>
      <c r="B228" s="1224" t="s">
        <v>114</v>
      </c>
      <c r="C228" s="1224" t="s">
        <v>235</v>
      </c>
      <c r="D228" s="226" t="s">
        <v>3</v>
      </c>
      <c r="E228" s="484">
        <f t="shared" si="16"/>
        <v>298363.97166000004</v>
      </c>
      <c r="F228" s="484">
        <f>SUM(F229:F234)</f>
        <v>298363.97166000004</v>
      </c>
      <c r="G228" s="484">
        <f>SUM(G229:G233)</f>
        <v>0</v>
      </c>
      <c r="H228" s="484">
        <f>SUM(H229:H233)</f>
        <v>0</v>
      </c>
      <c r="I228" s="484">
        <f>SUM(I229:I233)</f>
        <v>0</v>
      </c>
      <c r="J228" s="1227" t="s">
        <v>90</v>
      </c>
      <c r="K228" s="1230" t="s">
        <v>65</v>
      </c>
    </row>
    <row r="229" spans="1:12">
      <c r="A229" s="1225"/>
      <c r="B229" s="1225"/>
      <c r="C229" s="1225"/>
      <c r="D229" s="226">
        <v>2021</v>
      </c>
      <c r="E229" s="484">
        <f t="shared" si="16"/>
        <v>456</v>
      </c>
      <c r="F229" s="484">
        <v>456</v>
      </c>
      <c r="G229" s="484">
        <v>0</v>
      </c>
      <c r="H229" s="484">
        <v>0</v>
      </c>
      <c r="I229" s="484">
        <v>0</v>
      </c>
      <c r="J229" s="1228"/>
      <c r="K229" s="1231"/>
    </row>
    <row r="230" spans="1:12">
      <c r="A230" s="1225"/>
      <c r="B230" s="1225"/>
      <c r="C230" s="1225"/>
      <c r="D230" s="226">
        <v>2022</v>
      </c>
      <c r="E230" s="484">
        <f t="shared" ref="E230:E293" si="20">SUM(F230:I230)</f>
        <v>52700</v>
      </c>
      <c r="F230" s="484">
        <v>52700</v>
      </c>
      <c r="G230" s="484">
        <v>0</v>
      </c>
      <c r="H230" s="484">
        <v>0</v>
      </c>
      <c r="I230" s="484">
        <v>0</v>
      </c>
      <c r="J230" s="1228"/>
      <c r="K230" s="1231"/>
    </row>
    <row r="231" spans="1:12">
      <c r="A231" s="1225"/>
      <c r="B231" s="1225"/>
      <c r="C231" s="1225"/>
      <c r="D231" s="226">
        <v>2023</v>
      </c>
      <c r="E231" s="484">
        <f t="shared" si="20"/>
        <v>67599.999660000001</v>
      </c>
      <c r="F231" s="484">
        <f>52004+7490.67866+8105.321</f>
        <v>67599.999660000001</v>
      </c>
      <c r="G231" s="484">
        <v>0</v>
      </c>
      <c r="H231" s="484">
        <v>0</v>
      </c>
      <c r="I231" s="484">
        <v>0</v>
      </c>
      <c r="J231" s="1228"/>
      <c r="K231" s="1231"/>
    </row>
    <row r="232" spans="1:12">
      <c r="A232" s="1225"/>
      <c r="B232" s="1225"/>
      <c r="C232" s="1225"/>
      <c r="D232" s="226">
        <v>2024</v>
      </c>
      <c r="E232" s="484">
        <f t="shared" si="20"/>
        <v>73599.972000000009</v>
      </c>
      <c r="F232" s="484">
        <f>52004+18303.372+3292.6</f>
        <v>73599.972000000009</v>
      </c>
      <c r="G232" s="484">
        <v>0</v>
      </c>
      <c r="H232" s="484">
        <v>0</v>
      </c>
      <c r="I232" s="484">
        <v>0</v>
      </c>
      <c r="J232" s="1228"/>
      <c r="K232" s="1231"/>
    </row>
    <row r="233" spans="1:12">
      <c r="A233" s="1225"/>
      <c r="B233" s="1225"/>
      <c r="C233" s="1225"/>
      <c r="D233" s="226">
        <v>2025</v>
      </c>
      <c r="E233" s="484">
        <f t="shared" si="20"/>
        <v>52004</v>
      </c>
      <c r="F233" s="484">
        <v>52004</v>
      </c>
      <c r="G233" s="484">
        <v>0</v>
      </c>
      <c r="H233" s="484">
        <v>0</v>
      </c>
      <c r="I233" s="484">
        <v>0</v>
      </c>
      <c r="J233" s="1228"/>
      <c r="K233" s="1231"/>
    </row>
    <row r="234" spans="1:12">
      <c r="A234" s="1226"/>
      <c r="B234" s="1226"/>
      <c r="C234" s="1226"/>
      <c r="D234" s="226">
        <v>2026</v>
      </c>
      <c r="E234" s="484">
        <f t="shared" si="20"/>
        <v>52004</v>
      </c>
      <c r="F234" s="484">
        <v>52004</v>
      </c>
      <c r="G234" s="484">
        <v>0</v>
      </c>
      <c r="H234" s="484">
        <v>0</v>
      </c>
      <c r="I234" s="484">
        <v>0</v>
      </c>
      <c r="J234" s="1229"/>
      <c r="K234" s="1232"/>
    </row>
    <row r="235" spans="1:12">
      <c r="A235" s="1224" t="s">
        <v>312</v>
      </c>
      <c r="B235" s="1224" t="s">
        <v>313</v>
      </c>
      <c r="C235" s="1224" t="s">
        <v>235</v>
      </c>
      <c r="D235" s="226" t="s">
        <v>3</v>
      </c>
      <c r="E235" s="484">
        <f t="shared" si="20"/>
        <v>136.72999999999999</v>
      </c>
      <c r="F235" s="484">
        <f>SUM(F236:F240)</f>
        <v>136.72999999999999</v>
      </c>
      <c r="G235" s="484">
        <f>SUM(G236:G240)</f>
        <v>0</v>
      </c>
      <c r="H235" s="484">
        <f>SUM(H236:H240)</f>
        <v>0</v>
      </c>
      <c r="I235" s="484">
        <f>SUM(I236:I240)</f>
        <v>0</v>
      </c>
      <c r="J235" s="1227" t="s">
        <v>314</v>
      </c>
      <c r="K235" s="1230" t="s">
        <v>65</v>
      </c>
    </row>
    <row r="236" spans="1:12">
      <c r="A236" s="1225"/>
      <c r="B236" s="1225"/>
      <c r="C236" s="1225"/>
      <c r="D236" s="226">
        <v>2021</v>
      </c>
      <c r="E236" s="484">
        <f t="shared" si="20"/>
        <v>27.77</v>
      </c>
      <c r="F236" s="484">
        <f>27770/1000</f>
        <v>27.77</v>
      </c>
      <c r="G236" s="484">
        <v>0</v>
      </c>
      <c r="H236" s="484">
        <v>0</v>
      </c>
      <c r="I236" s="484">
        <v>0</v>
      </c>
      <c r="J236" s="1228"/>
      <c r="K236" s="1231"/>
    </row>
    <row r="237" spans="1:12">
      <c r="A237" s="1225"/>
      <c r="B237" s="1225"/>
      <c r="C237" s="1225"/>
      <c r="D237" s="226">
        <v>2022</v>
      </c>
      <c r="E237" s="484">
        <f t="shared" si="20"/>
        <v>0</v>
      </c>
      <c r="F237" s="484">
        <v>0</v>
      </c>
      <c r="G237" s="484">
        <v>0</v>
      </c>
      <c r="H237" s="484">
        <v>0</v>
      </c>
      <c r="I237" s="484">
        <v>0</v>
      </c>
      <c r="J237" s="1228"/>
      <c r="K237" s="1231"/>
    </row>
    <row r="238" spans="1:12">
      <c r="A238" s="1225"/>
      <c r="B238" s="1225"/>
      <c r="C238" s="1225"/>
      <c r="D238" s="226">
        <v>2023</v>
      </c>
      <c r="E238" s="484">
        <f t="shared" si="20"/>
        <v>32.07</v>
      </c>
      <c r="F238" s="484">
        <v>32.07</v>
      </c>
      <c r="G238" s="484">
        <v>0</v>
      </c>
      <c r="H238" s="484">
        <v>0</v>
      </c>
      <c r="I238" s="484">
        <v>0</v>
      </c>
      <c r="J238" s="1228"/>
      <c r="K238" s="1231"/>
    </row>
    <row r="239" spans="1:12">
      <c r="A239" s="1225"/>
      <c r="B239" s="1225"/>
      <c r="C239" s="1225"/>
      <c r="D239" s="226">
        <v>2024</v>
      </c>
      <c r="E239" s="484">
        <f t="shared" si="20"/>
        <v>44.82</v>
      </c>
      <c r="F239" s="484">
        <v>44.82</v>
      </c>
      <c r="G239" s="484">
        <v>0</v>
      </c>
      <c r="H239" s="484">
        <v>0</v>
      </c>
      <c r="I239" s="484">
        <v>0</v>
      </c>
      <c r="J239" s="1228"/>
      <c r="K239" s="1231"/>
    </row>
    <row r="240" spans="1:12">
      <c r="A240" s="1225"/>
      <c r="B240" s="1225"/>
      <c r="C240" s="1225"/>
      <c r="D240" s="226">
        <v>2025</v>
      </c>
      <c r="E240" s="484">
        <f t="shared" si="20"/>
        <v>32.07</v>
      </c>
      <c r="F240" s="484">
        <v>32.07</v>
      </c>
      <c r="G240" s="484">
        <v>0</v>
      </c>
      <c r="H240" s="484">
        <v>0</v>
      </c>
      <c r="I240" s="484">
        <v>0</v>
      </c>
      <c r="J240" s="1228"/>
      <c r="K240" s="1231"/>
    </row>
    <row r="241" spans="1:11">
      <c r="A241" s="1226"/>
      <c r="B241" s="1226"/>
      <c r="C241" s="1226"/>
      <c r="D241" s="226">
        <v>2026</v>
      </c>
      <c r="E241" s="484">
        <f t="shared" si="20"/>
        <v>32.07</v>
      </c>
      <c r="F241" s="484">
        <v>32.07</v>
      </c>
      <c r="G241" s="484">
        <v>0</v>
      </c>
      <c r="H241" s="484">
        <v>0</v>
      </c>
      <c r="I241" s="484">
        <v>0</v>
      </c>
      <c r="J241" s="1229"/>
      <c r="K241" s="1232"/>
    </row>
    <row r="242" spans="1:11">
      <c r="A242" s="1224" t="s">
        <v>315</v>
      </c>
      <c r="B242" s="1224" t="s">
        <v>9</v>
      </c>
      <c r="C242" s="1224" t="s">
        <v>235</v>
      </c>
      <c r="D242" s="226" t="s">
        <v>3</v>
      </c>
      <c r="E242" s="484">
        <f t="shared" si="20"/>
        <v>5689477.916269999</v>
      </c>
      <c r="F242" s="484">
        <f>SUM(F243:F248)</f>
        <v>5689477.916269999</v>
      </c>
      <c r="G242" s="484">
        <f>SUM(G243:G247)</f>
        <v>0</v>
      </c>
      <c r="H242" s="484">
        <f>SUM(H243:H247)</f>
        <v>0</v>
      </c>
      <c r="I242" s="484">
        <f>SUM(I243:I247)</f>
        <v>0</v>
      </c>
      <c r="J242" s="1227" t="s">
        <v>316</v>
      </c>
      <c r="K242" s="1230" t="s">
        <v>317</v>
      </c>
    </row>
    <row r="243" spans="1:11">
      <c r="A243" s="1225"/>
      <c r="B243" s="1225"/>
      <c r="C243" s="1225"/>
      <c r="D243" s="226">
        <v>2021</v>
      </c>
      <c r="E243" s="484">
        <f t="shared" si="20"/>
        <v>766375.9</v>
      </c>
      <c r="F243" s="484">
        <v>766375.9</v>
      </c>
      <c r="G243" s="484">
        <v>0</v>
      </c>
      <c r="H243" s="484">
        <v>0</v>
      </c>
      <c r="I243" s="484">
        <v>0</v>
      </c>
      <c r="J243" s="1228"/>
      <c r="K243" s="1231"/>
    </row>
    <row r="244" spans="1:11">
      <c r="A244" s="1225"/>
      <c r="B244" s="1225"/>
      <c r="C244" s="1225"/>
      <c r="D244" s="226">
        <v>2022</v>
      </c>
      <c r="E244" s="484">
        <f t="shared" si="20"/>
        <v>914197.98699999996</v>
      </c>
      <c r="F244" s="484">
        <f>879682.2+21426+13089.787</f>
        <v>914197.98699999996</v>
      </c>
      <c r="G244" s="484">
        <v>0</v>
      </c>
      <c r="H244" s="484">
        <v>0</v>
      </c>
      <c r="I244" s="484">
        <v>0</v>
      </c>
      <c r="J244" s="1228"/>
      <c r="K244" s="1231"/>
    </row>
    <row r="245" spans="1:11">
      <c r="A245" s="1225"/>
      <c r="B245" s="1225"/>
      <c r="C245" s="1225"/>
      <c r="D245" s="226">
        <v>2023</v>
      </c>
      <c r="E245" s="484">
        <f t="shared" si="20"/>
        <v>905061.93929999997</v>
      </c>
      <c r="F245" s="484">
        <f>850537.551+27982.345+11890.5953+14651.448</f>
        <v>905061.93929999997</v>
      </c>
      <c r="G245" s="484">
        <v>0</v>
      </c>
      <c r="H245" s="484">
        <v>0</v>
      </c>
      <c r="I245" s="484">
        <v>0</v>
      </c>
      <c r="J245" s="1228"/>
      <c r="K245" s="1231"/>
    </row>
    <row r="246" spans="1:11">
      <c r="A246" s="1225"/>
      <c r="B246" s="1225"/>
      <c r="C246" s="1225"/>
      <c r="D246" s="226">
        <v>2024</v>
      </c>
      <c r="E246" s="484">
        <f t="shared" si="20"/>
        <v>1148547.0990199998</v>
      </c>
      <c r="F246" s="484">
        <f>1165558.72602-17011.627</f>
        <v>1148547.0990199998</v>
      </c>
      <c r="G246" s="484">
        <v>0</v>
      </c>
      <c r="H246" s="484">
        <v>0</v>
      </c>
      <c r="I246" s="484">
        <v>0</v>
      </c>
      <c r="J246" s="1228"/>
      <c r="K246" s="1231"/>
    </row>
    <row r="247" spans="1:11">
      <c r="A247" s="1225"/>
      <c r="B247" s="1225"/>
      <c r="C247" s="1225"/>
      <c r="D247" s="226">
        <v>2025</v>
      </c>
      <c r="E247" s="484">
        <f t="shared" si="20"/>
        <v>1000021.12128</v>
      </c>
      <c r="F247" s="484">
        <v>1000021.12128</v>
      </c>
      <c r="G247" s="484">
        <v>0</v>
      </c>
      <c r="H247" s="484">
        <v>0</v>
      </c>
      <c r="I247" s="484">
        <v>0</v>
      </c>
      <c r="J247" s="1228"/>
      <c r="K247" s="1231"/>
    </row>
    <row r="248" spans="1:11">
      <c r="A248" s="1226"/>
      <c r="B248" s="1226"/>
      <c r="C248" s="1226"/>
      <c r="D248" s="226">
        <v>2026</v>
      </c>
      <c r="E248" s="484">
        <f t="shared" si="20"/>
        <v>955273.86967000004</v>
      </c>
      <c r="F248" s="484">
        <v>955273.86967000004</v>
      </c>
      <c r="G248" s="484">
        <v>0</v>
      </c>
      <c r="H248" s="484">
        <v>0</v>
      </c>
      <c r="I248" s="484">
        <v>0</v>
      </c>
      <c r="J248" s="1229"/>
      <c r="K248" s="1232"/>
    </row>
    <row r="249" spans="1:11">
      <c r="A249" s="1224" t="s">
        <v>318</v>
      </c>
      <c r="B249" s="1224" t="s">
        <v>319</v>
      </c>
      <c r="C249" s="1224" t="s">
        <v>235</v>
      </c>
      <c r="D249" s="226" t="s">
        <v>3</v>
      </c>
      <c r="E249" s="484">
        <f t="shared" si="20"/>
        <v>30501.388100000004</v>
      </c>
      <c r="F249" s="484">
        <f>SUM(F250:F255)</f>
        <v>30501.388100000004</v>
      </c>
      <c r="G249" s="484">
        <f>SUM(G250:G254)</f>
        <v>0</v>
      </c>
      <c r="H249" s="484">
        <f>SUM(H250:H254)</f>
        <v>0</v>
      </c>
      <c r="I249" s="484">
        <f>SUM(I250:I254)</f>
        <v>0</v>
      </c>
      <c r="J249" s="1227" t="s">
        <v>320</v>
      </c>
      <c r="K249" s="1230" t="s">
        <v>317</v>
      </c>
    </row>
    <row r="250" spans="1:11">
      <c r="A250" s="1225"/>
      <c r="B250" s="1225"/>
      <c r="C250" s="1225"/>
      <c r="D250" s="226">
        <v>2021</v>
      </c>
      <c r="E250" s="484">
        <f t="shared" si="20"/>
        <v>3811.2820000000002</v>
      </c>
      <c r="F250" s="484">
        <v>3811.2820000000002</v>
      </c>
      <c r="G250" s="484">
        <v>0</v>
      </c>
      <c r="H250" s="484">
        <v>0</v>
      </c>
      <c r="I250" s="484">
        <v>0</v>
      </c>
      <c r="J250" s="1228"/>
      <c r="K250" s="1231"/>
    </row>
    <row r="251" spans="1:11">
      <c r="A251" s="1225"/>
      <c r="B251" s="1225"/>
      <c r="C251" s="1225"/>
      <c r="D251" s="226">
        <v>2022</v>
      </c>
      <c r="E251" s="484">
        <f t="shared" si="20"/>
        <v>3588.2230000000004</v>
      </c>
      <c r="F251" s="484">
        <f>3561.3+109.88-82.957</f>
        <v>3588.2230000000004</v>
      </c>
      <c r="G251" s="484">
        <v>0</v>
      </c>
      <c r="H251" s="484">
        <v>0</v>
      </c>
      <c r="I251" s="484">
        <v>0</v>
      </c>
      <c r="J251" s="1228"/>
      <c r="K251" s="1231"/>
    </row>
    <row r="252" spans="1:11">
      <c r="A252" s="1225"/>
      <c r="B252" s="1225"/>
      <c r="C252" s="1225"/>
      <c r="D252" s="226">
        <v>2023</v>
      </c>
      <c r="E252" s="484">
        <f t="shared" si="20"/>
        <v>6067.2359999999999</v>
      </c>
      <c r="F252" s="484">
        <f>3561.3+2000+118.878+82.077+300+4.981</f>
        <v>6067.2359999999999</v>
      </c>
      <c r="G252" s="484">
        <v>0</v>
      </c>
      <c r="H252" s="484">
        <v>0</v>
      </c>
      <c r="I252" s="484">
        <v>0</v>
      </c>
      <c r="J252" s="1228"/>
      <c r="K252" s="1231"/>
    </row>
    <row r="253" spans="1:11">
      <c r="A253" s="1225"/>
      <c r="B253" s="1225"/>
      <c r="C253" s="1225"/>
      <c r="D253" s="226">
        <v>2024</v>
      </c>
      <c r="E253" s="484">
        <f t="shared" si="20"/>
        <v>6246.6471000000001</v>
      </c>
      <c r="F253" s="485">
        <f>5394+304.338+5.562+0.828+541.9191</f>
        <v>6246.6471000000001</v>
      </c>
      <c r="G253" s="484">
        <v>0</v>
      </c>
      <c r="H253" s="484">
        <v>0</v>
      </c>
      <c r="I253" s="484">
        <v>0</v>
      </c>
      <c r="J253" s="1228"/>
      <c r="K253" s="1231"/>
    </row>
    <row r="254" spans="1:11">
      <c r="A254" s="1225"/>
      <c r="B254" s="1225"/>
      <c r="C254" s="1225"/>
      <c r="D254" s="226">
        <v>2025</v>
      </c>
      <c r="E254" s="484">
        <f t="shared" si="20"/>
        <v>5394</v>
      </c>
      <c r="F254" s="484">
        <v>5394</v>
      </c>
      <c r="G254" s="484">
        <v>0</v>
      </c>
      <c r="H254" s="484">
        <v>0</v>
      </c>
      <c r="I254" s="484">
        <v>0</v>
      </c>
      <c r="J254" s="1228"/>
      <c r="K254" s="1231"/>
    </row>
    <row r="255" spans="1:11">
      <c r="A255" s="1226"/>
      <c r="B255" s="1226"/>
      <c r="C255" s="1226"/>
      <c r="D255" s="226">
        <v>2026</v>
      </c>
      <c r="E255" s="484">
        <f t="shared" si="20"/>
        <v>5394</v>
      </c>
      <c r="F255" s="484">
        <v>5394</v>
      </c>
      <c r="G255" s="484">
        <v>0</v>
      </c>
      <c r="H255" s="484">
        <v>0</v>
      </c>
      <c r="I255" s="484">
        <v>0</v>
      </c>
      <c r="J255" s="1229"/>
      <c r="K255" s="1232"/>
    </row>
    <row r="256" spans="1:11">
      <c r="A256" s="1219" t="s">
        <v>321</v>
      </c>
      <c r="B256" s="1220" t="s">
        <v>322</v>
      </c>
      <c r="C256" s="1224" t="s">
        <v>235</v>
      </c>
      <c r="D256" s="226" t="s">
        <v>3</v>
      </c>
      <c r="E256" s="484">
        <f t="shared" si="20"/>
        <v>26988.080000000002</v>
      </c>
      <c r="F256" s="484">
        <f>SUM(F257:F262)</f>
        <v>26988.080000000002</v>
      </c>
      <c r="G256" s="484">
        <f>SUM(G257:G262)</f>
        <v>0</v>
      </c>
      <c r="H256" s="484">
        <f>SUM(H257:H262)</f>
        <v>0</v>
      </c>
      <c r="I256" s="484">
        <f>SUM(I257:I262)</f>
        <v>0</v>
      </c>
      <c r="J256" s="1222" t="s">
        <v>323</v>
      </c>
      <c r="K256" s="1223" t="s">
        <v>324</v>
      </c>
    </row>
    <row r="257" spans="1:11">
      <c r="A257" s="1219"/>
      <c r="B257" s="1220"/>
      <c r="C257" s="1225"/>
      <c r="D257" s="226">
        <v>2021</v>
      </c>
      <c r="E257" s="484">
        <f t="shared" si="20"/>
        <v>26988.080000000002</v>
      </c>
      <c r="F257" s="484">
        <v>26988.080000000002</v>
      </c>
      <c r="G257" s="484">
        <v>0</v>
      </c>
      <c r="H257" s="484">
        <v>0</v>
      </c>
      <c r="I257" s="484">
        <v>0</v>
      </c>
      <c r="J257" s="1222"/>
      <c r="K257" s="1223"/>
    </row>
    <row r="258" spans="1:11">
      <c r="A258" s="1219"/>
      <c r="B258" s="1220"/>
      <c r="C258" s="1225"/>
      <c r="D258" s="226">
        <v>2022</v>
      </c>
      <c r="E258" s="484">
        <f t="shared" si="20"/>
        <v>0</v>
      </c>
      <c r="F258" s="484">
        <v>0</v>
      </c>
      <c r="G258" s="484">
        <v>0</v>
      </c>
      <c r="H258" s="484">
        <v>0</v>
      </c>
      <c r="I258" s="484">
        <v>0</v>
      </c>
      <c r="J258" s="1222"/>
      <c r="K258" s="1223"/>
    </row>
    <row r="259" spans="1:11">
      <c r="A259" s="1219"/>
      <c r="B259" s="1220"/>
      <c r="C259" s="1225"/>
      <c r="D259" s="226">
        <v>2023</v>
      </c>
      <c r="E259" s="484">
        <f t="shared" si="20"/>
        <v>0</v>
      </c>
      <c r="F259" s="484">
        <v>0</v>
      </c>
      <c r="G259" s="484">
        <v>0</v>
      </c>
      <c r="H259" s="484">
        <v>0</v>
      </c>
      <c r="I259" s="484">
        <v>0</v>
      </c>
      <c r="J259" s="1222"/>
      <c r="K259" s="1223"/>
    </row>
    <row r="260" spans="1:11">
      <c r="A260" s="1219"/>
      <c r="B260" s="1220"/>
      <c r="C260" s="1225"/>
      <c r="D260" s="226">
        <v>2024</v>
      </c>
      <c r="E260" s="484">
        <f t="shared" si="20"/>
        <v>0</v>
      </c>
      <c r="F260" s="484">
        <v>0</v>
      </c>
      <c r="G260" s="484">
        <v>0</v>
      </c>
      <c r="H260" s="484">
        <v>0</v>
      </c>
      <c r="I260" s="484">
        <v>0</v>
      </c>
      <c r="J260" s="1222"/>
      <c r="K260" s="1223"/>
    </row>
    <row r="261" spans="1:11">
      <c r="A261" s="1219"/>
      <c r="B261" s="1220"/>
      <c r="C261" s="1225"/>
      <c r="D261" s="226">
        <v>2025</v>
      </c>
      <c r="E261" s="484">
        <v>0</v>
      </c>
      <c r="F261" s="484">
        <v>0</v>
      </c>
      <c r="G261" s="484">
        <v>0</v>
      </c>
      <c r="H261" s="484">
        <v>0</v>
      </c>
      <c r="I261" s="484">
        <v>0</v>
      </c>
      <c r="J261" s="1222"/>
      <c r="K261" s="1223"/>
    </row>
    <row r="262" spans="1:11">
      <c r="A262" s="1219"/>
      <c r="B262" s="1220"/>
      <c r="C262" s="1226"/>
      <c r="D262" s="226">
        <v>2026</v>
      </c>
      <c r="E262" s="484">
        <f t="shared" si="20"/>
        <v>0</v>
      </c>
      <c r="F262" s="484">
        <v>0</v>
      </c>
      <c r="G262" s="484">
        <v>0</v>
      </c>
      <c r="H262" s="484">
        <v>0</v>
      </c>
      <c r="I262" s="484">
        <v>0</v>
      </c>
      <c r="J262" s="1222"/>
      <c r="K262" s="1223"/>
    </row>
    <row r="263" spans="1:11">
      <c r="A263" s="1219" t="s">
        <v>325</v>
      </c>
      <c r="B263" s="1220" t="s">
        <v>326</v>
      </c>
      <c r="C263" s="1219" t="s">
        <v>235</v>
      </c>
      <c r="D263" s="226" t="s">
        <v>3</v>
      </c>
      <c r="E263" s="484">
        <f t="shared" si="20"/>
        <v>0</v>
      </c>
      <c r="F263" s="484">
        <f>SUM(F264:F269)</f>
        <v>0</v>
      </c>
      <c r="G263" s="484">
        <f>SUM(G264:G269)</f>
        <v>0</v>
      </c>
      <c r="H263" s="484">
        <f>SUM(H264:H269)</f>
        <v>0</v>
      </c>
      <c r="I263" s="484">
        <f>SUM(I264:I269)</f>
        <v>0</v>
      </c>
      <c r="J263" s="1222" t="s">
        <v>327</v>
      </c>
      <c r="K263" s="1223" t="s">
        <v>328</v>
      </c>
    </row>
    <row r="264" spans="1:11">
      <c r="A264" s="1219"/>
      <c r="B264" s="1220"/>
      <c r="C264" s="1219"/>
      <c r="D264" s="226">
        <v>2021</v>
      </c>
      <c r="E264" s="484">
        <f t="shared" si="20"/>
        <v>0</v>
      </c>
      <c r="F264" s="484">
        <v>0</v>
      </c>
      <c r="G264" s="484">
        <v>0</v>
      </c>
      <c r="H264" s="484">
        <v>0</v>
      </c>
      <c r="I264" s="484">
        <v>0</v>
      </c>
      <c r="J264" s="1222"/>
      <c r="K264" s="1223"/>
    </row>
    <row r="265" spans="1:11">
      <c r="A265" s="1219"/>
      <c r="B265" s="1220"/>
      <c r="C265" s="1219"/>
      <c r="D265" s="226">
        <v>2022</v>
      </c>
      <c r="E265" s="484">
        <f t="shared" si="20"/>
        <v>0</v>
      </c>
      <c r="F265" s="484">
        <v>0</v>
      </c>
      <c r="G265" s="484">
        <v>0</v>
      </c>
      <c r="H265" s="484">
        <v>0</v>
      </c>
      <c r="I265" s="484">
        <v>0</v>
      </c>
      <c r="J265" s="1222"/>
      <c r="K265" s="1223"/>
    </row>
    <row r="266" spans="1:11">
      <c r="A266" s="1219"/>
      <c r="B266" s="1220"/>
      <c r="C266" s="1219"/>
      <c r="D266" s="226">
        <v>2023</v>
      </c>
      <c r="E266" s="484">
        <f t="shared" si="20"/>
        <v>0</v>
      </c>
      <c r="F266" s="484">
        <v>0</v>
      </c>
      <c r="G266" s="484">
        <v>0</v>
      </c>
      <c r="H266" s="484">
        <v>0</v>
      </c>
      <c r="I266" s="484">
        <v>0</v>
      </c>
      <c r="J266" s="1222"/>
      <c r="K266" s="1223"/>
    </row>
    <row r="267" spans="1:11">
      <c r="A267" s="1219"/>
      <c r="B267" s="1220"/>
      <c r="C267" s="1219"/>
      <c r="D267" s="226">
        <v>2024</v>
      </c>
      <c r="E267" s="484">
        <f t="shared" si="20"/>
        <v>0</v>
      </c>
      <c r="F267" s="484">
        <v>0</v>
      </c>
      <c r="G267" s="484">
        <v>0</v>
      </c>
      <c r="H267" s="484">
        <v>0</v>
      </c>
      <c r="I267" s="484">
        <v>0</v>
      </c>
      <c r="J267" s="1222"/>
      <c r="K267" s="1223"/>
    </row>
    <row r="268" spans="1:11">
      <c r="A268" s="1219"/>
      <c r="B268" s="1220"/>
      <c r="C268" s="1219"/>
      <c r="D268" s="226">
        <v>2025</v>
      </c>
      <c r="E268" s="484">
        <v>0</v>
      </c>
      <c r="F268" s="484">
        <v>0</v>
      </c>
      <c r="G268" s="484">
        <v>0</v>
      </c>
      <c r="H268" s="484">
        <v>0</v>
      </c>
      <c r="I268" s="484">
        <v>0</v>
      </c>
      <c r="J268" s="1222"/>
      <c r="K268" s="1223"/>
    </row>
    <row r="269" spans="1:11">
      <c r="A269" s="1219"/>
      <c r="B269" s="1220"/>
      <c r="C269" s="1219"/>
      <c r="D269" s="226">
        <v>2026</v>
      </c>
      <c r="E269" s="484">
        <f t="shared" si="20"/>
        <v>0</v>
      </c>
      <c r="F269" s="484">
        <v>0</v>
      </c>
      <c r="G269" s="484">
        <v>0</v>
      </c>
      <c r="H269" s="484">
        <v>0</v>
      </c>
      <c r="I269" s="484">
        <v>0</v>
      </c>
      <c r="J269" s="1222"/>
      <c r="K269" s="1223"/>
    </row>
    <row r="270" spans="1:11">
      <c r="A270" s="1219" t="s">
        <v>329</v>
      </c>
      <c r="B270" s="1220" t="s">
        <v>330</v>
      </c>
      <c r="C270" s="1219" t="s">
        <v>235</v>
      </c>
      <c r="D270" s="226" t="s">
        <v>3</v>
      </c>
      <c r="E270" s="484">
        <f t="shared" si="20"/>
        <v>486.86399999999992</v>
      </c>
      <c r="F270" s="484">
        <f>SUM(F271:F276)</f>
        <v>486.86399999999992</v>
      </c>
      <c r="G270" s="484">
        <f>SUM(G271:G276)</f>
        <v>0</v>
      </c>
      <c r="H270" s="484">
        <f>SUM(H271:H276)</f>
        <v>0</v>
      </c>
      <c r="I270" s="484">
        <f>SUM(I271:I276)</f>
        <v>0</v>
      </c>
      <c r="J270" s="1222" t="s">
        <v>331</v>
      </c>
      <c r="K270" s="1223" t="s">
        <v>332</v>
      </c>
    </row>
    <row r="271" spans="1:11">
      <c r="A271" s="1219"/>
      <c r="B271" s="1220"/>
      <c r="C271" s="1219"/>
      <c r="D271" s="226">
        <v>2021</v>
      </c>
      <c r="E271" s="484">
        <f t="shared" si="20"/>
        <v>150.887</v>
      </c>
      <c r="F271" s="484">
        <v>150.887</v>
      </c>
      <c r="G271" s="484">
        <v>0</v>
      </c>
      <c r="H271" s="484">
        <v>0</v>
      </c>
      <c r="I271" s="484">
        <v>0</v>
      </c>
      <c r="J271" s="1222"/>
      <c r="K271" s="1223"/>
    </row>
    <row r="272" spans="1:11">
      <c r="A272" s="1219"/>
      <c r="B272" s="1220"/>
      <c r="C272" s="1219"/>
      <c r="D272" s="226">
        <v>2022</v>
      </c>
      <c r="E272" s="484">
        <f t="shared" si="20"/>
        <v>82.956999999999994</v>
      </c>
      <c r="F272" s="484">
        <v>82.956999999999994</v>
      </c>
      <c r="G272" s="484">
        <v>0</v>
      </c>
      <c r="H272" s="484">
        <v>0</v>
      </c>
      <c r="I272" s="484">
        <v>0</v>
      </c>
      <c r="J272" s="1222"/>
      <c r="K272" s="1223"/>
    </row>
    <row r="273" spans="1:13">
      <c r="A273" s="1219"/>
      <c r="B273" s="1220"/>
      <c r="C273" s="1219"/>
      <c r="D273" s="226">
        <v>2023</v>
      </c>
      <c r="E273" s="484">
        <f t="shared" si="20"/>
        <v>134.43199999999999</v>
      </c>
      <c r="F273" s="484">
        <v>134.43199999999999</v>
      </c>
      <c r="G273" s="484">
        <v>0</v>
      </c>
      <c r="H273" s="484">
        <v>0</v>
      </c>
      <c r="I273" s="484">
        <v>0</v>
      </c>
      <c r="J273" s="1222"/>
      <c r="K273" s="1223"/>
      <c r="M273" s="223" t="s">
        <v>333</v>
      </c>
    </row>
    <row r="274" spans="1:13">
      <c r="A274" s="1219"/>
      <c r="B274" s="1220"/>
      <c r="C274" s="1219"/>
      <c r="D274" s="226">
        <v>2024</v>
      </c>
      <c r="E274" s="484">
        <f t="shared" si="20"/>
        <v>118.58799999999999</v>
      </c>
      <c r="F274" s="484">
        <v>118.58799999999999</v>
      </c>
      <c r="G274" s="484">
        <v>0</v>
      </c>
      <c r="H274" s="484">
        <v>0</v>
      </c>
      <c r="I274" s="484">
        <v>0</v>
      </c>
      <c r="J274" s="1222"/>
      <c r="K274" s="1223"/>
    </row>
    <row r="275" spans="1:13">
      <c r="A275" s="1219"/>
      <c r="B275" s="1220"/>
      <c r="C275" s="1219"/>
      <c r="D275" s="226">
        <v>2025</v>
      </c>
      <c r="E275" s="484">
        <v>0</v>
      </c>
      <c r="F275" s="484">
        <v>0</v>
      </c>
      <c r="G275" s="484">
        <v>0</v>
      </c>
      <c r="H275" s="484">
        <v>0</v>
      </c>
      <c r="I275" s="484">
        <v>0</v>
      </c>
      <c r="J275" s="1222"/>
      <c r="K275" s="1223"/>
    </row>
    <row r="276" spans="1:13">
      <c r="A276" s="1219"/>
      <c r="B276" s="1220"/>
      <c r="C276" s="1219"/>
      <c r="D276" s="226">
        <v>2026</v>
      </c>
      <c r="E276" s="484">
        <f t="shared" si="20"/>
        <v>0</v>
      </c>
      <c r="F276" s="484">
        <v>0</v>
      </c>
      <c r="G276" s="484">
        <v>0</v>
      </c>
      <c r="H276" s="484">
        <v>0</v>
      </c>
      <c r="I276" s="484">
        <v>0</v>
      </c>
      <c r="J276" s="1222"/>
      <c r="K276" s="1223"/>
    </row>
    <row r="277" spans="1:13">
      <c r="A277" s="1219" t="s">
        <v>334</v>
      </c>
      <c r="B277" s="1220" t="s">
        <v>335</v>
      </c>
      <c r="C277" s="1219" t="s">
        <v>235</v>
      </c>
      <c r="D277" s="226" t="s">
        <v>3</v>
      </c>
      <c r="E277" s="484">
        <f t="shared" si="20"/>
        <v>595</v>
      </c>
      <c r="F277" s="484">
        <f>SUM(F278:F283)</f>
        <v>595</v>
      </c>
      <c r="G277" s="484">
        <f>SUM(G278:G283)</f>
        <v>0</v>
      </c>
      <c r="H277" s="484">
        <f>SUM(H278:H283)</f>
        <v>0</v>
      </c>
      <c r="I277" s="484">
        <f>SUM(I278:I283)</f>
        <v>0</v>
      </c>
      <c r="J277" s="1222" t="s">
        <v>336</v>
      </c>
      <c r="K277" s="1223" t="s">
        <v>328</v>
      </c>
    </row>
    <row r="278" spans="1:13">
      <c r="A278" s="1219"/>
      <c r="B278" s="1220"/>
      <c r="C278" s="1219"/>
      <c r="D278" s="226">
        <v>2021</v>
      </c>
      <c r="E278" s="484">
        <f t="shared" si="20"/>
        <v>595</v>
      </c>
      <c r="F278" s="484">
        <v>595</v>
      </c>
      <c r="G278" s="484">
        <v>0</v>
      </c>
      <c r="H278" s="484">
        <v>0</v>
      </c>
      <c r="I278" s="484">
        <v>0</v>
      </c>
      <c r="J278" s="1222"/>
      <c r="K278" s="1223"/>
    </row>
    <row r="279" spans="1:13">
      <c r="A279" s="1219"/>
      <c r="B279" s="1220"/>
      <c r="C279" s="1219"/>
      <c r="D279" s="226">
        <v>2022</v>
      </c>
      <c r="E279" s="484">
        <f t="shared" si="20"/>
        <v>0</v>
      </c>
      <c r="F279" s="484">
        <v>0</v>
      </c>
      <c r="G279" s="484">
        <v>0</v>
      </c>
      <c r="H279" s="484">
        <v>0</v>
      </c>
      <c r="I279" s="484">
        <v>0</v>
      </c>
      <c r="J279" s="1222"/>
      <c r="K279" s="1223"/>
    </row>
    <row r="280" spans="1:13">
      <c r="A280" s="1219"/>
      <c r="B280" s="1220"/>
      <c r="C280" s="1219"/>
      <c r="D280" s="226">
        <v>2023</v>
      </c>
      <c r="E280" s="484">
        <f t="shared" si="20"/>
        <v>0</v>
      </c>
      <c r="F280" s="484">
        <v>0</v>
      </c>
      <c r="G280" s="484">
        <v>0</v>
      </c>
      <c r="H280" s="484">
        <v>0</v>
      </c>
      <c r="I280" s="484">
        <v>0</v>
      </c>
      <c r="J280" s="1222"/>
      <c r="K280" s="1223"/>
    </row>
    <row r="281" spans="1:13">
      <c r="A281" s="1219"/>
      <c r="B281" s="1220"/>
      <c r="C281" s="1219"/>
      <c r="D281" s="226">
        <v>2024</v>
      </c>
      <c r="E281" s="484">
        <f t="shared" si="20"/>
        <v>0</v>
      </c>
      <c r="F281" s="484">
        <v>0</v>
      </c>
      <c r="G281" s="484">
        <v>0</v>
      </c>
      <c r="H281" s="484">
        <v>0</v>
      </c>
      <c r="I281" s="484">
        <v>0</v>
      </c>
      <c r="J281" s="1222"/>
      <c r="K281" s="1223"/>
    </row>
    <row r="282" spans="1:13">
      <c r="A282" s="1219"/>
      <c r="B282" s="1220"/>
      <c r="C282" s="1219"/>
      <c r="D282" s="226">
        <v>2025</v>
      </c>
      <c r="E282" s="484">
        <v>0</v>
      </c>
      <c r="F282" s="484">
        <v>0</v>
      </c>
      <c r="G282" s="484">
        <v>0</v>
      </c>
      <c r="H282" s="484">
        <v>0</v>
      </c>
      <c r="I282" s="484">
        <v>0</v>
      </c>
      <c r="J282" s="1222"/>
      <c r="K282" s="1223"/>
    </row>
    <row r="283" spans="1:13">
      <c r="A283" s="1219"/>
      <c r="B283" s="1220"/>
      <c r="C283" s="1219"/>
      <c r="D283" s="226">
        <v>2026</v>
      </c>
      <c r="E283" s="484">
        <f t="shared" si="20"/>
        <v>0</v>
      </c>
      <c r="F283" s="484">
        <v>0</v>
      </c>
      <c r="G283" s="484">
        <v>0</v>
      </c>
      <c r="H283" s="484">
        <v>0</v>
      </c>
      <c r="I283" s="484">
        <v>0</v>
      </c>
      <c r="J283" s="1222"/>
      <c r="K283" s="1223"/>
    </row>
    <row r="284" spans="1:13">
      <c r="A284" s="1219" t="s">
        <v>337</v>
      </c>
      <c r="B284" s="1220" t="s">
        <v>338</v>
      </c>
      <c r="C284" s="1219" t="s">
        <v>235</v>
      </c>
      <c r="D284" s="226" t="s">
        <v>3</v>
      </c>
      <c r="E284" s="484">
        <f t="shared" si="20"/>
        <v>8626</v>
      </c>
      <c r="F284" s="484">
        <f>SUM(F285:F290)</f>
        <v>8626</v>
      </c>
      <c r="G284" s="484">
        <f>SUM(G285:G290)</f>
        <v>0</v>
      </c>
      <c r="H284" s="484">
        <f>SUM(H285:H290)</f>
        <v>0</v>
      </c>
      <c r="I284" s="484">
        <f>SUM(I285:I290)</f>
        <v>0</v>
      </c>
      <c r="J284" s="1222" t="s">
        <v>339</v>
      </c>
      <c r="K284" s="1223" t="s">
        <v>142</v>
      </c>
    </row>
    <row r="285" spans="1:13">
      <c r="A285" s="1219"/>
      <c r="B285" s="1220"/>
      <c r="C285" s="1219"/>
      <c r="D285" s="226">
        <v>2021</v>
      </c>
      <c r="E285" s="484">
        <f t="shared" si="20"/>
        <v>8626</v>
      </c>
      <c r="F285" s="484">
        <v>8626</v>
      </c>
      <c r="G285" s="484">
        <v>0</v>
      </c>
      <c r="H285" s="484">
        <v>0</v>
      </c>
      <c r="I285" s="484">
        <v>0</v>
      </c>
      <c r="J285" s="1222"/>
      <c r="K285" s="1223"/>
    </row>
    <row r="286" spans="1:13">
      <c r="A286" s="1219"/>
      <c r="B286" s="1220"/>
      <c r="C286" s="1219"/>
      <c r="D286" s="226">
        <v>2022</v>
      </c>
      <c r="E286" s="484">
        <f t="shared" si="20"/>
        <v>0</v>
      </c>
      <c r="F286" s="484">
        <v>0</v>
      </c>
      <c r="G286" s="484">
        <v>0</v>
      </c>
      <c r="H286" s="484">
        <v>0</v>
      </c>
      <c r="I286" s="484">
        <v>0</v>
      </c>
      <c r="J286" s="1222"/>
      <c r="K286" s="1223"/>
    </row>
    <row r="287" spans="1:13">
      <c r="A287" s="1219"/>
      <c r="B287" s="1220"/>
      <c r="C287" s="1219"/>
      <c r="D287" s="226">
        <v>2023</v>
      </c>
      <c r="E287" s="484">
        <f t="shared" si="20"/>
        <v>0</v>
      </c>
      <c r="F287" s="484">
        <v>0</v>
      </c>
      <c r="G287" s="484">
        <v>0</v>
      </c>
      <c r="H287" s="484">
        <v>0</v>
      </c>
      <c r="I287" s="484">
        <v>0</v>
      </c>
      <c r="J287" s="1222"/>
      <c r="K287" s="1223"/>
    </row>
    <row r="288" spans="1:13">
      <c r="A288" s="1219"/>
      <c r="B288" s="1220"/>
      <c r="C288" s="1219"/>
      <c r="D288" s="226">
        <v>2024</v>
      </c>
      <c r="E288" s="484">
        <f t="shared" si="20"/>
        <v>0</v>
      </c>
      <c r="F288" s="484">
        <v>0</v>
      </c>
      <c r="G288" s="484">
        <v>0</v>
      </c>
      <c r="H288" s="484">
        <v>0</v>
      </c>
      <c r="I288" s="484">
        <v>0</v>
      </c>
      <c r="J288" s="1222"/>
      <c r="K288" s="1223"/>
    </row>
    <row r="289" spans="1:14">
      <c r="A289" s="1219"/>
      <c r="B289" s="1220"/>
      <c r="C289" s="1219"/>
      <c r="D289" s="226">
        <v>2025</v>
      </c>
      <c r="E289" s="484">
        <v>0</v>
      </c>
      <c r="F289" s="484">
        <v>0</v>
      </c>
      <c r="G289" s="484">
        <v>0</v>
      </c>
      <c r="H289" s="484">
        <v>0</v>
      </c>
      <c r="I289" s="484">
        <v>0</v>
      </c>
      <c r="J289" s="1222"/>
      <c r="K289" s="1223"/>
    </row>
    <row r="290" spans="1:14">
      <c r="A290" s="1219"/>
      <c r="B290" s="1220"/>
      <c r="C290" s="1219"/>
      <c r="D290" s="226">
        <v>2026</v>
      </c>
      <c r="E290" s="484">
        <f t="shared" si="20"/>
        <v>0</v>
      </c>
      <c r="F290" s="484">
        <v>0</v>
      </c>
      <c r="G290" s="484">
        <v>0</v>
      </c>
      <c r="H290" s="484">
        <v>0</v>
      </c>
      <c r="I290" s="484">
        <v>0</v>
      </c>
      <c r="J290" s="1222"/>
      <c r="K290" s="1223"/>
    </row>
    <row r="291" spans="1:14">
      <c r="A291" s="1219" t="s">
        <v>115</v>
      </c>
      <c r="B291" s="1220" t="s">
        <v>155</v>
      </c>
      <c r="C291" s="1219" t="s">
        <v>235</v>
      </c>
      <c r="D291" s="226" t="s">
        <v>3</v>
      </c>
      <c r="E291" s="484">
        <f t="shared" si="20"/>
        <v>42482.070500000002</v>
      </c>
      <c r="F291" s="484">
        <f>SUM(F292:F297)</f>
        <v>42482.070500000002</v>
      </c>
      <c r="G291" s="484">
        <f>SUM(G292:G297)</f>
        <v>0</v>
      </c>
      <c r="H291" s="484">
        <f>SUM(H292:H297)</f>
        <v>0</v>
      </c>
      <c r="I291" s="484">
        <f>SUM(I292:I297)</f>
        <v>0</v>
      </c>
      <c r="J291" s="1222" t="s">
        <v>340</v>
      </c>
      <c r="K291" s="1223" t="s">
        <v>341</v>
      </c>
    </row>
    <row r="292" spans="1:14">
      <c r="A292" s="1219"/>
      <c r="B292" s="1220"/>
      <c r="C292" s="1219"/>
      <c r="D292" s="226">
        <v>2021</v>
      </c>
      <c r="E292" s="484">
        <f t="shared" si="20"/>
        <v>0</v>
      </c>
      <c r="F292" s="484">
        <v>0</v>
      </c>
      <c r="G292" s="484">
        <v>0</v>
      </c>
      <c r="H292" s="484">
        <v>0</v>
      </c>
      <c r="I292" s="484">
        <v>0</v>
      </c>
      <c r="J292" s="1222"/>
      <c r="K292" s="1223"/>
    </row>
    <row r="293" spans="1:14">
      <c r="A293" s="1219"/>
      <c r="B293" s="1220"/>
      <c r="C293" s="1219"/>
      <c r="D293" s="226">
        <v>2022</v>
      </c>
      <c r="E293" s="484">
        <f t="shared" si="20"/>
        <v>35337.442999999999</v>
      </c>
      <c r="F293" s="484">
        <f>22000+1017.443+12000+13089.787+320-13089.787</f>
        <v>35337.442999999999</v>
      </c>
      <c r="G293" s="484">
        <v>0</v>
      </c>
      <c r="H293" s="484">
        <v>0</v>
      </c>
      <c r="I293" s="484">
        <v>0</v>
      </c>
      <c r="J293" s="1222"/>
      <c r="K293" s="1223"/>
    </row>
    <row r="294" spans="1:14">
      <c r="A294" s="1219"/>
      <c r="B294" s="1220"/>
      <c r="C294" s="1219"/>
      <c r="D294" s="226">
        <v>2023</v>
      </c>
      <c r="E294" s="484">
        <f t="shared" ref="E294:E357" si="21">SUM(F294:I294)</f>
        <v>0</v>
      </c>
      <c r="F294" s="484">
        <v>0</v>
      </c>
      <c r="G294" s="484">
        <v>0</v>
      </c>
      <c r="H294" s="484">
        <v>0</v>
      </c>
      <c r="I294" s="484">
        <v>0</v>
      </c>
      <c r="J294" s="1222"/>
      <c r="K294" s="1223"/>
      <c r="M294" s="223" t="s">
        <v>691</v>
      </c>
    </row>
    <row r="295" spans="1:14">
      <c r="A295" s="1219"/>
      <c r="B295" s="1220"/>
      <c r="C295" s="1219"/>
      <c r="D295" s="226">
        <v>2024</v>
      </c>
      <c r="E295" s="484">
        <f t="shared" si="21"/>
        <v>7144.6274999999996</v>
      </c>
      <c r="F295" s="484">
        <f>5512.387+1632.2405</f>
        <v>7144.6274999999996</v>
      </c>
      <c r="G295" s="484">
        <v>0</v>
      </c>
      <c r="H295" s="484">
        <v>0</v>
      </c>
      <c r="I295" s="484">
        <v>0</v>
      </c>
      <c r="J295" s="1222"/>
      <c r="K295" s="1223"/>
    </row>
    <row r="296" spans="1:14">
      <c r="A296" s="1219"/>
      <c r="B296" s="1220"/>
      <c r="C296" s="1219"/>
      <c r="D296" s="226">
        <v>2025</v>
      </c>
      <c r="E296" s="484">
        <v>0</v>
      </c>
      <c r="F296" s="484">
        <v>0</v>
      </c>
      <c r="G296" s="484">
        <v>0</v>
      </c>
      <c r="H296" s="484">
        <v>0</v>
      </c>
      <c r="I296" s="484">
        <v>0</v>
      </c>
      <c r="J296" s="1222"/>
      <c r="K296" s="1223"/>
    </row>
    <row r="297" spans="1:14">
      <c r="A297" s="1219"/>
      <c r="B297" s="1220"/>
      <c r="C297" s="1219"/>
      <c r="D297" s="226">
        <v>2026</v>
      </c>
      <c r="E297" s="484">
        <f t="shared" si="21"/>
        <v>0</v>
      </c>
      <c r="F297" s="484">
        <v>0</v>
      </c>
      <c r="G297" s="484">
        <v>0</v>
      </c>
      <c r="H297" s="484">
        <v>0</v>
      </c>
      <c r="I297" s="484">
        <v>0</v>
      </c>
      <c r="J297" s="1222"/>
      <c r="K297" s="1223"/>
    </row>
    <row r="298" spans="1:14">
      <c r="A298" s="1219" t="s">
        <v>342</v>
      </c>
      <c r="B298" s="1220" t="s">
        <v>343</v>
      </c>
      <c r="C298" s="1219" t="s">
        <v>235</v>
      </c>
      <c r="D298" s="226" t="s">
        <v>3</v>
      </c>
      <c r="E298" s="484">
        <f t="shared" si="21"/>
        <v>534</v>
      </c>
      <c r="F298" s="484">
        <f>SUM(F299:F304)</f>
        <v>534</v>
      </c>
      <c r="G298" s="484">
        <f>SUM(G299:G304)</f>
        <v>0</v>
      </c>
      <c r="H298" s="484">
        <f>SUM(H299:H304)</f>
        <v>0</v>
      </c>
      <c r="I298" s="484">
        <f>SUM(I299:I304)</f>
        <v>0</v>
      </c>
      <c r="J298" s="1222" t="s">
        <v>344</v>
      </c>
      <c r="K298" s="1223" t="s">
        <v>345</v>
      </c>
    </row>
    <row r="299" spans="1:14">
      <c r="A299" s="1219"/>
      <c r="B299" s="1220"/>
      <c r="C299" s="1219"/>
      <c r="D299" s="226">
        <v>2021</v>
      </c>
      <c r="E299" s="484">
        <f t="shared" si="21"/>
        <v>534</v>
      </c>
      <c r="F299" s="484">
        <v>534</v>
      </c>
      <c r="G299" s="484">
        <v>0</v>
      </c>
      <c r="H299" s="484">
        <v>0</v>
      </c>
      <c r="I299" s="484">
        <v>0</v>
      </c>
      <c r="J299" s="1222"/>
      <c r="K299" s="1223"/>
    </row>
    <row r="300" spans="1:14">
      <c r="A300" s="1219"/>
      <c r="B300" s="1220"/>
      <c r="C300" s="1219"/>
      <c r="D300" s="226">
        <v>2022</v>
      </c>
      <c r="E300" s="484">
        <f t="shared" si="21"/>
        <v>0</v>
      </c>
      <c r="F300" s="484">
        <v>0</v>
      </c>
      <c r="G300" s="484">
        <v>0</v>
      </c>
      <c r="H300" s="484">
        <v>0</v>
      </c>
      <c r="I300" s="484">
        <v>0</v>
      </c>
      <c r="J300" s="1222"/>
      <c r="K300" s="1223"/>
      <c r="N300" s="223" t="s">
        <v>346</v>
      </c>
    </row>
    <row r="301" spans="1:14">
      <c r="A301" s="1219"/>
      <c r="B301" s="1220"/>
      <c r="C301" s="1219"/>
      <c r="D301" s="226">
        <v>2023</v>
      </c>
      <c r="E301" s="484">
        <f t="shared" si="21"/>
        <v>0</v>
      </c>
      <c r="F301" s="484">
        <v>0</v>
      </c>
      <c r="G301" s="484">
        <v>0</v>
      </c>
      <c r="H301" s="484">
        <v>0</v>
      </c>
      <c r="I301" s="484">
        <v>0</v>
      </c>
      <c r="J301" s="1222"/>
      <c r="K301" s="1223"/>
    </row>
    <row r="302" spans="1:14">
      <c r="A302" s="1219"/>
      <c r="B302" s="1220"/>
      <c r="C302" s="1219"/>
      <c r="D302" s="226">
        <v>2024</v>
      </c>
      <c r="E302" s="484">
        <f t="shared" si="21"/>
        <v>0</v>
      </c>
      <c r="F302" s="484">
        <v>0</v>
      </c>
      <c r="G302" s="484">
        <v>0</v>
      </c>
      <c r="H302" s="484">
        <v>0</v>
      </c>
      <c r="I302" s="484">
        <v>0</v>
      </c>
      <c r="J302" s="1222"/>
      <c r="K302" s="1223"/>
    </row>
    <row r="303" spans="1:14">
      <c r="A303" s="1219"/>
      <c r="B303" s="1220"/>
      <c r="C303" s="1219"/>
      <c r="D303" s="226">
        <v>2025</v>
      </c>
      <c r="E303" s="484">
        <v>0</v>
      </c>
      <c r="F303" s="484">
        <v>0</v>
      </c>
      <c r="G303" s="484">
        <v>0</v>
      </c>
      <c r="H303" s="484">
        <v>0</v>
      </c>
      <c r="I303" s="484">
        <v>0</v>
      </c>
      <c r="J303" s="1222"/>
      <c r="K303" s="1223"/>
    </row>
    <row r="304" spans="1:14">
      <c r="A304" s="1219"/>
      <c r="B304" s="1220"/>
      <c r="C304" s="1219"/>
      <c r="D304" s="226">
        <v>2026</v>
      </c>
      <c r="E304" s="484">
        <f t="shared" si="21"/>
        <v>0</v>
      </c>
      <c r="F304" s="484">
        <v>0</v>
      </c>
      <c r="G304" s="484">
        <v>0</v>
      </c>
      <c r="H304" s="484">
        <v>0</v>
      </c>
      <c r="I304" s="484">
        <v>0</v>
      </c>
      <c r="J304" s="1222"/>
      <c r="K304" s="1223"/>
    </row>
    <row r="305" spans="1:11">
      <c r="A305" s="1219" t="s">
        <v>347</v>
      </c>
      <c r="B305" s="1220" t="s">
        <v>348</v>
      </c>
      <c r="C305" s="1219" t="s">
        <v>235</v>
      </c>
      <c r="D305" s="226" t="s">
        <v>3</v>
      </c>
      <c r="E305" s="484">
        <f t="shared" si="21"/>
        <v>194</v>
      </c>
      <c r="F305" s="484">
        <f>SUM(F306:F311)</f>
        <v>194</v>
      </c>
      <c r="G305" s="484">
        <f>SUM(G306:G311)</f>
        <v>0</v>
      </c>
      <c r="H305" s="484">
        <f>SUM(H306:H311)</f>
        <v>0</v>
      </c>
      <c r="I305" s="484">
        <f>SUM(I306:I311)</f>
        <v>0</v>
      </c>
      <c r="J305" s="1222" t="s">
        <v>349</v>
      </c>
      <c r="K305" s="1223" t="s">
        <v>65</v>
      </c>
    </row>
    <row r="306" spans="1:11">
      <c r="A306" s="1219"/>
      <c r="B306" s="1220"/>
      <c r="C306" s="1219"/>
      <c r="D306" s="226">
        <v>2021</v>
      </c>
      <c r="E306" s="484">
        <f t="shared" si="21"/>
        <v>194</v>
      </c>
      <c r="F306" s="484">
        <v>194</v>
      </c>
      <c r="G306" s="484">
        <v>0</v>
      </c>
      <c r="H306" s="484">
        <v>0</v>
      </c>
      <c r="I306" s="484">
        <v>0</v>
      </c>
      <c r="J306" s="1222"/>
      <c r="K306" s="1223"/>
    </row>
    <row r="307" spans="1:11">
      <c r="A307" s="1219"/>
      <c r="B307" s="1220"/>
      <c r="C307" s="1219"/>
      <c r="D307" s="226">
        <v>2022</v>
      </c>
      <c r="E307" s="484">
        <f t="shared" si="21"/>
        <v>0</v>
      </c>
      <c r="F307" s="484">
        <v>0</v>
      </c>
      <c r="G307" s="484">
        <v>0</v>
      </c>
      <c r="H307" s="484">
        <v>0</v>
      </c>
      <c r="I307" s="484">
        <v>0</v>
      </c>
      <c r="J307" s="1222"/>
      <c r="K307" s="1223"/>
    </row>
    <row r="308" spans="1:11">
      <c r="A308" s="1219"/>
      <c r="B308" s="1220"/>
      <c r="C308" s="1219"/>
      <c r="D308" s="226">
        <v>2023</v>
      </c>
      <c r="E308" s="484">
        <f t="shared" si="21"/>
        <v>0</v>
      </c>
      <c r="F308" s="484">
        <v>0</v>
      </c>
      <c r="G308" s="484">
        <v>0</v>
      </c>
      <c r="H308" s="484">
        <v>0</v>
      </c>
      <c r="I308" s="484">
        <v>0</v>
      </c>
      <c r="J308" s="1222"/>
      <c r="K308" s="1223"/>
    </row>
    <row r="309" spans="1:11">
      <c r="A309" s="1219"/>
      <c r="B309" s="1220"/>
      <c r="C309" s="1219"/>
      <c r="D309" s="226">
        <v>2024</v>
      </c>
      <c r="E309" s="484">
        <f t="shared" si="21"/>
        <v>0</v>
      </c>
      <c r="F309" s="484">
        <v>0</v>
      </c>
      <c r="G309" s="484">
        <v>0</v>
      </c>
      <c r="H309" s="484">
        <v>0</v>
      </c>
      <c r="I309" s="484">
        <v>0</v>
      </c>
      <c r="J309" s="1222"/>
      <c r="K309" s="1223"/>
    </row>
    <row r="310" spans="1:11">
      <c r="A310" s="1219"/>
      <c r="B310" s="1220"/>
      <c r="C310" s="1219"/>
      <c r="D310" s="226">
        <v>2025</v>
      </c>
      <c r="E310" s="484">
        <v>0</v>
      </c>
      <c r="F310" s="484">
        <v>0</v>
      </c>
      <c r="G310" s="484">
        <v>0</v>
      </c>
      <c r="H310" s="484">
        <v>0</v>
      </c>
      <c r="I310" s="484">
        <v>0</v>
      </c>
      <c r="J310" s="1222"/>
      <c r="K310" s="1223"/>
    </row>
    <row r="311" spans="1:11">
      <c r="A311" s="1219"/>
      <c r="B311" s="1220"/>
      <c r="C311" s="1219"/>
      <c r="D311" s="226">
        <v>2026</v>
      </c>
      <c r="E311" s="484">
        <f t="shared" si="21"/>
        <v>0</v>
      </c>
      <c r="F311" s="484">
        <v>0</v>
      </c>
      <c r="G311" s="484">
        <v>0</v>
      </c>
      <c r="H311" s="484">
        <v>0</v>
      </c>
      <c r="I311" s="484">
        <v>0</v>
      </c>
      <c r="J311" s="1222"/>
      <c r="K311" s="1223"/>
    </row>
    <row r="312" spans="1:11">
      <c r="A312" s="1219" t="s">
        <v>350</v>
      </c>
      <c r="B312" s="1220" t="s">
        <v>351</v>
      </c>
      <c r="C312" s="1219" t="s">
        <v>272</v>
      </c>
      <c r="D312" s="226" t="s">
        <v>3</v>
      </c>
      <c r="E312" s="484">
        <f t="shared" si="21"/>
        <v>1800</v>
      </c>
      <c r="F312" s="484">
        <f>SUM(F313:F318)</f>
        <v>1800</v>
      </c>
      <c r="G312" s="484">
        <f>SUM(G313:G318)</f>
        <v>0</v>
      </c>
      <c r="H312" s="484">
        <f>SUM(H313:H318)</f>
        <v>0</v>
      </c>
      <c r="I312" s="484">
        <f>SUM(I313:I318)</f>
        <v>0</v>
      </c>
      <c r="J312" s="1222" t="s">
        <v>352</v>
      </c>
      <c r="K312" s="1223" t="s">
        <v>65</v>
      </c>
    </row>
    <row r="313" spans="1:11">
      <c r="A313" s="1219"/>
      <c r="B313" s="1220"/>
      <c r="C313" s="1219"/>
      <c r="D313" s="226">
        <v>2021</v>
      </c>
      <c r="E313" s="484">
        <f t="shared" si="21"/>
        <v>0</v>
      </c>
      <c r="F313" s="484">
        <v>0</v>
      </c>
      <c r="G313" s="484">
        <v>0</v>
      </c>
      <c r="H313" s="484">
        <v>0</v>
      </c>
      <c r="I313" s="484">
        <v>0</v>
      </c>
      <c r="J313" s="1222"/>
      <c r="K313" s="1223"/>
    </row>
    <row r="314" spans="1:11">
      <c r="A314" s="1219"/>
      <c r="B314" s="1220"/>
      <c r="C314" s="1219"/>
      <c r="D314" s="226">
        <v>2022</v>
      </c>
      <c r="E314" s="484">
        <v>900</v>
      </c>
      <c r="F314" s="484">
        <v>900</v>
      </c>
      <c r="G314" s="484">
        <v>0</v>
      </c>
      <c r="H314" s="484">
        <v>0</v>
      </c>
      <c r="I314" s="484">
        <v>0</v>
      </c>
      <c r="J314" s="1222"/>
      <c r="K314" s="1223"/>
    </row>
    <row r="315" spans="1:11">
      <c r="A315" s="1219"/>
      <c r="B315" s="1220"/>
      <c r="C315" s="1219"/>
      <c r="D315" s="226">
        <v>2023</v>
      </c>
      <c r="E315" s="484">
        <f t="shared" si="21"/>
        <v>900</v>
      </c>
      <c r="F315" s="484">
        <v>900</v>
      </c>
      <c r="G315" s="484">
        <v>0</v>
      </c>
      <c r="H315" s="484">
        <v>0</v>
      </c>
      <c r="I315" s="484">
        <v>0</v>
      </c>
      <c r="J315" s="1222"/>
      <c r="K315" s="1223"/>
    </row>
    <row r="316" spans="1:11">
      <c r="A316" s="1219"/>
      <c r="B316" s="1220"/>
      <c r="C316" s="1219"/>
      <c r="D316" s="226">
        <v>2024</v>
      </c>
      <c r="E316" s="484">
        <f t="shared" si="21"/>
        <v>0</v>
      </c>
      <c r="F316" s="484">
        <v>0</v>
      </c>
      <c r="G316" s="484">
        <v>0</v>
      </c>
      <c r="H316" s="484">
        <v>0</v>
      </c>
      <c r="I316" s="484">
        <v>0</v>
      </c>
      <c r="J316" s="1222"/>
      <c r="K316" s="1223"/>
    </row>
    <row r="317" spans="1:11">
      <c r="A317" s="1219"/>
      <c r="B317" s="1220"/>
      <c r="C317" s="1219"/>
      <c r="D317" s="226">
        <v>2025</v>
      </c>
      <c r="E317" s="484">
        <v>0</v>
      </c>
      <c r="F317" s="484">
        <v>0</v>
      </c>
      <c r="G317" s="484">
        <v>0</v>
      </c>
      <c r="H317" s="484">
        <v>0</v>
      </c>
      <c r="I317" s="484">
        <v>0</v>
      </c>
      <c r="J317" s="1222"/>
      <c r="K317" s="1223"/>
    </row>
    <row r="318" spans="1:11">
      <c r="A318" s="1219"/>
      <c r="B318" s="1220"/>
      <c r="C318" s="1219"/>
      <c r="D318" s="226">
        <v>2026</v>
      </c>
      <c r="E318" s="484">
        <f t="shared" si="21"/>
        <v>0</v>
      </c>
      <c r="F318" s="484">
        <v>0</v>
      </c>
      <c r="G318" s="484">
        <v>0</v>
      </c>
      <c r="H318" s="484">
        <v>0</v>
      </c>
      <c r="I318" s="484">
        <v>0</v>
      </c>
      <c r="J318" s="1222"/>
      <c r="K318" s="1223"/>
    </row>
    <row r="319" spans="1:11">
      <c r="A319" s="1224" t="s">
        <v>117</v>
      </c>
      <c r="B319" s="1224" t="s">
        <v>118</v>
      </c>
      <c r="C319" s="1224" t="s">
        <v>272</v>
      </c>
      <c r="D319" s="226" t="s">
        <v>3</v>
      </c>
      <c r="E319" s="484">
        <f t="shared" si="21"/>
        <v>153287.59273999999</v>
      </c>
      <c r="F319" s="484">
        <f>SUM(F321:F325)</f>
        <v>153287.59273999999</v>
      </c>
      <c r="G319" s="484">
        <f>SUM(G320:G324)</f>
        <v>0</v>
      </c>
      <c r="H319" s="484">
        <f>SUM(H320:H324)</f>
        <v>0</v>
      </c>
      <c r="I319" s="484">
        <f>SUM(I320:I324)</f>
        <v>0</v>
      </c>
      <c r="J319" s="1227" t="s">
        <v>118</v>
      </c>
      <c r="K319" s="1230" t="s">
        <v>140</v>
      </c>
    </row>
    <row r="320" spans="1:11">
      <c r="A320" s="1225"/>
      <c r="B320" s="1225"/>
      <c r="C320" s="1225"/>
      <c r="D320" s="226">
        <v>2021</v>
      </c>
      <c r="E320" s="484">
        <f t="shared" si="21"/>
        <v>0</v>
      </c>
      <c r="F320" s="484">
        <v>0</v>
      </c>
      <c r="G320" s="484">
        <v>0</v>
      </c>
      <c r="H320" s="484">
        <v>0</v>
      </c>
      <c r="I320" s="484">
        <v>0</v>
      </c>
      <c r="J320" s="1228"/>
      <c r="K320" s="1231"/>
    </row>
    <row r="321" spans="1:11">
      <c r="A321" s="1225"/>
      <c r="B321" s="1225"/>
      <c r="C321" s="1225"/>
      <c r="D321" s="226">
        <v>2022</v>
      </c>
      <c r="E321" s="484">
        <f t="shared" si="21"/>
        <v>24779.228999999999</v>
      </c>
      <c r="F321" s="484">
        <v>24779.228999999999</v>
      </c>
      <c r="G321" s="484">
        <v>0</v>
      </c>
      <c r="H321" s="484">
        <v>0</v>
      </c>
      <c r="I321" s="484">
        <v>0</v>
      </c>
      <c r="J321" s="1228"/>
      <c r="K321" s="1231"/>
    </row>
    <row r="322" spans="1:11">
      <c r="A322" s="1225"/>
      <c r="B322" s="1225"/>
      <c r="C322" s="1225"/>
      <c r="D322" s="226">
        <v>2023</v>
      </c>
      <c r="E322" s="484">
        <f t="shared" si="21"/>
        <v>35051.025000000001</v>
      </c>
      <c r="F322" s="484">
        <f>25184.8+5003.055+4863.17</f>
        <v>35051.025000000001</v>
      </c>
      <c r="G322" s="484">
        <v>0</v>
      </c>
      <c r="H322" s="484">
        <v>0</v>
      </c>
      <c r="I322" s="484">
        <v>0</v>
      </c>
      <c r="J322" s="1228"/>
      <c r="K322" s="1231"/>
    </row>
    <row r="323" spans="1:11">
      <c r="A323" s="1225"/>
      <c r="B323" s="1225"/>
      <c r="C323" s="1225"/>
      <c r="D323" s="226">
        <v>2024</v>
      </c>
      <c r="E323" s="484">
        <f t="shared" si="21"/>
        <v>35831</v>
      </c>
      <c r="F323" s="484">
        <v>35831</v>
      </c>
      <c r="G323" s="484">
        <v>0</v>
      </c>
      <c r="H323" s="484">
        <v>0</v>
      </c>
      <c r="I323" s="484">
        <v>0</v>
      </c>
      <c r="J323" s="1228"/>
      <c r="K323" s="1231"/>
    </row>
    <row r="324" spans="1:11">
      <c r="A324" s="1225"/>
      <c r="B324" s="1225"/>
      <c r="C324" s="1225"/>
      <c r="D324" s="226">
        <v>2025</v>
      </c>
      <c r="E324" s="484">
        <f t="shared" si="21"/>
        <v>28813.16937</v>
      </c>
      <c r="F324" s="484">
        <v>28813.16937</v>
      </c>
      <c r="G324" s="484">
        <v>0</v>
      </c>
      <c r="H324" s="484">
        <v>0</v>
      </c>
      <c r="I324" s="484">
        <v>0</v>
      </c>
      <c r="J324" s="1228"/>
      <c r="K324" s="1231"/>
    </row>
    <row r="325" spans="1:11">
      <c r="A325" s="1226"/>
      <c r="B325" s="1226"/>
      <c r="C325" s="1226"/>
      <c r="D325" s="226">
        <v>2026</v>
      </c>
      <c r="E325" s="484">
        <f t="shared" si="21"/>
        <v>28813.16937</v>
      </c>
      <c r="F325" s="484">
        <v>28813.16937</v>
      </c>
      <c r="G325" s="484"/>
      <c r="H325" s="484"/>
      <c r="I325" s="484"/>
      <c r="J325" s="1229"/>
      <c r="K325" s="1232"/>
    </row>
    <row r="326" spans="1:11">
      <c r="A326" s="1219" t="s">
        <v>353</v>
      </c>
      <c r="B326" s="1220" t="s">
        <v>354</v>
      </c>
      <c r="C326" s="1224">
        <v>2022</v>
      </c>
      <c r="D326" s="226" t="s">
        <v>3</v>
      </c>
      <c r="E326" s="484">
        <f t="shared" si="21"/>
        <v>0</v>
      </c>
      <c r="F326" s="484">
        <f>SUM(F327:F332)</f>
        <v>0</v>
      </c>
      <c r="G326" s="484">
        <f>SUM(G327:G332)</f>
        <v>0</v>
      </c>
      <c r="H326" s="484">
        <f>SUM(H327:H332)</f>
        <v>0</v>
      </c>
      <c r="I326" s="484">
        <f>SUM(I327:I332)</f>
        <v>0</v>
      </c>
      <c r="J326" s="1222" t="s">
        <v>355</v>
      </c>
      <c r="K326" s="1223" t="s">
        <v>356</v>
      </c>
    </row>
    <row r="327" spans="1:11">
      <c r="A327" s="1219"/>
      <c r="B327" s="1220"/>
      <c r="C327" s="1225"/>
      <c r="D327" s="226">
        <v>2021</v>
      </c>
      <c r="E327" s="484">
        <f t="shared" si="21"/>
        <v>0</v>
      </c>
      <c r="F327" s="484">
        <v>0</v>
      </c>
      <c r="G327" s="484">
        <v>0</v>
      </c>
      <c r="H327" s="484">
        <v>0</v>
      </c>
      <c r="I327" s="484">
        <v>0</v>
      </c>
      <c r="J327" s="1222"/>
      <c r="K327" s="1223"/>
    </row>
    <row r="328" spans="1:11">
      <c r="A328" s="1219"/>
      <c r="B328" s="1220"/>
      <c r="C328" s="1225"/>
      <c r="D328" s="226">
        <v>2022</v>
      </c>
      <c r="E328" s="484">
        <f t="shared" si="21"/>
        <v>0</v>
      </c>
      <c r="F328" s="484">
        <v>0</v>
      </c>
      <c r="G328" s="484">
        <v>0</v>
      </c>
      <c r="H328" s="484">
        <v>0</v>
      </c>
      <c r="I328" s="484">
        <v>0</v>
      </c>
      <c r="J328" s="1222"/>
      <c r="K328" s="1223"/>
    </row>
    <row r="329" spans="1:11">
      <c r="A329" s="1219"/>
      <c r="B329" s="1220"/>
      <c r="C329" s="1225"/>
      <c r="D329" s="226">
        <v>2023</v>
      </c>
      <c r="E329" s="484">
        <f t="shared" si="21"/>
        <v>0</v>
      </c>
      <c r="F329" s="484">
        <v>0</v>
      </c>
      <c r="G329" s="484">
        <v>0</v>
      </c>
      <c r="H329" s="484">
        <v>0</v>
      </c>
      <c r="I329" s="484">
        <v>0</v>
      </c>
      <c r="J329" s="1222"/>
      <c r="K329" s="1223"/>
    </row>
    <row r="330" spans="1:11">
      <c r="A330" s="1219"/>
      <c r="B330" s="1220"/>
      <c r="C330" s="1225"/>
      <c r="D330" s="226">
        <v>2024</v>
      </c>
      <c r="E330" s="484">
        <f t="shared" si="21"/>
        <v>0</v>
      </c>
      <c r="F330" s="484">
        <v>0</v>
      </c>
      <c r="G330" s="484">
        <v>0</v>
      </c>
      <c r="H330" s="484">
        <v>0</v>
      </c>
      <c r="I330" s="484">
        <v>0</v>
      </c>
      <c r="J330" s="1222"/>
      <c r="K330" s="1223"/>
    </row>
    <row r="331" spans="1:11">
      <c r="A331" s="1219"/>
      <c r="B331" s="1220"/>
      <c r="C331" s="1225"/>
      <c r="D331" s="226">
        <v>2025</v>
      </c>
      <c r="E331" s="484">
        <v>0</v>
      </c>
      <c r="F331" s="484">
        <v>0</v>
      </c>
      <c r="G331" s="484">
        <v>0</v>
      </c>
      <c r="H331" s="484">
        <v>0</v>
      </c>
      <c r="I331" s="484">
        <v>0</v>
      </c>
      <c r="J331" s="1222"/>
      <c r="K331" s="1223"/>
    </row>
    <row r="332" spans="1:11">
      <c r="A332" s="1219"/>
      <c r="B332" s="1220"/>
      <c r="C332" s="1226"/>
      <c r="D332" s="226">
        <v>2026</v>
      </c>
      <c r="E332" s="484">
        <f t="shared" si="21"/>
        <v>0</v>
      </c>
      <c r="F332" s="484">
        <v>0</v>
      </c>
      <c r="G332" s="484">
        <v>0</v>
      </c>
      <c r="H332" s="484">
        <v>0</v>
      </c>
      <c r="I332" s="484">
        <v>0</v>
      </c>
      <c r="J332" s="1222"/>
      <c r="K332" s="1223"/>
    </row>
    <row r="333" spans="1:11">
      <c r="A333" s="1219" t="s">
        <v>357</v>
      </c>
      <c r="B333" s="1220" t="s">
        <v>358</v>
      </c>
      <c r="C333" s="1219">
        <v>2022</v>
      </c>
      <c r="D333" s="226" t="s">
        <v>3</v>
      </c>
      <c r="E333" s="484">
        <f t="shared" si="21"/>
        <v>17927.877</v>
      </c>
      <c r="F333" s="484">
        <f>SUM(F334:F339)</f>
        <v>17927.877</v>
      </c>
      <c r="G333" s="484">
        <f>SUM(G334:G339)</f>
        <v>0</v>
      </c>
      <c r="H333" s="484">
        <f>SUM(H334:H339)</f>
        <v>0</v>
      </c>
      <c r="I333" s="484">
        <f>SUM(I334:I339)</f>
        <v>0</v>
      </c>
      <c r="J333" s="1222" t="s">
        <v>359</v>
      </c>
      <c r="K333" s="1223" t="s">
        <v>360</v>
      </c>
    </row>
    <row r="334" spans="1:11">
      <c r="A334" s="1219"/>
      <c r="B334" s="1220"/>
      <c r="C334" s="1219"/>
      <c r="D334" s="226">
        <v>2021</v>
      </c>
      <c r="E334" s="484">
        <f t="shared" si="21"/>
        <v>0</v>
      </c>
      <c r="F334" s="484">
        <v>0</v>
      </c>
      <c r="G334" s="484">
        <v>0</v>
      </c>
      <c r="H334" s="484">
        <v>0</v>
      </c>
      <c r="I334" s="484">
        <v>0</v>
      </c>
      <c r="J334" s="1222"/>
      <c r="K334" s="1223"/>
    </row>
    <row r="335" spans="1:11">
      <c r="A335" s="1219"/>
      <c r="B335" s="1220"/>
      <c r="C335" s="1219"/>
      <c r="D335" s="226">
        <v>2022</v>
      </c>
      <c r="E335" s="484">
        <f t="shared" si="21"/>
        <v>17927.877</v>
      </c>
      <c r="F335" s="484">
        <v>17927.877</v>
      </c>
      <c r="G335" s="484">
        <v>0</v>
      </c>
      <c r="H335" s="484">
        <v>0</v>
      </c>
      <c r="I335" s="484">
        <v>0</v>
      </c>
      <c r="J335" s="1222"/>
      <c r="K335" s="1223"/>
    </row>
    <row r="336" spans="1:11">
      <c r="A336" s="1219"/>
      <c r="B336" s="1220"/>
      <c r="C336" s="1219"/>
      <c r="D336" s="226">
        <v>2023</v>
      </c>
      <c r="E336" s="484">
        <f t="shared" si="21"/>
        <v>0</v>
      </c>
      <c r="F336" s="484">
        <v>0</v>
      </c>
      <c r="G336" s="484">
        <v>0</v>
      </c>
      <c r="H336" s="484">
        <v>0</v>
      </c>
      <c r="I336" s="484">
        <v>0</v>
      </c>
      <c r="J336" s="1222"/>
      <c r="K336" s="1223"/>
    </row>
    <row r="337" spans="1:11">
      <c r="A337" s="1219"/>
      <c r="B337" s="1220"/>
      <c r="C337" s="1219"/>
      <c r="D337" s="226">
        <v>2024</v>
      </c>
      <c r="E337" s="484">
        <f t="shared" si="21"/>
        <v>0</v>
      </c>
      <c r="F337" s="484">
        <v>0</v>
      </c>
      <c r="G337" s="484">
        <v>0</v>
      </c>
      <c r="H337" s="484">
        <v>0</v>
      </c>
      <c r="I337" s="484">
        <v>0</v>
      </c>
      <c r="J337" s="1222"/>
      <c r="K337" s="1223"/>
    </row>
    <row r="338" spans="1:11">
      <c r="A338" s="1219"/>
      <c r="B338" s="1220"/>
      <c r="C338" s="1219"/>
      <c r="D338" s="226">
        <v>2025</v>
      </c>
      <c r="E338" s="484">
        <v>0</v>
      </c>
      <c r="F338" s="484">
        <v>0</v>
      </c>
      <c r="G338" s="484">
        <v>0</v>
      </c>
      <c r="H338" s="484">
        <v>0</v>
      </c>
      <c r="I338" s="484">
        <v>0</v>
      </c>
      <c r="J338" s="1222"/>
      <c r="K338" s="1223"/>
    </row>
    <row r="339" spans="1:11">
      <c r="A339" s="1219"/>
      <c r="B339" s="1220"/>
      <c r="C339" s="1219"/>
      <c r="D339" s="226">
        <v>2026</v>
      </c>
      <c r="E339" s="484">
        <f t="shared" si="21"/>
        <v>0</v>
      </c>
      <c r="F339" s="484">
        <v>0</v>
      </c>
      <c r="G339" s="484">
        <v>0</v>
      </c>
      <c r="H339" s="484">
        <v>0</v>
      </c>
      <c r="I339" s="484">
        <v>0</v>
      </c>
      <c r="J339" s="1222"/>
      <c r="K339" s="1223"/>
    </row>
    <row r="340" spans="1:11">
      <c r="A340" s="1219" t="s">
        <v>361</v>
      </c>
      <c r="B340" s="1220" t="s">
        <v>362</v>
      </c>
      <c r="C340" s="1219">
        <v>2022</v>
      </c>
      <c r="D340" s="226" t="s">
        <v>3</v>
      </c>
      <c r="E340" s="484">
        <f t="shared" si="21"/>
        <v>82491</v>
      </c>
      <c r="F340" s="484">
        <f>SUM(F341:F346)</f>
        <v>82491</v>
      </c>
      <c r="G340" s="484">
        <f>SUM(G341:G346)</f>
        <v>0</v>
      </c>
      <c r="H340" s="484">
        <f>SUM(H341:H346)</f>
        <v>0</v>
      </c>
      <c r="I340" s="484">
        <f>SUM(I341:I346)</f>
        <v>0</v>
      </c>
      <c r="J340" s="1222" t="s">
        <v>363</v>
      </c>
      <c r="K340" s="1223" t="s">
        <v>140</v>
      </c>
    </row>
    <row r="341" spans="1:11">
      <c r="A341" s="1219"/>
      <c r="B341" s="1220"/>
      <c r="C341" s="1219"/>
      <c r="D341" s="226">
        <v>2021</v>
      </c>
      <c r="E341" s="484">
        <f t="shared" si="21"/>
        <v>0</v>
      </c>
      <c r="F341" s="484">
        <v>0</v>
      </c>
      <c r="G341" s="484">
        <v>0</v>
      </c>
      <c r="H341" s="484">
        <v>0</v>
      </c>
      <c r="I341" s="484">
        <v>0</v>
      </c>
      <c r="J341" s="1222"/>
      <c r="K341" s="1223"/>
    </row>
    <row r="342" spans="1:11">
      <c r="A342" s="1219"/>
      <c r="B342" s="1220"/>
      <c r="C342" s="1219"/>
      <c r="D342" s="226">
        <v>2022</v>
      </c>
      <c r="E342" s="484">
        <f t="shared" si="21"/>
        <v>82491</v>
      </c>
      <c r="F342" s="484">
        <f>56859.756+25631.244</f>
        <v>82491</v>
      </c>
      <c r="G342" s="484">
        <v>0</v>
      </c>
      <c r="H342" s="484">
        <v>0</v>
      </c>
      <c r="I342" s="484">
        <v>0</v>
      </c>
      <c r="J342" s="1222"/>
      <c r="K342" s="1223"/>
    </row>
    <row r="343" spans="1:11">
      <c r="A343" s="1219"/>
      <c r="B343" s="1220"/>
      <c r="C343" s="1219"/>
      <c r="D343" s="226">
        <v>2023</v>
      </c>
      <c r="E343" s="484">
        <f t="shared" si="21"/>
        <v>0</v>
      </c>
      <c r="F343" s="484">
        <v>0</v>
      </c>
      <c r="G343" s="484">
        <v>0</v>
      </c>
      <c r="H343" s="484">
        <v>0</v>
      </c>
      <c r="I343" s="484">
        <v>0</v>
      </c>
      <c r="J343" s="1222"/>
      <c r="K343" s="1223"/>
    </row>
    <row r="344" spans="1:11">
      <c r="A344" s="1219"/>
      <c r="B344" s="1220"/>
      <c r="C344" s="1219"/>
      <c r="D344" s="226">
        <v>2024</v>
      </c>
      <c r="E344" s="484">
        <f t="shared" si="21"/>
        <v>0</v>
      </c>
      <c r="F344" s="484">
        <v>0</v>
      </c>
      <c r="G344" s="484">
        <v>0</v>
      </c>
      <c r="H344" s="484">
        <v>0</v>
      </c>
      <c r="I344" s="484">
        <v>0</v>
      </c>
      <c r="J344" s="1222"/>
      <c r="K344" s="1223"/>
    </row>
    <row r="345" spans="1:11">
      <c r="A345" s="1219"/>
      <c r="B345" s="1220"/>
      <c r="C345" s="1219"/>
      <c r="D345" s="226">
        <v>2025</v>
      </c>
      <c r="E345" s="484">
        <v>0</v>
      </c>
      <c r="F345" s="484">
        <v>0</v>
      </c>
      <c r="G345" s="484">
        <v>0</v>
      </c>
      <c r="H345" s="484">
        <v>0</v>
      </c>
      <c r="I345" s="484">
        <v>0</v>
      </c>
      <c r="J345" s="1222"/>
      <c r="K345" s="1223"/>
    </row>
    <row r="346" spans="1:11">
      <c r="A346" s="1219"/>
      <c r="B346" s="1220"/>
      <c r="C346" s="1219"/>
      <c r="D346" s="226">
        <v>2026</v>
      </c>
      <c r="E346" s="484">
        <f t="shared" si="21"/>
        <v>0</v>
      </c>
      <c r="F346" s="484">
        <v>0</v>
      </c>
      <c r="G346" s="484">
        <v>0</v>
      </c>
      <c r="H346" s="484">
        <v>0</v>
      </c>
      <c r="I346" s="484">
        <v>0</v>
      </c>
      <c r="J346" s="1222"/>
      <c r="K346" s="1223"/>
    </row>
    <row r="347" spans="1:11">
      <c r="A347" s="1219" t="s">
        <v>364</v>
      </c>
      <c r="B347" s="1220" t="s">
        <v>365</v>
      </c>
      <c r="C347" s="1219">
        <v>2022</v>
      </c>
      <c r="D347" s="226" t="s">
        <v>3</v>
      </c>
      <c r="E347" s="484">
        <f t="shared" si="21"/>
        <v>0</v>
      </c>
      <c r="F347" s="484">
        <f>SUM(F348:F353)</f>
        <v>0</v>
      </c>
      <c r="G347" s="484">
        <f>SUM(G348:G353)</f>
        <v>0</v>
      </c>
      <c r="H347" s="484">
        <f>SUM(H348:H353)</f>
        <v>0</v>
      </c>
      <c r="I347" s="484">
        <f>SUM(I348:I353)</f>
        <v>0</v>
      </c>
      <c r="J347" s="1222" t="s">
        <v>366</v>
      </c>
      <c r="K347" s="1223" t="s">
        <v>140</v>
      </c>
    </row>
    <row r="348" spans="1:11">
      <c r="A348" s="1219"/>
      <c r="B348" s="1220"/>
      <c r="C348" s="1219"/>
      <c r="D348" s="226">
        <v>2021</v>
      </c>
      <c r="E348" s="484">
        <f t="shared" si="21"/>
        <v>0</v>
      </c>
      <c r="F348" s="484">
        <v>0</v>
      </c>
      <c r="G348" s="484">
        <v>0</v>
      </c>
      <c r="H348" s="484">
        <v>0</v>
      </c>
      <c r="I348" s="484">
        <v>0</v>
      </c>
      <c r="J348" s="1222"/>
      <c r="K348" s="1223"/>
    </row>
    <row r="349" spans="1:11">
      <c r="A349" s="1219"/>
      <c r="B349" s="1220"/>
      <c r="C349" s="1219"/>
      <c r="D349" s="226">
        <v>2022</v>
      </c>
      <c r="E349" s="484">
        <f t="shared" si="21"/>
        <v>0</v>
      </c>
      <c r="F349" s="484">
        <v>0</v>
      </c>
      <c r="G349" s="484">
        <v>0</v>
      </c>
      <c r="H349" s="484">
        <v>0</v>
      </c>
      <c r="I349" s="484">
        <v>0</v>
      </c>
      <c r="J349" s="1222"/>
      <c r="K349" s="1223"/>
    </row>
    <row r="350" spans="1:11">
      <c r="A350" s="1219"/>
      <c r="B350" s="1220"/>
      <c r="C350" s="1219"/>
      <c r="D350" s="226">
        <v>2023</v>
      </c>
      <c r="E350" s="484">
        <f t="shared" si="21"/>
        <v>0</v>
      </c>
      <c r="F350" s="484">
        <v>0</v>
      </c>
      <c r="G350" s="484">
        <v>0</v>
      </c>
      <c r="H350" s="484">
        <v>0</v>
      </c>
      <c r="I350" s="484">
        <v>0</v>
      </c>
      <c r="J350" s="1222"/>
      <c r="K350" s="1223"/>
    </row>
    <row r="351" spans="1:11">
      <c r="A351" s="1219"/>
      <c r="B351" s="1220"/>
      <c r="C351" s="1219"/>
      <c r="D351" s="226">
        <v>2024</v>
      </c>
      <c r="E351" s="484">
        <f t="shared" si="21"/>
        <v>0</v>
      </c>
      <c r="F351" s="484">
        <v>0</v>
      </c>
      <c r="G351" s="484">
        <v>0</v>
      </c>
      <c r="H351" s="484">
        <v>0</v>
      </c>
      <c r="I351" s="484">
        <v>0</v>
      </c>
      <c r="J351" s="1222"/>
      <c r="K351" s="1223"/>
    </row>
    <row r="352" spans="1:11">
      <c r="A352" s="1219"/>
      <c r="B352" s="1220"/>
      <c r="C352" s="1219"/>
      <c r="D352" s="226">
        <v>2025</v>
      </c>
      <c r="E352" s="484">
        <v>0</v>
      </c>
      <c r="F352" s="484">
        <v>0</v>
      </c>
      <c r="G352" s="484">
        <v>0</v>
      </c>
      <c r="H352" s="484">
        <v>0</v>
      </c>
      <c r="I352" s="484">
        <v>0</v>
      </c>
      <c r="J352" s="1222"/>
      <c r="K352" s="1223"/>
    </row>
    <row r="353" spans="1:13">
      <c r="A353" s="1219"/>
      <c r="B353" s="1220"/>
      <c r="C353" s="1219"/>
      <c r="D353" s="226">
        <v>2026</v>
      </c>
      <c r="E353" s="484">
        <f t="shared" si="21"/>
        <v>0</v>
      </c>
      <c r="F353" s="484">
        <v>0</v>
      </c>
      <c r="G353" s="484">
        <v>0</v>
      </c>
      <c r="H353" s="484">
        <v>0</v>
      </c>
      <c r="I353" s="484">
        <v>0</v>
      </c>
      <c r="J353" s="1222"/>
      <c r="K353" s="1223"/>
    </row>
    <row r="354" spans="1:13">
      <c r="A354" s="1219" t="s">
        <v>154</v>
      </c>
      <c r="B354" s="1220" t="s">
        <v>367</v>
      </c>
      <c r="C354" s="1219" t="s">
        <v>368</v>
      </c>
      <c r="D354" s="226" t="s">
        <v>3</v>
      </c>
      <c r="E354" s="484">
        <f t="shared" si="21"/>
        <v>8470.5329999999994</v>
      </c>
      <c r="F354" s="484">
        <f>SUM(F355:F360)</f>
        <v>8470.5329999999994</v>
      </c>
      <c r="G354" s="484">
        <f>SUM(G355:G360)</f>
        <v>0</v>
      </c>
      <c r="H354" s="484">
        <f>SUM(H355:H360)</f>
        <v>0</v>
      </c>
      <c r="I354" s="484">
        <f>SUM(I355:I360)</f>
        <v>0</v>
      </c>
      <c r="J354" s="1222" t="s">
        <v>153</v>
      </c>
      <c r="K354" s="1223" t="s">
        <v>140</v>
      </c>
    </row>
    <row r="355" spans="1:13">
      <c r="A355" s="1219"/>
      <c r="B355" s="1220"/>
      <c r="C355" s="1219"/>
      <c r="D355" s="226">
        <v>2021</v>
      </c>
      <c r="E355" s="484">
        <f t="shared" si="21"/>
        <v>0</v>
      </c>
      <c r="F355" s="484">
        <v>0</v>
      </c>
      <c r="G355" s="484">
        <v>0</v>
      </c>
      <c r="H355" s="484">
        <v>0</v>
      </c>
      <c r="I355" s="484">
        <v>0</v>
      </c>
      <c r="J355" s="1222"/>
      <c r="K355" s="1223"/>
    </row>
    <row r="356" spans="1:13">
      <c r="A356" s="1219"/>
      <c r="B356" s="1220"/>
      <c r="C356" s="1219"/>
      <c r="D356" s="226">
        <v>2022</v>
      </c>
      <c r="E356" s="484">
        <f t="shared" si="21"/>
        <v>3486.1039999999998</v>
      </c>
      <c r="F356" s="484">
        <f>1682.37+32.07+1771.664</f>
        <v>3486.1039999999998</v>
      </c>
      <c r="G356" s="484">
        <v>0</v>
      </c>
      <c r="H356" s="484">
        <v>0</v>
      </c>
      <c r="I356" s="484">
        <v>0</v>
      </c>
      <c r="J356" s="1222"/>
      <c r="K356" s="1223"/>
    </row>
    <row r="357" spans="1:13">
      <c r="A357" s="1219"/>
      <c r="B357" s="1220"/>
      <c r="C357" s="1219"/>
      <c r="D357" s="226">
        <v>2023</v>
      </c>
      <c r="E357" s="484">
        <f t="shared" si="21"/>
        <v>4984.4290000000001</v>
      </c>
      <c r="F357" s="484">
        <f>3628.395+1356.034</f>
        <v>4984.4290000000001</v>
      </c>
      <c r="G357" s="484">
        <v>0</v>
      </c>
      <c r="H357" s="484">
        <v>0</v>
      </c>
      <c r="I357" s="484">
        <v>0</v>
      </c>
      <c r="J357" s="1222"/>
      <c r="K357" s="1223"/>
    </row>
    <row r="358" spans="1:13">
      <c r="A358" s="1219"/>
      <c r="B358" s="1220"/>
      <c r="C358" s="1219"/>
      <c r="D358" s="226">
        <v>2024</v>
      </c>
      <c r="E358" s="484">
        <f t="shared" ref="E358:E360" si="22">SUM(F358:I358)</f>
        <v>0</v>
      </c>
      <c r="F358" s="484">
        <v>0</v>
      </c>
      <c r="G358" s="484">
        <v>0</v>
      </c>
      <c r="H358" s="484">
        <v>0</v>
      </c>
      <c r="I358" s="484">
        <v>0</v>
      </c>
      <c r="J358" s="1222"/>
      <c r="K358" s="1223"/>
    </row>
    <row r="359" spans="1:13">
      <c r="A359" s="1219"/>
      <c r="B359" s="1220"/>
      <c r="C359" s="1219"/>
      <c r="D359" s="226">
        <v>2025</v>
      </c>
      <c r="E359" s="484">
        <v>0</v>
      </c>
      <c r="F359" s="484">
        <v>0</v>
      </c>
      <c r="G359" s="484">
        <v>0</v>
      </c>
      <c r="H359" s="484">
        <v>0</v>
      </c>
      <c r="I359" s="484">
        <v>0</v>
      </c>
      <c r="J359" s="1222"/>
      <c r="K359" s="1223"/>
    </row>
    <row r="360" spans="1:13">
      <c r="A360" s="1219"/>
      <c r="B360" s="1220"/>
      <c r="C360" s="1219"/>
      <c r="D360" s="226">
        <v>2026</v>
      </c>
      <c r="E360" s="484">
        <f t="shared" si="22"/>
        <v>0</v>
      </c>
      <c r="F360" s="484">
        <v>0</v>
      </c>
      <c r="G360" s="484">
        <v>0</v>
      </c>
      <c r="H360" s="484">
        <v>0</v>
      </c>
      <c r="I360" s="484">
        <v>0</v>
      </c>
      <c r="J360" s="1222"/>
      <c r="K360" s="1223"/>
    </row>
    <row r="361" spans="1:13">
      <c r="A361" s="1239" t="s">
        <v>152</v>
      </c>
      <c r="B361" s="1224" t="s">
        <v>151</v>
      </c>
      <c r="C361" s="1224" t="s">
        <v>235</v>
      </c>
      <c r="D361" s="226" t="s">
        <v>3</v>
      </c>
      <c r="E361" s="484">
        <f>SUM(E362:E367)</f>
        <v>13832.856</v>
      </c>
      <c r="F361" s="484">
        <f>SUM(F362:F367)</f>
        <v>13832.856</v>
      </c>
      <c r="G361" s="484">
        <f>SUM(G362:G367)</f>
        <v>0</v>
      </c>
      <c r="H361" s="484">
        <f>SUM(H362:H367)</f>
        <v>0</v>
      </c>
      <c r="I361" s="484">
        <f>SUM(I362:I367)</f>
        <v>0</v>
      </c>
      <c r="J361" s="1227" t="s">
        <v>150</v>
      </c>
      <c r="K361" s="1230" t="s">
        <v>149</v>
      </c>
    </row>
    <row r="362" spans="1:13">
      <c r="A362" s="1240"/>
      <c r="B362" s="1225"/>
      <c r="C362" s="1225"/>
      <c r="D362" s="226">
        <v>2021</v>
      </c>
      <c r="E362" s="484">
        <f t="shared" ref="E362:E367" si="23">SUM(F362:I362)</f>
        <v>0</v>
      </c>
      <c r="F362" s="484">
        <v>0</v>
      </c>
      <c r="G362" s="484">
        <v>0</v>
      </c>
      <c r="H362" s="484">
        <v>0</v>
      </c>
      <c r="I362" s="484">
        <v>0</v>
      </c>
      <c r="J362" s="1228"/>
      <c r="K362" s="1231"/>
    </row>
    <row r="363" spans="1:13">
      <c r="A363" s="1240"/>
      <c r="B363" s="1225"/>
      <c r="C363" s="1225"/>
      <c r="D363" s="226">
        <v>2022</v>
      </c>
      <c r="E363" s="484">
        <f t="shared" si="23"/>
        <v>0</v>
      </c>
      <c r="F363" s="484">
        <v>0</v>
      </c>
      <c r="G363" s="484">
        <v>0</v>
      </c>
      <c r="H363" s="484">
        <v>0</v>
      </c>
      <c r="I363" s="484">
        <v>0</v>
      </c>
      <c r="J363" s="1228"/>
      <c r="K363" s="1231"/>
    </row>
    <row r="364" spans="1:13">
      <c r="A364" s="1240"/>
      <c r="B364" s="1225"/>
      <c r="C364" s="1225"/>
      <c r="D364" s="226">
        <v>2023</v>
      </c>
      <c r="E364" s="484">
        <f t="shared" si="23"/>
        <v>13037.137999999999</v>
      </c>
      <c r="F364" s="484">
        <f>16200.622-1807.45-1356.034</f>
        <v>13037.137999999999</v>
      </c>
      <c r="G364" s="484">
        <v>0</v>
      </c>
      <c r="H364" s="484">
        <v>0</v>
      </c>
      <c r="I364" s="484">
        <v>0</v>
      </c>
      <c r="J364" s="1228"/>
      <c r="K364" s="1231"/>
    </row>
    <row r="365" spans="1:13">
      <c r="A365" s="1240"/>
      <c r="B365" s="1225"/>
      <c r="C365" s="1225"/>
      <c r="D365" s="226">
        <v>2024</v>
      </c>
      <c r="E365" s="484">
        <f t="shared" si="23"/>
        <v>795.71800000000007</v>
      </c>
      <c r="F365" s="484">
        <f>7950.405-5512.387-1338-304.3</f>
        <v>795.71800000000007</v>
      </c>
      <c r="G365" s="484">
        <v>0</v>
      </c>
      <c r="H365" s="484">
        <v>0</v>
      </c>
      <c r="I365" s="484">
        <v>0</v>
      </c>
      <c r="J365" s="1228"/>
      <c r="K365" s="1231"/>
      <c r="M365" s="223" t="s">
        <v>692</v>
      </c>
    </row>
    <row r="366" spans="1:13">
      <c r="A366" s="1240"/>
      <c r="B366" s="1225"/>
      <c r="C366" s="1225"/>
      <c r="D366" s="226">
        <v>2025</v>
      </c>
      <c r="E366" s="484">
        <v>0</v>
      </c>
      <c r="F366" s="484">
        <v>0</v>
      </c>
      <c r="G366" s="484">
        <v>0</v>
      </c>
      <c r="H366" s="484">
        <v>0</v>
      </c>
      <c r="I366" s="484">
        <v>0</v>
      </c>
      <c r="J366" s="1228"/>
      <c r="K366" s="1231"/>
    </row>
    <row r="367" spans="1:13">
      <c r="A367" s="1240"/>
      <c r="B367" s="1225"/>
      <c r="C367" s="1225"/>
      <c r="D367" s="226">
        <v>2026</v>
      </c>
      <c r="E367" s="484">
        <f t="shared" si="23"/>
        <v>0</v>
      </c>
      <c r="F367" s="484">
        <v>0</v>
      </c>
      <c r="G367" s="484">
        <v>0</v>
      </c>
      <c r="H367" s="484">
        <v>0</v>
      </c>
      <c r="I367" s="484">
        <v>0</v>
      </c>
      <c r="J367" s="1228"/>
      <c r="K367" s="1231"/>
    </row>
    <row r="368" spans="1:13">
      <c r="A368" s="1235" t="s">
        <v>369</v>
      </c>
      <c r="B368" s="1220" t="s">
        <v>370</v>
      </c>
      <c r="C368" s="1224" t="s">
        <v>371</v>
      </c>
      <c r="D368" s="226" t="s">
        <v>3</v>
      </c>
      <c r="E368" s="484">
        <f>SUM(E369:E374)</f>
        <v>80000</v>
      </c>
      <c r="F368" s="484">
        <f>SUM(F369:F374)</f>
        <v>80000</v>
      </c>
      <c r="G368" s="484">
        <f>SUM(G369:G374)</f>
        <v>0</v>
      </c>
      <c r="H368" s="484">
        <f>SUM(H369:H374)</f>
        <v>0</v>
      </c>
      <c r="I368" s="484">
        <f>SUM(I369:I374)</f>
        <v>0</v>
      </c>
      <c r="J368" s="1222" t="s">
        <v>372</v>
      </c>
      <c r="K368" s="1223" t="s">
        <v>149</v>
      </c>
    </row>
    <row r="369" spans="1:11">
      <c r="A369" s="1235"/>
      <c r="B369" s="1220"/>
      <c r="C369" s="1225"/>
      <c r="D369" s="226">
        <v>2021</v>
      </c>
      <c r="E369" s="484">
        <f t="shared" ref="E369:E381" si="24">SUM(F369:I369)</f>
        <v>0</v>
      </c>
      <c r="F369" s="484">
        <v>0</v>
      </c>
      <c r="G369" s="484">
        <v>0</v>
      </c>
      <c r="H369" s="484">
        <v>0</v>
      </c>
      <c r="I369" s="484">
        <v>0</v>
      </c>
      <c r="J369" s="1222"/>
      <c r="K369" s="1223"/>
    </row>
    <row r="370" spans="1:11">
      <c r="A370" s="1235"/>
      <c r="B370" s="1220"/>
      <c r="C370" s="1225"/>
      <c r="D370" s="226">
        <v>2022</v>
      </c>
      <c r="E370" s="484">
        <f t="shared" si="24"/>
        <v>0</v>
      </c>
      <c r="F370" s="484">
        <v>0</v>
      </c>
      <c r="G370" s="484">
        <v>0</v>
      </c>
      <c r="H370" s="484">
        <v>0</v>
      </c>
      <c r="I370" s="484">
        <v>0</v>
      </c>
      <c r="J370" s="1222"/>
      <c r="K370" s="1223"/>
    </row>
    <row r="371" spans="1:11">
      <c r="A371" s="1235"/>
      <c r="B371" s="1220"/>
      <c r="C371" s="1225"/>
      <c r="D371" s="226">
        <v>2023</v>
      </c>
      <c r="E371" s="484">
        <f t="shared" si="24"/>
        <v>0</v>
      </c>
      <c r="F371" s="484">
        <v>0</v>
      </c>
      <c r="G371" s="484">
        <v>0</v>
      </c>
      <c r="H371" s="484">
        <v>0</v>
      </c>
      <c r="I371" s="484">
        <v>0</v>
      </c>
      <c r="J371" s="1222"/>
      <c r="K371" s="1223"/>
    </row>
    <row r="372" spans="1:11">
      <c r="A372" s="1235"/>
      <c r="B372" s="1220"/>
      <c r="C372" s="1225"/>
      <c r="D372" s="226">
        <v>2024</v>
      </c>
      <c r="E372" s="484">
        <f t="shared" si="24"/>
        <v>80000</v>
      </c>
      <c r="F372" s="484">
        <v>80000</v>
      </c>
      <c r="G372" s="484">
        <v>0</v>
      </c>
      <c r="H372" s="484">
        <v>0</v>
      </c>
      <c r="I372" s="484">
        <v>0</v>
      </c>
      <c r="J372" s="1222"/>
      <c r="K372" s="1223"/>
    </row>
    <row r="373" spans="1:11">
      <c r="A373" s="1235"/>
      <c r="B373" s="1220"/>
      <c r="C373" s="1225"/>
      <c r="D373" s="226">
        <v>2025</v>
      </c>
      <c r="E373" s="484">
        <v>0</v>
      </c>
      <c r="F373" s="484">
        <v>0</v>
      </c>
      <c r="G373" s="484">
        <v>0</v>
      </c>
      <c r="H373" s="484">
        <v>0</v>
      </c>
      <c r="I373" s="484">
        <v>0</v>
      </c>
      <c r="J373" s="1222"/>
      <c r="K373" s="1223"/>
    </row>
    <row r="374" spans="1:11">
      <c r="A374" s="1235"/>
      <c r="B374" s="1220"/>
      <c r="C374" s="1226"/>
      <c r="D374" s="226">
        <v>2026</v>
      </c>
      <c r="E374" s="484">
        <f t="shared" si="24"/>
        <v>0</v>
      </c>
      <c r="F374" s="484">
        <v>0</v>
      </c>
      <c r="G374" s="484">
        <v>0</v>
      </c>
      <c r="H374" s="484">
        <v>0</v>
      </c>
      <c r="I374" s="484">
        <v>0</v>
      </c>
      <c r="J374" s="1222"/>
      <c r="K374" s="1223"/>
    </row>
    <row r="375" spans="1:11">
      <c r="A375" s="1224" t="s">
        <v>373</v>
      </c>
      <c r="B375" s="1224" t="s">
        <v>119</v>
      </c>
      <c r="C375" s="1224" t="s">
        <v>235</v>
      </c>
      <c r="D375" s="226" t="s">
        <v>3</v>
      </c>
      <c r="E375" s="484">
        <f t="shared" si="24"/>
        <v>374507.34684000001</v>
      </c>
      <c r="F375" s="484">
        <f>SUM(F376:F381)</f>
        <v>267600</v>
      </c>
      <c r="G375" s="484">
        <f>SUM(G376:G380)</f>
        <v>0</v>
      </c>
      <c r="H375" s="484">
        <f>SUM(H376:H381)</f>
        <v>106907.34684</v>
      </c>
      <c r="I375" s="484">
        <f>SUM(I376:I380)</f>
        <v>0</v>
      </c>
      <c r="J375" s="1227" t="s">
        <v>148</v>
      </c>
      <c r="K375" s="1230" t="s">
        <v>92</v>
      </c>
    </row>
    <row r="376" spans="1:11">
      <c r="A376" s="1225"/>
      <c r="B376" s="1225"/>
      <c r="C376" s="1225"/>
      <c r="D376" s="226">
        <v>2021</v>
      </c>
      <c r="E376" s="484">
        <f t="shared" si="24"/>
        <v>54717.700210000003</v>
      </c>
      <c r="F376" s="484">
        <f t="shared" ref="F376:I379" si="25">F390+F383</f>
        <v>41400</v>
      </c>
      <c r="G376" s="484">
        <f t="shared" si="25"/>
        <v>0</v>
      </c>
      <c r="H376" s="484">
        <f t="shared" si="25"/>
        <v>13317.700210000001</v>
      </c>
      <c r="I376" s="484">
        <f t="shared" si="25"/>
        <v>0</v>
      </c>
      <c r="J376" s="1228"/>
      <c r="K376" s="1231"/>
    </row>
    <row r="377" spans="1:11">
      <c r="A377" s="1225"/>
      <c r="B377" s="1225"/>
      <c r="C377" s="1225"/>
      <c r="D377" s="226">
        <v>2022</v>
      </c>
      <c r="E377" s="484">
        <f t="shared" si="24"/>
        <v>67577.179999999993</v>
      </c>
      <c r="F377" s="484">
        <f t="shared" si="25"/>
        <v>47800</v>
      </c>
      <c r="G377" s="484">
        <f t="shared" si="25"/>
        <v>0</v>
      </c>
      <c r="H377" s="484">
        <f t="shared" si="25"/>
        <v>19777.18</v>
      </c>
      <c r="I377" s="484">
        <f t="shared" si="25"/>
        <v>0</v>
      </c>
      <c r="J377" s="1228"/>
      <c r="K377" s="1231"/>
    </row>
    <row r="378" spans="1:11">
      <c r="A378" s="1225"/>
      <c r="B378" s="1225"/>
      <c r="C378" s="1225"/>
      <c r="D378" s="226">
        <v>2023</v>
      </c>
      <c r="E378" s="484">
        <f t="shared" si="24"/>
        <v>67577.23</v>
      </c>
      <c r="F378" s="484">
        <f t="shared" si="25"/>
        <v>47800</v>
      </c>
      <c r="G378" s="484">
        <f t="shared" si="25"/>
        <v>0</v>
      </c>
      <c r="H378" s="484">
        <f t="shared" si="25"/>
        <v>19777.23</v>
      </c>
      <c r="I378" s="484">
        <f t="shared" si="25"/>
        <v>0</v>
      </c>
      <c r="J378" s="1228"/>
      <c r="K378" s="1231"/>
    </row>
    <row r="379" spans="1:11">
      <c r="A379" s="1225"/>
      <c r="B379" s="1225"/>
      <c r="C379" s="1225"/>
      <c r="D379" s="226">
        <v>2024</v>
      </c>
      <c r="E379" s="484">
        <f t="shared" si="24"/>
        <v>68656.19</v>
      </c>
      <c r="F379" s="484">
        <f t="shared" si="25"/>
        <v>47800</v>
      </c>
      <c r="G379" s="484">
        <f t="shared" si="25"/>
        <v>0</v>
      </c>
      <c r="H379" s="484">
        <f t="shared" si="25"/>
        <v>20856.189999999999</v>
      </c>
      <c r="I379" s="484">
        <f t="shared" si="25"/>
        <v>0</v>
      </c>
      <c r="J379" s="1228"/>
      <c r="K379" s="1231"/>
    </row>
    <row r="380" spans="1:11">
      <c r="A380" s="1225"/>
      <c r="B380" s="1225"/>
      <c r="C380" s="1225"/>
      <c r="D380" s="226">
        <v>2025</v>
      </c>
      <c r="E380" s="484">
        <f t="shared" si="24"/>
        <v>57989.523329999996</v>
      </c>
      <c r="F380" s="484">
        <f>F394+F388</f>
        <v>41400</v>
      </c>
      <c r="G380" s="484">
        <f>G394+G388</f>
        <v>0</v>
      </c>
      <c r="H380" s="484">
        <f>H394+H388</f>
        <v>16589.52333</v>
      </c>
      <c r="I380" s="484">
        <f>I394+I388</f>
        <v>0</v>
      </c>
      <c r="J380" s="1228"/>
      <c r="K380" s="1231"/>
    </row>
    <row r="381" spans="1:11">
      <c r="A381" s="1226"/>
      <c r="B381" s="1226"/>
      <c r="C381" s="1226"/>
      <c r="D381" s="226">
        <v>2026</v>
      </c>
      <c r="E381" s="484">
        <f t="shared" si="24"/>
        <v>57989.523300000001</v>
      </c>
      <c r="F381" s="484">
        <f>SUM(F395)</f>
        <v>41400</v>
      </c>
      <c r="G381" s="484">
        <f>SUM(G395)</f>
        <v>0</v>
      </c>
      <c r="H381" s="484">
        <f>SUM(H395)</f>
        <v>16589.523300000001</v>
      </c>
      <c r="I381" s="484">
        <f>SUM(I395)</f>
        <v>0</v>
      </c>
      <c r="J381" s="1229"/>
      <c r="K381" s="1232"/>
    </row>
    <row r="382" spans="1:11">
      <c r="A382" s="1224" t="s">
        <v>374</v>
      </c>
      <c r="B382" s="1224" t="s">
        <v>120</v>
      </c>
      <c r="C382" s="1224" t="s">
        <v>371</v>
      </c>
      <c r="D382" s="226" t="s">
        <v>3</v>
      </c>
      <c r="E382" s="484">
        <f>SUM(E383:E388)</f>
        <v>40159.935509999996</v>
      </c>
      <c r="F382" s="484">
        <f>SUM(F383:F388)</f>
        <v>25600</v>
      </c>
      <c r="G382" s="484">
        <f>SUM(G383:G388)</f>
        <v>0</v>
      </c>
      <c r="H382" s="484">
        <f>SUM(H383:H388)</f>
        <v>14559.935509999999</v>
      </c>
      <c r="I382" s="484">
        <f>SUM(I383:I388)</f>
        <v>0</v>
      </c>
      <c r="J382" s="1227" t="s">
        <v>77</v>
      </c>
      <c r="K382" s="1230" t="s">
        <v>92</v>
      </c>
    </row>
    <row r="383" spans="1:11">
      <c r="A383" s="1225"/>
      <c r="B383" s="1225"/>
      <c r="C383" s="1225"/>
      <c r="D383" s="226">
        <v>2021</v>
      </c>
      <c r="E383" s="484">
        <f t="shared" ref="E383:E388" si="26">SUM(F383:I383)</f>
        <v>9800.9188400000003</v>
      </c>
      <c r="F383" s="484">
        <v>6400</v>
      </c>
      <c r="G383" s="484">
        <v>0</v>
      </c>
      <c r="H383" s="484">
        <v>3400.9188399999998</v>
      </c>
      <c r="I383" s="484">
        <v>0</v>
      </c>
      <c r="J383" s="1228"/>
      <c r="K383" s="1231"/>
    </row>
    <row r="384" spans="1:11">
      <c r="A384" s="1225"/>
      <c r="B384" s="1225"/>
      <c r="C384" s="1225"/>
      <c r="D384" s="226">
        <v>2022</v>
      </c>
      <c r="E384" s="484">
        <f t="shared" si="26"/>
        <v>9846.15</v>
      </c>
      <c r="F384" s="484">
        <v>6400</v>
      </c>
      <c r="G384" s="484">
        <v>0</v>
      </c>
      <c r="H384" s="484">
        <v>3446.15</v>
      </c>
      <c r="I384" s="484">
        <v>0</v>
      </c>
      <c r="J384" s="1228"/>
      <c r="K384" s="1231"/>
    </row>
    <row r="385" spans="1:11">
      <c r="A385" s="1225"/>
      <c r="B385" s="1225"/>
      <c r="C385" s="1225"/>
      <c r="D385" s="226">
        <v>2023</v>
      </c>
      <c r="E385" s="484">
        <f t="shared" si="26"/>
        <v>9846.2000000000007</v>
      </c>
      <c r="F385" s="484">
        <v>6400</v>
      </c>
      <c r="G385" s="484">
        <v>0</v>
      </c>
      <c r="H385" s="484">
        <v>3446.2</v>
      </c>
      <c r="I385" s="484">
        <v>0</v>
      </c>
      <c r="J385" s="1228"/>
      <c r="K385" s="1231"/>
    </row>
    <row r="386" spans="1:11">
      <c r="A386" s="1225"/>
      <c r="B386" s="1225"/>
      <c r="C386" s="1225"/>
      <c r="D386" s="226">
        <v>2024</v>
      </c>
      <c r="E386" s="484">
        <f t="shared" si="26"/>
        <v>10666.666669999999</v>
      </c>
      <c r="F386" s="484">
        <v>6400</v>
      </c>
      <c r="G386" s="484">
        <v>0</v>
      </c>
      <c r="H386" s="484">
        <v>4266.6666699999996</v>
      </c>
      <c r="I386" s="484">
        <v>0</v>
      </c>
      <c r="J386" s="1228"/>
      <c r="K386" s="1231"/>
    </row>
    <row r="387" spans="1:11">
      <c r="A387" s="1225"/>
      <c r="B387" s="1225"/>
      <c r="C387" s="1225"/>
      <c r="D387" s="226">
        <v>2025</v>
      </c>
      <c r="E387" s="484">
        <v>0</v>
      </c>
      <c r="F387" s="484">
        <v>0</v>
      </c>
      <c r="G387" s="484">
        <v>0</v>
      </c>
      <c r="H387" s="484">
        <v>0</v>
      </c>
      <c r="I387" s="484">
        <v>0</v>
      </c>
      <c r="J387" s="1228"/>
      <c r="K387" s="1231"/>
    </row>
    <row r="388" spans="1:11">
      <c r="A388" s="1225"/>
      <c r="B388" s="1225"/>
      <c r="C388" s="1225"/>
      <c r="D388" s="226">
        <v>2026</v>
      </c>
      <c r="E388" s="484">
        <f t="shared" si="26"/>
        <v>0</v>
      </c>
      <c r="F388" s="484">
        <v>0</v>
      </c>
      <c r="G388" s="484">
        <v>0</v>
      </c>
      <c r="H388" s="484">
        <v>0</v>
      </c>
      <c r="I388" s="484">
        <v>0</v>
      </c>
      <c r="J388" s="1228"/>
      <c r="K388" s="1231"/>
    </row>
    <row r="389" spans="1:11">
      <c r="A389" s="1224" t="s">
        <v>375</v>
      </c>
      <c r="B389" s="1224" t="s">
        <v>78</v>
      </c>
      <c r="C389" s="1224" t="s">
        <v>235</v>
      </c>
      <c r="D389" s="226" t="s">
        <v>3</v>
      </c>
      <c r="E389" s="484">
        <f>SUM(E390:E394)</f>
        <v>276357.88802999997</v>
      </c>
      <c r="F389" s="484">
        <f>SUM(F390:F394)</f>
        <v>200600</v>
      </c>
      <c r="G389" s="484">
        <f>SUM(G390:G394)</f>
        <v>0</v>
      </c>
      <c r="H389" s="484">
        <f>SUM(H390:H394)</f>
        <v>75757.888030000002</v>
      </c>
      <c r="I389" s="484">
        <f>SUM(I390:I394)</f>
        <v>0</v>
      </c>
      <c r="J389" s="1227" t="s">
        <v>79</v>
      </c>
      <c r="K389" s="1230" t="s">
        <v>92</v>
      </c>
    </row>
    <row r="390" spans="1:11">
      <c r="A390" s="1225"/>
      <c r="B390" s="1225"/>
      <c r="C390" s="1225"/>
      <c r="D390" s="226">
        <v>2021</v>
      </c>
      <c r="E390" s="484">
        <f t="shared" ref="E390:E428" si="27">SUM(F390:I390)</f>
        <v>44916.781369999997</v>
      </c>
      <c r="F390" s="484">
        <v>35000</v>
      </c>
      <c r="G390" s="484">
        <v>0</v>
      </c>
      <c r="H390" s="484">
        <v>9916.7813700000006</v>
      </c>
      <c r="I390" s="484">
        <v>0</v>
      </c>
      <c r="J390" s="1228"/>
      <c r="K390" s="1231"/>
    </row>
    <row r="391" spans="1:11">
      <c r="A391" s="1225"/>
      <c r="B391" s="1225"/>
      <c r="C391" s="1225"/>
      <c r="D391" s="226">
        <v>2022</v>
      </c>
      <c r="E391" s="484">
        <f t="shared" si="27"/>
        <v>57731.03</v>
      </c>
      <c r="F391" s="484">
        <v>41400</v>
      </c>
      <c r="G391" s="484">
        <v>0</v>
      </c>
      <c r="H391" s="484">
        <v>16331.03</v>
      </c>
      <c r="I391" s="484">
        <v>0</v>
      </c>
      <c r="J391" s="1228"/>
      <c r="K391" s="1231"/>
    </row>
    <row r="392" spans="1:11">
      <c r="A392" s="1225"/>
      <c r="B392" s="1225"/>
      <c r="C392" s="1225"/>
      <c r="D392" s="226">
        <v>2023</v>
      </c>
      <c r="E392" s="484">
        <f t="shared" si="27"/>
        <v>57731.03</v>
      </c>
      <c r="F392" s="484">
        <v>41400</v>
      </c>
      <c r="G392" s="484">
        <v>0</v>
      </c>
      <c r="H392" s="484">
        <v>16331.03</v>
      </c>
      <c r="I392" s="484">
        <v>0</v>
      </c>
      <c r="J392" s="1228"/>
      <c r="K392" s="1231"/>
    </row>
    <row r="393" spans="1:11">
      <c r="A393" s="1225"/>
      <c r="B393" s="1225"/>
      <c r="C393" s="1225"/>
      <c r="D393" s="226">
        <v>2024</v>
      </c>
      <c r="E393" s="484">
        <f t="shared" si="27"/>
        <v>57989.523329999996</v>
      </c>
      <c r="F393" s="484">
        <v>41400</v>
      </c>
      <c r="G393" s="484">
        <v>0</v>
      </c>
      <c r="H393" s="484">
        <v>16589.52333</v>
      </c>
      <c r="I393" s="484">
        <v>0</v>
      </c>
      <c r="J393" s="1228"/>
      <c r="K393" s="1231"/>
    </row>
    <row r="394" spans="1:11">
      <c r="A394" s="1225"/>
      <c r="B394" s="1225"/>
      <c r="C394" s="1225"/>
      <c r="D394" s="226">
        <v>2025</v>
      </c>
      <c r="E394" s="484">
        <f t="shared" si="27"/>
        <v>57989.523329999996</v>
      </c>
      <c r="F394" s="484">
        <v>41400</v>
      </c>
      <c r="G394" s="484">
        <v>0</v>
      </c>
      <c r="H394" s="484">
        <v>16589.52333</v>
      </c>
      <c r="I394" s="484">
        <v>0</v>
      </c>
      <c r="J394" s="1228"/>
      <c r="K394" s="1231"/>
    </row>
    <row r="395" spans="1:11">
      <c r="A395" s="1226"/>
      <c r="B395" s="1226"/>
      <c r="C395" s="1226"/>
      <c r="D395" s="226">
        <v>2026</v>
      </c>
      <c r="E395" s="484">
        <f t="shared" si="27"/>
        <v>57989.523300000001</v>
      </c>
      <c r="F395" s="484">
        <v>41400</v>
      </c>
      <c r="G395" s="484"/>
      <c r="H395" s="484">
        <v>16589.523300000001</v>
      </c>
      <c r="I395" s="484"/>
      <c r="J395" s="1229"/>
      <c r="K395" s="1232"/>
    </row>
    <row r="396" spans="1:11">
      <c r="A396" s="1219" t="s">
        <v>376</v>
      </c>
      <c r="B396" s="1220" t="s">
        <v>55</v>
      </c>
      <c r="C396" s="1219" t="s">
        <v>297</v>
      </c>
      <c r="D396" s="226" t="s">
        <v>3</v>
      </c>
      <c r="E396" s="484">
        <f t="shared" si="27"/>
        <v>67781.34345</v>
      </c>
      <c r="F396" s="484">
        <f>SUM(F397:F401)</f>
        <v>8243.7014400000007</v>
      </c>
      <c r="G396" s="484">
        <f>SUM(G397:G401)</f>
        <v>59537.642009999996</v>
      </c>
      <c r="H396" s="484">
        <f>SUM(H397:H401)</f>
        <v>0</v>
      </c>
      <c r="I396" s="484">
        <f>SUM(I397:I401)</f>
        <v>0</v>
      </c>
      <c r="J396" s="1222" t="s">
        <v>377</v>
      </c>
      <c r="K396" s="1223" t="s">
        <v>241</v>
      </c>
    </row>
    <row r="397" spans="1:11">
      <c r="A397" s="1219"/>
      <c r="B397" s="1220"/>
      <c r="C397" s="1219"/>
      <c r="D397" s="226">
        <v>2021</v>
      </c>
      <c r="E397" s="484">
        <f t="shared" si="27"/>
        <v>27296.712679999997</v>
      </c>
      <c r="F397" s="484">
        <f t="shared" ref="F397:I400" si="28">F403+F409</f>
        <v>3105.6126800000002</v>
      </c>
      <c r="G397" s="484">
        <f t="shared" si="28"/>
        <v>24191.1</v>
      </c>
      <c r="H397" s="484">
        <f t="shared" si="28"/>
        <v>0</v>
      </c>
      <c r="I397" s="484">
        <f t="shared" si="28"/>
        <v>0</v>
      </c>
      <c r="J397" s="1222"/>
      <c r="K397" s="1223"/>
    </row>
    <row r="398" spans="1:11">
      <c r="A398" s="1219"/>
      <c r="B398" s="1220"/>
      <c r="C398" s="1219"/>
      <c r="D398" s="226">
        <v>2022</v>
      </c>
      <c r="E398" s="484">
        <f t="shared" si="27"/>
        <v>18900.377</v>
      </c>
      <c r="F398" s="484">
        <f t="shared" si="28"/>
        <v>2711.0770000000002</v>
      </c>
      <c r="G398" s="484">
        <f t="shared" si="28"/>
        <v>16189.3</v>
      </c>
      <c r="H398" s="484">
        <f t="shared" si="28"/>
        <v>0</v>
      </c>
      <c r="I398" s="484">
        <f t="shared" si="28"/>
        <v>0</v>
      </c>
      <c r="J398" s="1222"/>
      <c r="K398" s="1223"/>
    </row>
    <row r="399" spans="1:11">
      <c r="A399" s="1219"/>
      <c r="B399" s="1220"/>
      <c r="C399" s="1219"/>
      <c r="D399" s="226">
        <v>2023</v>
      </c>
      <c r="E399" s="484">
        <f t="shared" si="27"/>
        <v>11802.74826</v>
      </c>
      <c r="F399" s="484">
        <f t="shared" si="28"/>
        <v>708.16489000000001</v>
      </c>
      <c r="G399" s="484">
        <f t="shared" si="28"/>
        <v>11094.58337</v>
      </c>
      <c r="H399" s="484">
        <f t="shared" si="28"/>
        <v>0</v>
      </c>
      <c r="I399" s="484">
        <f t="shared" si="28"/>
        <v>0</v>
      </c>
      <c r="J399" s="1222"/>
      <c r="K399" s="1223"/>
    </row>
    <row r="400" spans="1:11">
      <c r="A400" s="1219"/>
      <c r="B400" s="1220"/>
      <c r="C400" s="1219"/>
      <c r="D400" s="226">
        <v>2024</v>
      </c>
      <c r="E400" s="484">
        <f t="shared" si="27"/>
        <v>9781.5055100000009</v>
      </c>
      <c r="F400" s="484">
        <f t="shared" si="28"/>
        <v>1718.8468699999999</v>
      </c>
      <c r="G400" s="484">
        <f t="shared" si="28"/>
        <v>8062.6586400000006</v>
      </c>
      <c r="H400" s="484">
        <f t="shared" si="28"/>
        <v>0</v>
      </c>
      <c r="I400" s="484">
        <f t="shared" si="28"/>
        <v>0</v>
      </c>
      <c r="J400" s="1222"/>
      <c r="K400" s="1223"/>
    </row>
    <row r="401" spans="1:13">
      <c r="A401" s="1219"/>
      <c r="B401" s="1220"/>
      <c r="C401" s="1219"/>
      <c r="D401" s="226">
        <v>2025</v>
      </c>
      <c r="E401" s="484">
        <f t="shared" si="27"/>
        <v>0</v>
      </c>
      <c r="F401" s="484">
        <f>F407+F414</f>
        <v>0</v>
      </c>
      <c r="G401" s="484">
        <f>G407+G414</f>
        <v>0</v>
      </c>
      <c r="H401" s="484">
        <f>H407+H414</f>
        <v>0</v>
      </c>
      <c r="I401" s="484">
        <f>I407+I414</f>
        <v>0</v>
      </c>
      <c r="J401" s="1222"/>
      <c r="K401" s="1223"/>
    </row>
    <row r="402" spans="1:13">
      <c r="A402" s="1219" t="s">
        <v>378</v>
      </c>
      <c r="B402" s="1220" t="s">
        <v>147</v>
      </c>
      <c r="C402" s="1219" t="s">
        <v>297</v>
      </c>
      <c r="D402" s="226" t="s">
        <v>3</v>
      </c>
      <c r="E402" s="484">
        <f t="shared" si="27"/>
        <v>45492.623599999999</v>
      </c>
      <c r="F402" s="484">
        <f>SUM(F403:F407)</f>
        <v>2729.4815899999999</v>
      </c>
      <c r="G402" s="484">
        <f>SUM(G403:G407)</f>
        <v>42763.142009999996</v>
      </c>
      <c r="H402" s="484">
        <f>SUM(H403:H407)</f>
        <v>0</v>
      </c>
      <c r="I402" s="484">
        <f>SUM(I403:I407)</f>
        <v>0</v>
      </c>
      <c r="J402" s="1222" t="s">
        <v>379</v>
      </c>
      <c r="K402" s="1223" t="s">
        <v>92</v>
      </c>
    </row>
    <row r="403" spans="1:13">
      <c r="A403" s="1219"/>
      <c r="B403" s="1220"/>
      <c r="C403" s="1219"/>
      <c r="D403" s="226">
        <v>2021</v>
      </c>
      <c r="E403" s="484">
        <f t="shared" si="27"/>
        <v>20914.599999999999</v>
      </c>
      <c r="F403" s="484">
        <v>1254.8</v>
      </c>
      <c r="G403" s="484">
        <v>19659.8</v>
      </c>
      <c r="H403" s="484">
        <v>0</v>
      </c>
      <c r="I403" s="484">
        <v>0</v>
      </c>
      <c r="J403" s="1222"/>
      <c r="K403" s="1223"/>
    </row>
    <row r="404" spans="1:13">
      <c r="A404" s="1219"/>
      <c r="B404" s="1220"/>
      <c r="C404" s="1219"/>
      <c r="D404" s="226">
        <v>2022</v>
      </c>
      <c r="E404" s="484">
        <f t="shared" si="27"/>
        <v>12043.617</v>
      </c>
      <c r="F404" s="484">
        <v>722.61699999999996</v>
      </c>
      <c r="G404" s="484">
        <v>11321</v>
      </c>
      <c r="H404" s="484">
        <v>0</v>
      </c>
      <c r="I404" s="484">
        <v>0</v>
      </c>
      <c r="J404" s="1222"/>
      <c r="K404" s="1223"/>
    </row>
    <row r="405" spans="1:13">
      <c r="A405" s="1219"/>
      <c r="B405" s="1220"/>
      <c r="C405" s="1219"/>
      <c r="D405" s="226">
        <v>2023</v>
      </c>
      <c r="E405" s="484">
        <f t="shared" si="27"/>
        <v>7674.45039</v>
      </c>
      <c r="F405" s="484">
        <v>460.46701999999999</v>
      </c>
      <c r="G405" s="484">
        <v>7213.9833699999999</v>
      </c>
      <c r="H405" s="484">
        <v>0</v>
      </c>
      <c r="I405" s="484">
        <v>0</v>
      </c>
      <c r="J405" s="1222"/>
      <c r="K405" s="1223"/>
    </row>
    <row r="406" spans="1:13">
      <c r="A406" s="1219"/>
      <c r="B406" s="1220"/>
      <c r="C406" s="1219"/>
      <c r="D406" s="226">
        <v>2024</v>
      </c>
      <c r="E406" s="485">
        <f t="shared" si="27"/>
        <v>4859.9562100000003</v>
      </c>
      <c r="F406" s="484">
        <f>297.15957-5.562</f>
        <v>291.59756999999996</v>
      </c>
      <c r="G406" s="484">
        <v>4568.3586400000004</v>
      </c>
      <c r="H406" s="484">
        <v>0</v>
      </c>
      <c r="I406" s="484">
        <v>0</v>
      </c>
      <c r="J406" s="1222"/>
      <c r="K406" s="1223"/>
      <c r="M406" s="223" t="s">
        <v>693</v>
      </c>
    </row>
    <row r="407" spans="1:13">
      <c r="A407" s="1219"/>
      <c r="B407" s="1220"/>
      <c r="C407" s="1219"/>
      <c r="D407" s="226">
        <v>2025</v>
      </c>
      <c r="E407" s="484">
        <f t="shared" si="27"/>
        <v>0</v>
      </c>
      <c r="F407" s="484">
        <v>0</v>
      </c>
      <c r="G407" s="484">
        <v>0</v>
      </c>
      <c r="H407" s="484">
        <v>0</v>
      </c>
      <c r="I407" s="484">
        <v>0</v>
      </c>
      <c r="J407" s="1222"/>
      <c r="K407" s="1223"/>
    </row>
    <row r="408" spans="1:13">
      <c r="A408" s="1219" t="s">
        <v>380</v>
      </c>
      <c r="B408" s="1220" t="s">
        <v>146</v>
      </c>
      <c r="C408" s="1219" t="s">
        <v>297</v>
      </c>
      <c r="D408" s="226" t="s">
        <v>3</v>
      </c>
      <c r="E408" s="484">
        <f t="shared" si="27"/>
        <v>22288.719850000001</v>
      </c>
      <c r="F408" s="484">
        <f>SUM(F409:F414)</f>
        <v>5514.2198499999995</v>
      </c>
      <c r="G408" s="484">
        <f>SUM(G409:G414)</f>
        <v>16774.5</v>
      </c>
      <c r="H408" s="484">
        <f>SUM(H409:H414)</f>
        <v>0</v>
      </c>
      <c r="I408" s="484">
        <f>SUM(I409:I414)</f>
        <v>0</v>
      </c>
      <c r="J408" s="1222" t="s">
        <v>145</v>
      </c>
      <c r="K408" s="1223" t="s">
        <v>241</v>
      </c>
    </row>
    <row r="409" spans="1:13">
      <c r="A409" s="1219"/>
      <c r="B409" s="1220"/>
      <c r="C409" s="1219"/>
      <c r="D409" s="226">
        <v>2021</v>
      </c>
      <c r="E409" s="484">
        <f t="shared" si="27"/>
        <v>6382.1126800000002</v>
      </c>
      <c r="F409" s="484">
        <v>1850.81268</v>
      </c>
      <c r="G409" s="484">
        <v>4531.3</v>
      </c>
      <c r="H409" s="484">
        <v>0</v>
      </c>
      <c r="I409" s="484">
        <v>0</v>
      </c>
      <c r="J409" s="1222"/>
      <c r="K409" s="1223"/>
    </row>
    <row r="410" spans="1:13">
      <c r="A410" s="1219"/>
      <c r="B410" s="1220"/>
      <c r="C410" s="1219"/>
      <c r="D410" s="226">
        <v>2022</v>
      </c>
      <c r="E410" s="484">
        <f t="shared" si="27"/>
        <v>6856.76</v>
      </c>
      <c r="F410" s="484">
        <v>1988.46</v>
      </c>
      <c r="G410" s="484">
        <v>4868.3</v>
      </c>
      <c r="H410" s="484">
        <v>0</v>
      </c>
      <c r="I410" s="484">
        <v>0</v>
      </c>
      <c r="J410" s="1222"/>
      <c r="K410" s="1223"/>
    </row>
    <row r="411" spans="1:13">
      <c r="A411" s="1219"/>
      <c r="B411" s="1220"/>
      <c r="C411" s="1219"/>
      <c r="D411" s="226">
        <v>2023</v>
      </c>
      <c r="E411" s="484">
        <f t="shared" si="27"/>
        <v>4128.2978700000003</v>
      </c>
      <c r="F411" s="484">
        <f>1812.41254-1564.71467</f>
        <v>247.69786999999997</v>
      </c>
      <c r="G411" s="484">
        <v>3880.6</v>
      </c>
      <c r="H411" s="484">
        <v>0</v>
      </c>
      <c r="I411" s="484">
        <v>0</v>
      </c>
      <c r="J411" s="1222"/>
      <c r="K411" s="1223"/>
    </row>
    <row r="412" spans="1:13">
      <c r="A412" s="1219"/>
      <c r="B412" s="1220"/>
      <c r="C412" s="1219"/>
      <c r="D412" s="226">
        <v>2024</v>
      </c>
      <c r="E412" s="484">
        <f t="shared" si="27"/>
        <v>4921.5493000000006</v>
      </c>
      <c r="F412" s="484">
        <v>1427.2492999999999</v>
      </c>
      <c r="G412" s="484">
        <v>3494.3</v>
      </c>
      <c r="H412" s="484">
        <v>0</v>
      </c>
      <c r="I412" s="484">
        <v>0</v>
      </c>
      <c r="J412" s="1222"/>
      <c r="K412" s="1223"/>
    </row>
    <row r="413" spans="1:13">
      <c r="A413" s="1219"/>
      <c r="B413" s="1220"/>
      <c r="C413" s="1219"/>
      <c r="D413" s="226">
        <v>2025</v>
      </c>
      <c r="E413" s="484">
        <v>0</v>
      </c>
      <c r="F413" s="484">
        <v>0</v>
      </c>
      <c r="G413" s="484">
        <v>0</v>
      </c>
      <c r="H413" s="484">
        <v>0</v>
      </c>
      <c r="I413" s="484">
        <v>0</v>
      </c>
      <c r="J413" s="1222"/>
      <c r="K413" s="1223"/>
    </row>
    <row r="414" spans="1:13">
      <c r="A414" s="1219"/>
      <c r="B414" s="1220"/>
      <c r="C414" s="1219"/>
      <c r="D414" s="226">
        <v>2026</v>
      </c>
      <c r="E414" s="484">
        <f t="shared" si="27"/>
        <v>0</v>
      </c>
      <c r="F414" s="484">
        <v>0</v>
      </c>
      <c r="G414" s="484">
        <v>0</v>
      </c>
      <c r="H414" s="484">
        <v>0</v>
      </c>
      <c r="I414" s="484">
        <v>0</v>
      </c>
      <c r="J414" s="1222"/>
      <c r="K414" s="1223"/>
    </row>
    <row r="415" spans="1:13">
      <c r="A415" s="1230" t="s">
        <v>381</v>
      </c>
      <c r="B415" s="1224" t="s">
        <v>18</v>
      </c>
      <c r="C415" s="1224" t="s">
        <v>235</v>
      </c>
      <c r="D415" s="226" t="s">
        <v>3</v>
      </c>
      <c r="E415" s="484">
        <f t="shared" si="27"/>
        <v>5529338.9540358037</v>
      </c>
      <c r="F415" s="484">
        <f>SUM(F416:F421)</f>
        <v>3747492.4729900002</v>
      </c>
      <c r="G415" s="484">
        <f>SUM(G416:G421)</f>
        <v>1658499.3319999999</v>
      </c>
      <c r="H415" s="484">
        <f>SUM(H416:H420)</f>
        <v>112347.14904580351</v>
      </c>
      <c r="I415" s="484">
        <f>SUM(I416:I420)</f>
        <v>11000</v>
      </c>
      <c r="J415" s="1227"/>
      <c r="K415" s="1230" t="s">
        <v>382</v>
      </c>
    </row>
    <row r="416" spans="1:13">
      <c r="A416" s="1231"/>
      <c r="B416" s="1225"/>
      <c r="C416" s="1225"/>
      <c r="D416" s="226">
        <v>2021</v>
      </c>
      <c r="E416" s="484">
        <f t="shared" si="27"/>
        <v>542284.02945165033</v>
      </c>
      <c r="F416" s="484">
        <f t="shared" ref="F416:H420" si="29">F423+F584+F906+F843+F857+F885</f>
        <v>254674.71701999998</v>
      </c>
      <c r="G416" s="484">
        <f t="shared" si="29"/>
        <v>257488.69899999999</v>
      </c>
      <c r="H416" s="484">
        <f t="shared" si="29"/>
        <v>30120.613431650385</v>
      </c>
      <c r="I416" s="484">
        <f t="shared" ref="I416:I419" si="30">I423+I584+I906+I843+I857</f>
        <v>0</v>
      </c>
      <c r="J416" s="1228"/>
      <c r="K416" s="1231"/>
    </row>
    <row r="417" spans="1:12">
      <c r="A417" s="1231"/>
      <c r="B417" s="1225"/>
      <c r="C417" s="1225"/>
      <c r="D417" s="226">
        <v>2022</v>
      </c>
      <c r="E417" s="484">
        <f t="shared" si="27"/>
        <v>1321007.9192131003</v>
      </c>
      <c r="F417" s="484">
        <f t="shared" si="29"/>
        <v>1034922.16776</v>
      </c>
      <c r="G417" s="484">
        <f t="shared" si="29"/>
        <v>225488.99299999999</v>
      </c>
      <c r="H417" s="484">
        <f t="shared" si="29"/>
        <v>60596.75845310052</v>
      </c>
      <c r="I417" s="484">
        <f t="shared" si="30"/>
        <v>0</v>
      </c>
      <c r="J417" s="1228"/>
      <c r="K417" s="1231"/>
    </row>
    <row r="418" spans="1:12">
      <c r="A418" s="1231"/>
      <c r="B418" s="1225"/>
      <c r="C418" s="1225"/>
      <c r="D418" s="226">
        <v>2023</v>
      </c>
      <c r="E418" s="484">
        <f t="shared" si="27"/>
        <v>689220.44319999998</v>
      </c>
      <c r="F418" s="484">
        <f t="shared" si="29"/>
        <v>255347.42546</v>
      </c>
      <c r="G418" s="484">
        <f t="shared" si="29"/>
        <v>424710.74</v>
      </c>
      <c r="H418" s="484">
        <f t="shared" si="29"/>
        <v>9162.2777399999759</v>
      </c>
      <c r="I418" s="484">
        <f t="shared" si="30"/>
        <v>0</v>
      </c>
      <c r="J418" s="1228"/>
      <c r="K418" s="1231"/>
    </row>
    <row r="419" spans="1:12">
      <c r="A419" s="1231"/>
      <c r="B419" s="1225"/>
      <c r="C419" s="1225"/>
      <c r="D419" s="226">
        <v>2024</v>
      </c>
      <c r="E419" s="484">
        <f t="shared" si="27"/>
        <v>1423532.9334610526</v>
      </c>
      <c r="F419" s="484">
        <f t="shared" si="29"/>
        <v>776047.11904000002</v>
      </c>
      <c r="G419" s="484">
        <f t="shared" si="29"/>
        <v>624810.89999999991</v>
      </c>
      <c r="H419" s="484">
        <f t="shared" si="29"/>
        <v>11674.914421052632</v>
      </c>
      <c r="I419" s="484">
        <f t="shared" si="30"/>
        <v>11000</v>
      </c>
      <c r="J419" s="1228"/>
      <c r="K419" s="1231"/>
    </row>
    <row r="420" spans="1:12">
      <c r="A420" s="1231"/>
      <c r="B420" s="1225"/>
      <c r="C420" s="1225"/>
      <c r="D420" s="227">
        <v>2025</v>
      </c>
      <c r="E420" s="484">
        <f t="shared" si="27"/>
        <v>1109894.36261</v>
      </c>
      <c r="F420" s="484">
        <f t="shared" si="29"/>
        <v>1019101.77761</v>
      </c>
      <c r="G420" s="484">
        <f t="shared" si="29"/>
        <v>90000</v>
      </c>
      <c r="H420" s="484">
        <f t="shared" si="29"/>
        <v>792.58500000000004</v>
      </c>
      <c r="I420" s="484">
        <f>I428+I588+I910+I847+I861</f>
        <v>0</v>
      </c>
      <c r="J420" s="1228"/>
      <c r="K420" s="1231"/>
    </row>
    <row r="421" spans="1:12">
      <c r="A421" s="1232"/>
      <c r="B421" s="1226"/>
      <c r="C421" s="1226"/>
      <c r="D421" s="226">
        <v>2026</v>
      </c>
      <c r="E421" s="484">
        <f t="shared" si="27"/>
        <v>443399.26610000007</v>
      </c>
      <c r="F421" s="484">
        <f>SUM(F589,F848,F911)</f>
        <v>407399.26610000007</v>
      </c>
      <c r="G421" s="484">
        <f>SUM(G589,G848,G911)</f>
        <v>36000</v>
      </c>
      <c r="H421" s="484">
        <f>SUM(H589,H848,H911)</f>
        <v>0</v>
      </c>
      <c r="I421" s="484">
        <f>SUM(I589,I848,I911)</f>
        <v>0</v>
      </c>
      <c r="J421" s="1229"/>
      <c r="K421" s="1232"/>
    </row>
    <row r="422" spans="1:12">
      <c r="A422" s="1223" t="s">
        <v>383</v>
      </c>
      <c r="B422" s="1220" t="s">
        <v>384</v>
      </c>
      <c r="C422" s="1219" t="s">
        <v>297</v>
      </c>
      <c r="D422" s="226" t="s">
        <v>3</v>
      </c>
      <c r="E422" s="484">
        <f t="shared" si="27"/>
        <v>295600.31012397725</v>
      </c>
      <c r="F422" s="484">
        <f>SUM(F423:F428)</f>
        <v>239694.7248</v>
      </c>
      <c r="G422" s="484">
        <f>SUM(G423:G428)</f>
        <v>0</v>
      </c>
      <c r="H422" s="484">
        <f>SUM(H423:H428)</f>
        <v>44905.585323977262</v>
      </c>
      <c r="I422" s="484">
        <f>SUM(I423:I428)</f>
        <v>11000</v>
      </c>
      <c r="J422" s="1222" t="s">
        <v>385</v>
      </c>
      <c r="K422" s="1223" t="s">
        <v>386</v>
      </c>
    </row>
    <row r="423" spans="1:12">
      <c r="A423" s="1223"/>
      <c r="B423" s="1220"/>
      <c r="C423" s="1219"/>
      <c r="D423" s="226">
        <v>2021</v>
      </c>
      <c r="E423" s="484">
        <f t="shared" si="27"/>
        <v>69576.494685752899</v>
      </c>
      <c r="F423" s="484">
        <f t="shared" ref="F423:I428" si="31">F430+F437+F444+F451+F458+F465+F472+F479+F486+F493+F500+F507+F514+F521+F528+F535+F542+F549+F563+F577+F556</f>
        <v>55989.257299999997</v>
      </c>
      <c r="G423" s="484">
        <f t="shared" si="31"/>
        <v>0</v>
      </c>
      <c r="H423" s="484">
        <f t="shared" si="31"/>
        <v>13587.237385752907</v>
      </c>
      <c r="I423" s="484">
        <f t="shared" si="31"/>
        <v>0</v>
      </c>
      <c r="J423" s="1222"/>
      <c r="K423" s="1223"/>
    </row>
    <row r="424" spans="1:12">
      <c r="A424" s="1223"/>
      <c r="B424" s="1220"/>
      <c r="C424" s="1219"/>
      <c r="D424" s="226">
        <v>2022</v>
      </c>
      <c r="E424" s="484">
        <f t="shared" si="27"/>
        <v>199844.44701717171</v>
      </c>
      <c r="F424" s="484">
        <f t="shared" si="31"/>
        <v>171685.0675</v>
      </c>
      <c r="G424" s="484">
        <f t="shared" si="31"/>
        <v>0</v>
      </c>
      <c r="H424" s="484">
        <f t="shared" si="31"/>
        <v>28159.379517171721</v>
      </c>
      <c r="I424" s="484">
        <f t="shared" si="31"/>
        <v>0</v>
      </c>
      <c r="J424" s="1222"/>
      <c r="K424" s="1223"/>
      <c r="L424" s="223" t="s">
        <v>387</v>
      </c>
    </row>
    <row r="425" spans="1:12">
      <c r="A425" s="1223"/>
      <c r="B425" s="1220"/>
      <c r="C425" s="1219"/>
      <c r="D425" s="226">
        <v>2023</v>
      </c>
      <c r="E425" s="484">
        <f t="shared" si="27"/>
        <v>12000</v>
      </c>
      <c r="F425" s="484">
        <f t="shared" si="31"/>
        <v>9000</v>
      </c>
      <c r="G425" s="484">
        <f t="shared" si="31"/>
        <v>0</v>
      </c>
      <c r="H425" s="484">
        <f t="shared" si="31"/>
        <v>3000</v>
      </c>
      <c r="I425" s="484">
        <f t="shared" si="31"/>
        <v>0</v>
      </c>
      <c r="J425" s="1222"/>
      <c r="K425" s="1223"/>
    </row>
    <row r="426" spans="1:12">
      <c r="A426" s="1223"/>
      <c r="B426" s="1220"/>
      <c r="C426" s="1219"/>
      <c r="D426" s="226">
        <v>2024</v>
      </c>
      <c r="E426" s="484">
        <f t="shared" si="27"/>
        <v>14179.368421052632</v>
      </c>
      <c r="F426" s="484">
        <f t="shared" si="31"/>
        <v>3020.4</v>
      </c>
      <c r="G426" s="484">
        <f t="shared" si="31"/>
        <v>0</v>
      </c>
      <c r="H426" s="484">
        <f t="shared" si="31"/>
        <v>158.96842105263158</v>
      </c>
      <c r="I426" s="484">
        <f t="shared" si="31"/>
        <v>11000</v>
      </c>
      <c r="J426" s="1222"/>
      <c r="K426" s="1223"/>
    </row>
    <row r="427" spans="1:12">
      <c r="A427" s="1223"/>
      <c r="B427" s="1220"/>
      <c r="C427" s="1219"/>
      <c r="D427" s="226">
        <v>2025</v>
      </c>
      <c r="E427" s="484">
        <f t="shared" si="27"/>
        <v>0</v>
      </c>
      <c r="F427" s="484">
        <f t="shared" si="31"/>
        <v>0</v>
      </c>
      <c r="G427" s="484">
        <f t="shared" si="31"/>
        <v>0</v>
      </c>
      <c r="H427" s="484">
        <f t="shared" si="31"/>
        <v>0</v>
      </c>
      <c r="I427" s="484">
        <f t="shared" si="31"/>
        <v>0</v>
      </c>
      <c r="J427" s="1222"/>
      <c r="K427" s="1223"/>
    </row>
    <row r="428" spans="1:12">
      <c r="A428" s="1223"/>
      <c r="B428" s="1220"/>
      <c r="C428" s="1219"/>
      <c r="D428" s="226">
        <v>2026</v>
      </c>
      <c r="E428" s="484">
        <f t="shared" si="27"/>
        <v>0</v>
      </c>
      <c r="F428" s="484">
        <f t="shared" si="31"/>
        <v>0</v>
      </c>
      <c r="G428" s="484">
        <f t="shared" si="31"/>
        <v>0</v>
      </c>
      <c r="H428" s="484">
        <f t="shared" si="31"/>
        <v>0</v>
      </c>
      <c r="I428" s="484">
        <f t="shared" si="31"/>
        <v>0</v>
      </c>
      <c r="J428" s="1222"/>
      <c r="K428" s="1223"/>
    </row>
    <row r="429" spans="1:12">
      <c r="A429" s="1219" t="s">
        <v>388</v>
      </c>
      <c r="B429" s="1220" t="s">
        <v>82</v>
      </c>
      <c r="C429" s="1219" t="s">
        <v>389</v>
      </c>
      <c r="D429" s="226" t="s">
        <v>3</v>
      </c>
      <c r="E429" s="484">
        <f>SUM(E430:E435)</f>
        <v>6584.2777657004835</v>
      </c>
      <c r="F429" s="484">
        <f>SUM(F430:F435)</f>
        <v>5451.7819900000004</v>
      </c>
      <c r="G429" s="484">
        <f>SUM(G430:G435)</f>
        <v>0</v>
      </c>
      <c r="H429" s="484">
        <f>SUM(H430:H435)</f>
        <v>1132.4957757004834</v>
      </c>
      <c r="I429" s="484">
        <f>SUM(I430:I435)</f>
        <v>0</v>
      </c>
      <c r="J429" s="1227" t="s">
        <v>390</v>
      </c>
      <c r="K429" s="1223" t="s">
        <v>129</v>
      </c>
    </row>
    <row r="430" spans="1:12">
      <c r="A430" s="1219"/>
      <c r="B430" s="1220"/>
      <c r="C430" s="1219"/>
      <c r="D430" s="226">
        <v>2021</v>
      </c>
      <c r="E430" s="484">
        <f t="shared" ref="E430:E435" si="32">SUM(F430:I430)</f>
        <v>6584.2777657004835</v>
      </c>
      <c r="F430" s="484">
        <v>5451.7819900000004</v>
      </c>
      <c r="G430" s="484">
        <v>0</v>
      </c>
      <c r="H430" s="484">
        <f>F430/82.8*17.2</f>
        <v>1132.4957757004834</v>
      </c>
      <c r="I430" s="484">
        <v>0</v>
      </c>
      <c r="J430" s="1228"/>
      <c r="K430" s="1223"/>
    </row>
    <row r="431" spans="1:12">
      <c r="A431" s="1219"/>
      <c r="B431" s="1220"/>
      <c r="C431" s="1219"/>
      <c r="D431" s="226">
        <v>2022</v>
      </c>
      <c r="E431" s="484">
        <f t="shared" si="32"/>
        <v>0</v>
      </c>
      <c r="F431" s="484">
        <v>0</v>
      </c>
      <c r="G431" s="484">
        <v>0</v>
      </c>
      <c r="H431" s="484">
        <v>0</v>
      </c>
      <c r="I431" s="484">
        <v>0</v>
      </c>
      <c r="J431" s="1228"/>
      <c r="K431" s="1223"/>
      <c r="L431" s="223" t="s">
        <v>387</v>
      </c>
    </row>
    <row r="432" spans="1:12">
      <c r="A432" s="1219"/>
      <c r="B432" s="1220"/>
      <c r="C432" s="1219"/>
      <c r="D432" s="226">
        <v>2023</v>
      </c>
      <c r="E432" s="484">
        <f t="shared" si="32"/>
        <v>0</v>
      </c>
      <c r="F432" s="484">
        <v>0</v>
      </c>
      <c r="G432" s="484">
        <v>0</v>
      </c>
      <c r="H432" s="484">
        <v>0</v>
      </c>
      <c r="I432" s="484">
        <v>0</v>
      </c>
      <c r="J432" s="1228"/>
      <c r="K432" s="1223"/>
    </row>
    <row r="433" spans="1:11">
      <c r="A433" s="1219"/>
      <c r="B433" s="1220"/>
      <c r="C433" s="1219"/>
      <c r="D433" s="226">
        <v>2024</v>
      </c>
      <c r="E433" s="484">
        <f t="shared" si="32"/>
        <v>0</v>
      </c>
      <c r="F433" s="484">
        <v>0</v>
      </c>
      <c r="G433" s="484">
        <v>0</v>
      </c>
      <c r="H433" s="484">
        <v>0</v>
      </c>
      <c r="I433" s="484">
        <v>0</v>
      </c>
      <c r="J433" s="1228"/>
      <c r="K433" s="1223"/>
    </row>
    <row r="434" spans="1:11">
      <c r="A434" s="1219"/>
      <c r="B434" s="1220"/>
      <c r="C434" s="1219"/>
      <c r="D434" s="226">
        <v>2025</v>
      </c>
      <c r="E434" s="484">
        <v>0</v>
      </c>
      <c r="F434" s="484">
        <v>0</v>
      </c>
      <c r="G434" s="484">
        <v>0</v>
      </c>
      <c r="H434" s="484">
        <v>0</v>
      </c>
      <c r="I434" s="484">
        <v>0</v>
      </c>
      <c r="J434" s="1228"/>
      <c r="K434" s="1223"/>
    </row>
    <row r="435" spans="1:11">
      <c r="A435" s="1219"/>
      <c r="B435" s="1220"/>
      <c r="C435" s="1219"/>
      <c r="D435" s="226">
        <v>2026</v>
      </c>
      <c r="E435" s="484">
        <f t="shared" si="32"/>
        <v>0</v>
      </c>
      <c r="F435" s="484">
        <v>0</v>
      </c>
      <c r="G435" s="484">
        <v>0</v>
      </c>
      <c r="H435" s="484">
        <v>0</v>
      </c>
      <c r="I435" s="484">
        <v>0</v>
      </c>
      <c r="J435" s="1229"/>
      <c r="K435" s="1223"/>
    </row>
    <row r="436" spans="1:11">
      <c r="A436" s="1219" t="s">
        <v>391</v>
      </c>
      <c r="B436" s="1220" t="s">
        <v>392</v>
      </c>
      <c r="C436" s="1219">
        <v>2021</v>
      </c>
      <c r="D436" s="226" t="s">
        <v>3</v>
      </c>
      <c r="E436" s="484">
        <f>SUM(E437:E442)</f>
        <v>42104.816920052421</v>
      </c>
      <c r="F436" s="484">
        <f>SUM(F437:F442)</f>
        <v>32125.975309999998</v>
      </c>
      <c r="G436" s="484">
        <f>SUM(G437:G442)</f>
        <v>0</v>
      </c>
      <c r="H436" s="484">
        <f>SUM(H437:H442)</f>
        <v>9978.8416100524246</v>
      </c>
      <c r="I436" s="484">
        <f>SUM(I437:I442)</f>
        <v>0</v>
      </c>
      <c r="J436" s="1222" t="s">
        <v>393</v>
      </c>
      <c r="K436" s="1223" t="s">
        <v>129</v>
      </c>
    </row>
    <row r="437" spans="1:11">
      <c r="A437" s="1219"/>
      <c r="B437" s="1220"/>
      <c r="C437" s="1219"/>
      <c r="D437" s="226">
        <v>2021</v>
      </c>
      <c r="E437" s="484">
        <f t="shared" ref="E437:E500" si="33">SUM(F437:I437)</f>
        <v>42104.816920052421</v>
      </c>
      <c r="F437" s="484">
        <f>32125975.31/1000</f>
        <v>32125.975309999998</v>
      </c>
      <c r="G437" s="484">
        <v>0</v>
      </c>
      <c r="H437" s="484">
        <f>F437/76.3*23.7</f>
        <v>9978.8416100524246</v>
      </c>
      <c r="I437" s="484">
        <v>0</v>
      </c>
      <c r="J437" s="1222"/>
      <c r="K437" s="1223"/>
    </row>
    <row r="438" spans="1:11">
      <c r="A438" s="1219"/>
      <c r="B438" s="1220"/>
      <c r="C438" s="1219"/>
      <c r="D438" s="226">
        <v>2022</v>
      </c>
      <c r="E438" s="484">
        <f t="shared" si="33"/>
        <v>0</v>
      </c>
      <c r="F438" s="484">
        <v>0</v>
      </c>
      <c r="G438" s="484">
        <v>0</v>
      </c>
      <c r="H438" s="484">
        <v>0</v>
      </c>
      <c r="I438" s="484">
        <v>0</v>
      </c>
      <c r="J438" s="1222"/>
      <c r="K438" s="1223"/>
    </row>
    <row r="439" spans="1:11">
      <c r="A439" s="1219"/>
      <c r="B439" s="1220"/>
      <c r="C439" s="1219"/>
      <c r="D439" s="226">
        <v>2023</v>
      </c>
      <c r="E439" s="484">
        <f t="shared" si="33"/>
        <v>0</v>
      </c>
      <c r="F439" s="484">
        <v>0</v>
      </c>
      <c r="G439" s="484">
        <v>0</v>
      </c>
      <c r="H439" s="484">
        <v>0</v>
      </c>
      <c r="I439" s="484">
        <v>0</v>
      </c>
      <c r="J439" s="1222"/>
      <c r="K439" s="1223"/>
    </row>
    <row r="440" spans="1:11">
      <c r="A440" s="1219"/>
      <c r="B440" s="1220"/>
      <c r="C440" s="1219"/>
      <c r="D440" s="226">
        <v>2024</v>
      </c>
      <c r="E440" s="484">
        <f t="shared" si="33"/>
        <v>0</v>
      </c>
      <c r="F440" s="484">
        <v>0</v>
      </c>
      <c r="G440" s="484">
        <v>0</v>
      </c>
      <c r="H440" s="484">
        <v>0</v>
      </c>
      <c r="I440" s="484">
        <v>0</v>
      </c>
      <c r="J440" s="1222"/>
      <c r="K440" s="1223"/>
    </row>
    <row r="441" spans="1:11">
      <c r="A441" s="1219"/>
      <c r="B441" s="1220"/>
      <c r="C441" s="1219"/>
      <c r="D441" s="226">
        <v>2025</v>
      </c>
      <c r="E441" s="484">
        <v>0</v>
      </c>
      <c r="F441" s="484">
        <v>0</v>
      </c>
      <c r="G441" s="484">
        <v>0</v>
      </c>
      <c r="H441" s="484">
        <v>0</v>
      </c>
      <c r="I441" s="484">
        <v>0</v>
      </c>
      <c r="J441" s="1222"/>
      <c r="K441" s="1223"/>
    </row>
    <row r="442" spans="1:11">
      <c r="A442" s="1219"/>
      <c r="B442" s="1220"/>
      <c r="C442" s="1219"/>
      <c r="D442" s="226">
        <v>2026</v>
      </c>
      <c r="E442" s="484">
        <f t="shared" si="33"/>
        <v>0</v>
      </c>
      <c r="F442" s="484">
        <v>0</v>
      </c>
      <c r="G442" s="484">
        <v>0</v>
      </c>
      <c r="H442" s="484">
        <v>0</v>
      </c>
      <c r="I442" s="484">
        <v>0</v>
      </c>
      <c r="J442" s="1222"/>
      <c r="K442" s="1223"/>
    </row>
    <row r="443" spans="1:11">
      <c r="A443" s="1219" t="s">
        <v>394</v>
      </c>
      <c r="B443" s="1220" t="s">
        <v>395</v>
      </c>
      <c r="C443" s="1219">
        <v>2021</v>
      </c>
      <c r="D443" s="226" t="s">
        <v>3</v>
      </c>
      <c r="E443" s="484">
        <f t="shared" si="33"/>
        <v>1505.5</v>
      </c>
      <c r="F443" s="484">
        <f>SUM(F444:F449)</f>
        <v>1505.5</v>
      </c>
      <c r="G443" s="484">
        <f>SUM(G444:G449)</f>
        <v>0</v>
      </c>
      <c r="H443" s="484">
        <f>SUM(H444:H449)</f>
        <v>0</v>
      </c>
      <c r="I443" s="484">
        <f>SUM(I444:I449)</f>
        <v>0</v>
      </c>
      <c r="J443" s="1222" t="s">
        <v>396</v>
      </c>
      <c r="K443" s="1223" t="s">
        <v>397</v>
      </c>
    </row>
    <row r="444" spans="1:11">
      <c r="A444" s="1219"/>
      <c r="B444" s="1220"/>
      <c r="C444" s="1219"/>
      <c r="D444" s="226">
        <v>2021</v>
      </c>
      <c r="E444" s="484">
        <f t="shared" si="33"/>
        <v>1505.5</v>
      </c>
      <c r="F444" s="484">
        <v>1505.5</v>
      </c>
      <c r="G444" s="484">
        <v>0</v>
      </c>
      <c r="H444" s="484">
        <v>0</v>
      </c>
      <c r="I444" s="484">
        <v>0</v>
      </c>
      <c r="J444" s="1222"/>
      <c r="K444" s="1223"/>
    </row>
    <row r="445" spans="1:11">
      <c r="A445" s="1219"/>
      <c r="B445" s="1220"/>
      <c r="C445" s="1219"/>
      <c r="D445" s="226">
        <v>2022</v>
      </c>
      <c r="E445" s="484">
        <f t="shared" si="33"/>
        <v>0</v>
      </c>
      <c r="F445" s="484">
        <v>0</v>
      </c>
      <c r="G445" s="484">
        <v>0</v>
      </c>
      <c r="H445" s="484">
        <v>0</v>
      </c>
      <c r="I445" s="484">
        <v>0</v>
      </c>
      <c r="J445" s="1222"/>
      <c r="K445" s="1223"/>
    </row>
    <row r="446" spans="1:11">
      <c r="A446" s="1219"/>
      <c r="B446" s="1220"/>
      <c r="C446" s="1219"/>
      <c r="D446" s="226">
        <v>2023</v>
      </c>
      <c r="E446" s="484">
        <f t="shared" si="33"/>
        <v>0</v>
      </c>
      <c r="F446" s="484">
        <v>0</v>
      </c>
      <c r="G446" s="484">
        <v>0</v>
      </c>
      <c r="H446" s="484">
        <v>0</v>
      </c>
      <c r="I446" s="484">
        <v>0</v>
      </c>
      <c r="J446" s="1222"/>
      <c r="K446" s="1223"/>
    </row>
    <row r="447" spans="1:11">
      <c r="A447" s="1219"/>
      <c r="B447" s="1220"/>
      <c r="C447" s="1219"/>
      <c r="D447" s="226">
        <v>2024</v>
      </c>
      <c r="E447" s="484">
        <f t="shared" si="33"/>
        <v>0</v>
      </c>
      <c r="F447" s="484">
        <v>0</v>
      </c>
      <c r="G447" s="484">
        <v>0</v>
      </c>
      <c r="H447" s="484">
        <v>0</v>
      </c>
      <c r="I447" s="484">
        <v>0</v>
      </c>
      <c r="J447" s="1222"/>
      <c r="K447" s="1223"/>
    </row>
    <row r="448" spans="1:11">
      <c r="A448" s="1219"/>
      <c r="B448" s="1220"/>
      <c r="C448" s="1219"/>
      <c r="D448" s="226">
        <v>2025</v>
      </c>
      <c r="E448" s="484">
        <v>0</v>
      </c>
      <c r="F448" s="484">
        <v>0</v>
      </c>
      <c r="G448" s="484">
        <v>0</v>
      </c>
      <c r="H448" s="484">
        <v>0</v>
      </c>
      <c r="I448" s="484">
        <v>0</v>
      </c>
      <c r="J448" s="1222"/>
      <c r="K448" s="1223"/>
    </row>
    <row r="449" spans="1:12">
      <c r="A449" s="1219"/>
      <c r="B449" s="1220"/>
      <c r="C449" s="1219"/>
      <c r="D449" s="226">
        <v>2026</v>
      </c>
      <c r="E449" s="484">
        <f t="shared" si="33"/>
        <v>0</v>
      </c>
      <c r="F449" s="484">
        <v>0</v>
      </c>
      <c r="G449" s="484">
        <v>0</v>
      </c>
      <c r="H449" s="484">
        <v>0</v>
      </c>
      <c r="I449" s="484">
        <v>0</v>
      </c>
      <c r="J449" s="1222"/>
      <c r="K449" s="1223"/>
    </row>
    <row r="450" spans="1:12">
      <c r="A450" s="1219" t="s">
        <v>398</v>
      </c>
      <c r="B450" s="1220" t="s">
        <v>399</v>
      </c>
      <c r="C450" s="1219">
        <v>2021</v>
      </c>
      <c r="D450" s="226" t="s">
        <v>3</v>
      </c>
      <c r="E450" s="484">
        <f t="shared" si="33"/>
        <v>0</v>
      </c>
      <c r="F450" s="484">
        <f>SUM(F451:F456)</f>
        <v>0</v>
      </c>
      <c r="G450" s="484">
        <f>SUM(G451:G456)</f>
        <v>0</v>
      </c>
      <c r="H450" s="484">
        <f>SUM(H451:H456)</f>
        <v>0</v>
      </c>
      <c r="I450" s="484">
        <f>SUM(I451:I456)</f>
        <v>0</v>
      </c>
      <c r="J450" s="1222" t="s">
        <v>400</v>
      </c>
      <c r="K450" s="1223" t="s">
        <v>92</v>
      </c>
      <c r="L450" s="223" t="s">
        <v>401</v>
      </c>
    </row>
    <row r="451" spans="1:12">
      <c r="A451" s="1219"/>
      <c r="B451" s="1220"/>
      <c r="C451" s="1219"/>
      <c r="D451" s="226">
        <v>2021</v>
      </c>
      <c r="E451" s="484">
        <f t="shared" si="33"/>
        <v>0</v>
      </c>
      <c r="F451" s="484">
        <v>0</v>
      </c>
      <c r="G451" s="484">
        <v>0</v>
      </c>
      <c r="H451" s="484">
        <v>0</v>
      </c>
      <c r="I451" s="484">
        <v>0</v>
      </c>
      <c r="J451" s="1222"/>
      <c r="K451" s="1223"/>
    </row>
    <row r="452" spans="1:12">
      <c r="A452" s="1219"/>
      <c r="B452" s="1220"/>
      <c r="C452" s="1219"/>
      <c r="D452" s="226">
        <v>2022</v>
      </c>
      <c r="E452" s="484">
        <f t="shared" si="33"/>
        <v>0</v>
      </c>
      <c r="F452" s="484">
        <v>0</v>
      </c>
      <c r="G452" s="484">
        <v>0</v>
      </c>
      <c r="H452" s="484">
        <v>0</v>
      </c>
      <c r="I452" s="484">
        <v>0</v>
      </c>
      <c r="J452" s="1222"/>
      <c r="K452" s="1223"/>
    </row>
    <row r="453" spans="1:12">
      <c r="A453" s="1219"/>
      <c r="B453" s="1220"/>
      <c r="C453" s="1219"/>
      <c r="D453" s="226">
        <v>2023</v>
      </c>
      <c r="E453" s="484">
        <f t="shared" si="33"/>
        <v>0</v>
      </c>
      <c r="F453" s="484">
        <v>0</v>
      </c>
      <c r="G453" s="484">
        <v>0</v>
      </c>
      <c r="H453" s="484">
        <v>0</v>
      </c>
      <c r="I453" s="484">
        <v>0</v>
      </c>
      <c r="J453" s="1222"/>
      <c r="K453" s="1223"/>
    </row>
    <row r="454" spans="1:12">
      <c r="A454" s="1219"/>
      <c r="B454" s="1220"/>
      <c r="C454" s="1219"/>
      <c r="D454" s="226">
        <v>2024</v>
      </c>
      <c r="E454" s="484">
        <f t="shared" si="33"/>
        <v>0</v>
      </c>
      <c r="F454" s="484">
        <v>0</v>
      </c>
      <c r="G454" s="484">
        <v>0</v>
      </c>
      <c r="H454" s="484">
        <v>0</v>
      </c>
      <c r="I454" s="484">
        <v>0</v>
      </c>
      <c r="J454" s="1222"/>
      <c r="K454" s="1223"/>
    </row>
    <row r="455" spans="1:12">
      <c r="A455" s="1219"/>
      <c r="B455" s="1220"/>
      <c r="C455" s="1219"/>
      <c r="D455" s="226">
        <v>2025</v>
      </c>
      <c r="E455" s="484">
        <v>0</v>
      </c>
      <c r="F455" s="484">
        <v>0</v>
      </c>
      <c r="G455" s="484">
        <v>0</v>
      </c>
      <c r="H455" s="484">
        <v>0</v>
      </c>
      <c r="I455" s="484">
        <v>0</v>
      </c>
      <c r="J455" s="1222"/>
      <c r="K455" s="1223"/>
    </row>
    <row r="456" spans="1:12">
      <c r="A456" s="1219"/>
      <c r="B456" s="1220"/>
      <c r="C456" s="1219"/>
      <c r="D456" s="226">
        <v>2026</v>
      </c>
      <c r="E456" s="484">
        <f t="shared" si="33"/>
        <v>0</v>
      </c>
      <c r="F456" s="484">
        <v>0</v>
      </c>
      <c r="G456" s="484">
        <v>0</v>
      </c>
      <c r="H456" s="484">
        <v>0</v>
      </c>
      <c r="I456" s="484">
        <v>0</v>
      </c>
      <c r="J456" s="1222"/>
      <c r="K456" s="1223"/>
    </row>
    <row r="457" spans="1:12">
      <c r="A457" s="1219" t="s">
        <v>402</v>
      </c>
      <c r="B457" s="1220" t="s">
        <v>403</v>
      </c>
      <c r="C457" s="1219" t="s">
        <v>389</v>
      </c>
      <c r="D457" s="226" t="s">
        <v>3</v>
      </c>
      <c r="E457" s="484">
        <f t="shared" si="33"/>
        <v>131225.81</v>
      </c>
      <c r="F457" s="484">
        <f>SUM(F458:F463)</f>
        <v>98555.157500000001</v>
      </c>
      <c r="G457" s="484">
        <f>SUM(G458:G463)</f>
        <v>0</v>
      </c>
      <c r="H457" s="484">
        <f>SUM(H458:H463)</f>
        <v>32670.652500000004</v>
      </c>
      <c r="I457" s="484">
        <f>SUM(I458:I463)</f>
        <v>0</v>
      </c>
      <c r="J457" s="1222" t="s">
        <v>404</v>
      </c>
      <c r="K457" s="1223" t="s">
        <v>129</v>
      </c>
    </row>
    <row r="458" spans="1:12">
      <c r="A458" s="1219"/>
      <c r="B458" s="1220"/>
      <c r="C458" s="1219"/>
      <c r="D458" s="226">
        <v>2021</v>
      </c>
      <c r="E458" s="484">
        <f t="shared" si="33"/>
        <v>10446.799999999999</v>
      </c>
      <c r="F458" s="484">
        <v>7970.9</v>
      </c>
      <c r="G458" s="484">
        <v>0</v>
      </c>
      <c r="H458" s="484">
        <v>2475.9</v>
      </c>
      <c r="I458" s="484">
        <v>0</v>
      </c>
      <c r="J458" s="1222"/>
      <c r="K458" s="1223"/>
    </row>
    <row r="459" spans="1:12">
      <c r="A459" s="1219"/>
      <c r="B459" s="1220"/>
      <c r="C459" s="1219"/>
      <c r="D459" s="226">
        <v>2022</v>
      </c>
      <c r="E459" s="484">
        <f t="shared" si="33"/>
        <v>108779.01000000001</v>
      </c>
      <c r="F459" s="484">
        <v>81584.257500000007</v>
      </c>
      <c r="G459" s="484">
        <v>0</v>
      </c>
      <c r="H459" s="484">
        <f>F459/75*25</f>
        <v>27194.752500000002</v>
      </c>
      <c r="I459" s="484">
        <v>0</v>
      </c>
      <c r="J459" s="1222"/>
      <c r="K459" s="1223"/>
    </row>
    <row r="460" spans="1:12">
      <c r="A460" s="1219"/>
      <c r="B460" s="1220"/>
      <c r="C460" s="1219"/>
      <c r="D460" s="226">
        <v>2023</v>
      </c>
      <c r="E460" s="484">
        <f t="shared" si="33"/>
        <v>12000</v>
      </c>
      <c r="F460" s="484">
        <v>9000</v>
      </c>
      <c r="G460" s="484">
        <v>0</v>
      </c>
      <c r="H460" s="484">
        <v>3000</v>
      </c>
      <c r="I460" s="484">
        <v>0</v>
      </c>
      <c r="J460" s="1222"/>
      <c r="K460" s="1223"/>
    </row>
    <row r="461" spans="1:12">
      <c r="A461" s="1219"/>
      <c r="B461" s="1220"/>
      <c r="C461" s="1219"/>
      <c r="D461" s="226">
        <v>2024</v>
      </c>
      <c r="E461" s="484">
        <f t="shared" si="33"/>
        <v>0</v>
      </c>
      <c r="F461" s="484">
        <v>0</v>
      </c>
      <c r="G461" s="484">
        <v>0</v>
      </c>
      <c r="H461" s="484">
        <v>0</v>
      </c>
      <c r="I461" s="484">
        <v>0</v>
      </c>
      <c r="J461" s="1222"/>
      <c r="K461" s="1223"/>
    </row>
    <row r="462" spans="1:12">
      <c r="A462" s="1219"/>
      <c r="B462" s="1220"/>
      <c r="C462" s="1219"/>
      <c r="D462" s="226">
        <v>2025</v>
      </c>
      <c r="E462" s="484">
        <v>0</v>
      </c>
      <c r="F462" s="484">
        <v>0</v>
      </c>
      <c r="G462" s="484">
        <v>0</v>
      </c>
      <c r="H462" s="484">
        <v>0</v>
      </c>
      <c r="I462" s="484">
        <v>0</v>
      </c>
      <c r="J462" s="1222"/>
      <c r="K462" s="1223"/>
    </row>
    <row r="463" spans="1:12">
      <c r="A463" s="1219"/>
      <c r="B463" s="1220"/>
      <c r="C463" s="1219"/>
      <c r="D463" s="226">
        <v>2026</v>
      </c>
      <c r="E463" s="484">
        <f t="shared" si="33"/>
        <v>0</v>
      </c>
      <c r="F463" s="484">
        <v>0</v>
      </c>
      <c r="G463" s="484">
        <v>0</v>
      </c>
      <c r="H463" s="484">
        <v>0</v>
      </c>
      <c r="I463" s="484">
        <v>0</v>
      </c>
      <c r="J463" s="1222"/>
      <c r="K463" s="1223"/>
    </row>
    <row r="464" spans="1:12">
      <c r="A464" s="1219" t="s">
        <v>405</v>
      </c>
      <c r="B464" s="1220" t="s">
        <v>406</v>
      </c>
      <c r="C464" s="1219">
        <v>2021</v>
      </c>
      <c r="D464" s="226" t="s">
        <v>3</v>
      </c>
      <c r="E464" s="484">
        <f t="shared" si="33"/>
        <v>8935.1</v>
      </c>
      <c r="F464" s="484">
        <f>SUM(F465:F470)</f>
        <v>8935.1</v>
      </c>
      <c r="G464" s="484">
        <f>SUM(G465:G470)</f>
        <v>0</v>
      </c>
      <c r="H464" s="484">
        <f>SUM(H465:H470)</f>
        <v>0</v>
      </c>
      <c r="I464" s="484">
        <f>SUM(I465:I470)</f>
        <v>0</v>
      </c>
      <c r="J464" s="1222" t="s">
        <v>407</v>
      </c>
      <c r="K464" s="1223" t="s">
        <v>142</v>
      </c>
      <c r="L464" s="1233" t="s">
        <v>408</v>
      </c>
    </row>
    <row r="465" spans="1:12">
      <c r="A465" s="1219"/>
      <c r="B465" s="1220"/>
      <c r="C465" s="1219"/>
      <c r="D465" s="226">
        <v>2021</v>
      </c>
      <c r="E465" s="484">
        <f t="shared" si="33"/>
        <v>8935.1</v>
      </c>
      <c r="F465" s="484">
        <v>8935.1</v>
      </c>
      <c r="G465" s="484">
        <v>0</v>
      </c>
      <c r="H465" s="484">
        <v>0</v>
      </c>
      <c r="I465" s="484">
        <v>0</v>
      </c>
      <c r="J465" s="1222"/>
      <c r="K465" s="1223"/>
      <c r="L465" s="1233"/>
    </row>
    <row r="466" spans="1:12">
      <c r="A466" s="1219"/>
      <c r="B466" s="1220"/>
      <c r="C466" s="1219"/>
      <c r="D466" s="226">
        <v>2022</v>
      </c>
      <c r="E466" s="484">
        <f t="shared" si="33"/>
        <v>0</v>
      </c>
      <c r="F466" s="484">
        <v>0</v>
      </c>
      <c r="G466" s="484">
        <v>0</v>
      </c>
      <c r="H466" s="484">
        <v>0</v>
      </c>
      <c r="I466" s="484">
        <v>0</v>
      </c>
      <c r="J466" s="1222"/>
      <c r="K466" s="1223"/>
      <c r="L466" s="1233"/>
    </row>
    <row r="467" spans="1:12">
      <c r="A467" s="1219"/>
      <c r="B467" s="1220"/>
      <c r="C467" s="1219"/>
      <c r="D467" s="226">
        <v>2023</v>
      </c>
      <c r="E467" s="484">
        <f t="shared" si="33"/>
        <v>0</v>
      </c>
      <c r="F467" s="484">
        <v>0</v>
      </c>
      <c r="G467" s="484">
        <v>0</v>
      </c>
      <c r="H467" s="484">
        <v>0</v>
      </c>
      <c r="I467" s="484">
        <v>0</v>
      </c>
      <c r="J467" s="1222"/>
      <c r="K467" s="1223"/>
      <c r="L467" s="1233"/>
    </row>
    <row r="468" spans="1:12">
      <c r="A468" s="1219"/>
      <c r="B468" s="1220"/>
      <c r="C468" s="1219"/>
      <c r="D468" s="226">
        <v>2024</v>
      </c>
      <c r="E468" s="484">
        <f t="shared" si="33"/>
        <v>0</v>
      </c>
      <c r="F468" s="484">
        <v>0</v>
      </c>
      <c r="G468" s="484">
        <v>0</v>
      </c>
      <c r="H468" s="484">
        <v>0</v>
      </c>
      <c r="I468" s="484">
        <v>0</v>
      </c>
      <c r="J468" s="1222"/>
      <c r="K468" s="1223"/>
      <c r="L468" s="1233"/>
    </row>
    <row r="469" spans="1:12">
      <c r="A469" s="1219"/>
      <c r="B469" s="1220"/>
      <c r="C469" s="1219"/>
      <c r="D469" s="226">
        <v>2025</v>
      </c>
      <c r="E469" s="484">
        <v>0</v>
      </c>
      <c r="F469" s="484">
        <v>0</v>
      </c>
      <c r="G469" s="484">
        <v>0</v>
      </c>
      <c r="H469" s="484">
        <v>0</v>
      </c>
      <c r="I469" s="484">
        <v>0</v>
      </c>
      <c r="J469" s="1222"/>
      <c r="K469" s="1223"/>
      <c r="L469" s="1233"/>
    </row>
    <row r="470" spans="1:12">
      <c r="A470" s="1219"/>
      <c r="B470" s="1220"/>
      <c r="C470" s="1219"/>
      <c r="D470" s="226">
        <v>2026</v>
      </c>
      <c r="E470" s="484">
        <f t="shared" si="33"/>
        <v>0</v>
      </c>
      <c r="F470" s="484">
        <v>0</v>
      </c>
      <c r="G470" s="484">
        <v>0</v>
      </c>
      <c r="H470" s="484">
        <v>0</v>
      </c>
      <c r="I470" s="484">
        <v>0</v>
      </c>
      <c r="J470" s="1222"/>
      <c r="K470" s="1223"/>
      <c r="L470" s="1233"/>
    </row>
    <row r="471" spans="1:12">
      <c r="A471" s="1219" t="s">
        <v>409</v>
      </c>
      <c r="B471" s="1220" t="s">
        <v>410</v>
      </c>
      <c r="C471" s="1219">
        <v>2022</v>
      </c>
      <c r="D471" s="226" t="s">
        <v>3</v>
      </c>
      <c r="E471" s="484">
        <f t="shared" si="33"/>
        <v>0</v>
      </c>
      <c r="F471" s="484">
        <f>SUM(F472:F477)</f>
        <v>0</v>
      </c>
      <c r="G471" s="484">
        <f>SUM(G472:G477)</f>
        <v>0</v>
      </c>
      <c r="H471" s="484">
        <f>SUM(H472:H477)</f>
        <v>0</v>
      </c>
      <c r="I471" s="484">
        <f>SUM(I472:I477)</f>
        <v>0</v>
      </c>
      <c r="J471" s="1222" t="s">
        <v>411</v>
      </c>
      <c r="K471" s="1223" t="s">
        <v>129</v>
      </c>
      <c r="L471" s="1233" t="s">
        <v>412</v>
      </c>
    </row>
    <row r="472" spans="1:12">
      <c r="A472" s="1219"/>
      <c r="B472" s="1220"/>
      <c r="C472" s="1219"/>
      <c r="D472" s="226">
        <v>2021</v>
      </c>
      <c r="E472" s="484">
        <f t="shared" si="33"/>
        <v>0</v>
      </c>
      <c r="F472" s="484">
        <v>0</v>
      </c>
      <c r="G472" s="484">
        <v>0</v>
      </c>
      <c r="H472" s="484">
        <v>0</v>
      </c>
      <c r="I472" s="484">
        <v>0</v>
      </c>
      <c r="J472" s="1222"/>
      <c r="K472" s="1223"/>
      <c r="L472" s="1233"/>
    </row>
    <row r="473" spans="1:12">
      <c r="A473" s="1219"/>
      <c r="B473" s="1220"/>
      <c r="C473" s="1219"/>
      <c r="D473" s="226">
        <v>2022</v>
      </c>
      <c r="E473" s="484">
        <f t="shared" si="33"/>
        <v>0</v>
      </c>
      <c r="F473" s="484">
        <v>0</v>
      </c>
      <c r="G473" s="484">
        <v>0</v>
      </c>
      <c r="H473" s="484">
        <v>0</v>
      </c>
      <c r="I473" s="484">
        <v>0</v>
      </c>
      <c r="J473" s="1222"/>
      <c r="K473" s="1223"/>
      <c r="L473" s="1233"/>
    </row>
    <row r="474" spans="1:12">
      <c r="A474" s="1219"/>
      <c r="B474" s="1220"/>
      <c r="C474" s="1219"/>
      <c r="D474" s="226">
        <v>2023</v>
      </c>
      <c r="E474" s="484">
        <f t="shared" si="33"/>
        <v>0</v>
      </c>
      <c r="F474" s="484">
        <v>0</v>
      </c>
      <c r="G474" s="484">
        <v>0</v>
      </c>
      <c r="H474" s="484">
        <v>0</v>
      </c>
      <c r="I474" s="484">
        <v>0</v>
      </c>
      <c r="J474" s="1222"/>
      <c r="K474" s="1223"/>
      <c r="L474" s="1233"/>
    </row>
    <row r="475" spans="1:12">
      <c r="A475" s="1219"/>
      <c r="B475" s="1220"/>
      <c r="C475" s="1219"/>
      <c r="D475" s="226">
        <v>2024</v>
      </c>
      <c r="E475" s="484">
        <f t="shared" si="33"/>
        <v>0</v>
      </c>
      <c r="F475" s="484">
        <v>0</v>
      </c>
      <c r="G475" s="484">
        <v>0</v>
      </c>
      <c r="H475" s="484">
        <v>0</v>
      </c>
      <c r="I475" s="484">
        <v>0</v>
      </c>
      <c r="J475" s="1222"/>
      <c r="K475" s="1223"/>
      <c r="L475" s="1233"/>
    </row>
    <row r="476" spans="1:12">
      <c r="A476" s="1219"/>
      <c r="B476" s="1220"/>
      <c r="C476" s="1219"/>
      <c r="D476" s="226">
        <v>2025</v>
      </c>
      <c r="E476" s="484">
        <v>0</v>
      </c>
      <c r="F476" s="484">
        <v>0</v>
      </c>
      <c r="G476" s="484">
        <v>0</v>
      </c>
      <c r="H476" s="484">
        <v>0</v>
      </c>
      <c r="I476" s="484">
        <v>0</v>
      </c>
      <c r="J476" s="1222"/>
      <c r="K476" s="1223"/>
      <c r="L476" s="1233"/>
    </row>
    <row r="477" spans="1:12">
      <c r="A477" s="1219"/>
      <c r="B477" s="1220"/>
      <c r="C477" s="1219"/>
      <c r="D477" s="226">
        <v>2026</v>
      </c>
      <c r="E477" s="484">
        <f t="shared" si="33"/>
        <v>0</v>
      </c>
      <c r="F477" s="484">
        <v>0</v>
      </c>
      <c r="G477" s="484">
        <v>0</v>
      </c>
      <c r="H477" s="484">
        <v>0</v>
      </c>
      <c r="I477" s="484">
        <v>0</v>
      </c>
      <c r="J477" s="1222"/>
      <c r="K477" s="1223"/>
      <c r="L477" s="1233"/>
    </row>
    <row r="478" spans="1:12">
      <c r="A478" s="1219" t="s">
        <v>413</v>
      </c>
      <c r="B478" s="1220" t="s">
        <v>414</v>
      </c>
      <c r="C478" s="1219">
        <v>2023</v>
      </c>
      <c r="D478" s="226" t="s">
        <v>3</v>
      </c>
      <c r="E478" s="484">
        <f t="shared" si="33"/>
        <v>0</v>
      </c>
      <c r="F478" s="484">
        <f>SUM(F479:F484)</f>
        <v>0</v>
      </c>
      <c r="G478" s="484">
        <f>SUM(G479:G484)</f>
        <v>0</v>
      </c>
      <c r="H478" s="484">
        <f>SUM(H479:H484)</f>
        <v>0</v>
      </c>
      <c r="I478" s="484">
        <f>SUM(I479:I484)</f>
        <v>0</v>
      </c>
      <c r="J478" s="1222" t="s">
        <v>415</v>
      </c>
      <c r="K478" s="1223" t="s">
        <v>416</v>
      </c>
      <c r="L478" s="1233" t="s">
        <v>412</v>
      </c>
    </row>
    <row r="479" spans="1:12">
      <c r="A479" s="1219"/>
      <c r="B479" s="1220"/>
      <c r="C479" s="1219"/>
      <c r="D479" s="226">
        <v>2021</v>
      </c>
      <c r="E479" s="484">
        <f t="shared" si="33"/>
        <v>0</v>
      </c>
      <c r="F479" s="484">
        <v>0</v>
      </c>
      <c r="G479" s="484">
        <v>0</v>
      </c>
      <c r="H479" s="484">
        <v>0</v>
      </c>
      <c r="I479" s="484">
        <v>0</v>
      </c>
      <c r="J479" s="1222"/>
      <c r="K479" s="1223"/>
      <c r="L479" s="1233"/>
    </row>
    <row r="480" spans="1:12">
      <c r="A480" s="1219"/>
      <c r="B480" s="1220"/>
      <c r="C480" s="1219"/>
      <c r="D480" s="226">
        <v>2022</v>
      </c>
      <c r="E480" s="484">
        <f t="shared" si="33"/>
        <v>0</v>
      </c>
      <c r="F480" s="484">
        <v>0</v>
      </c>
      <c r="G480" s="484">
        <v>0</v>
      </c>
      <c r="H480" s="484">
        <v>0</v>
      </c>
      <c r="I480" s="484">
        <v>0</v>
      </c>
      <c r="J480" s="1222"/>
      <c r="K480" s="1223"/>
      <c r="L480" s="1233"/>
    </row>
    <row r="481" spans="1:12">
      <c r="A481" s="1219"/>
      <c r="B481" s="1220"/>
      <c r="C481" s="1219"/>
      <c r="D481" s="226">
        <v>2023</v>
      </c>
      <c r="E481" s="484">
        <f t="shared" si="33"/>
        <v>0</v>
      </c>
      <c r="F481" s="484">
        <v>0</v>
      </c>
      <c r="G481" s="484">
        <v>0</v>
      </c>
      <c r="H481" s="484">
        <v>0</v>
      </c>
      <c r="I481" s="484">
        <v>0</v>
      </c>
      <c r="J481" s="1222"/>
      <c r="K481" s="1223"/>
      <c r="L481" s="1233"/>
    </row>
    <row r="482" spans="1:12">
      <c r="A482" s="1219"/>
      <c r="B482" s="1220"/>
      <c r="C482" s="1219"/>
      <c r="D482" s="226">
        <v>2024</v>
      </c>
      <c r="E482" s="484">
        <f t="shared" si="33"/>
        <v>0</v>
      </c>
      <c r="F482" s="484">
        <v>0</v>
      </c>
      <c r="G482" s="484">
        <v>0</v>
      </c>
      <c r="H482" s="484">
        <v>0</v>
      </c>
      <c r="I482" s="484">
        <v>0</v>
      </c>
      <c r="J482" s="1222"/>
      <c r="K482" s="1223"/>
      <c r="L482" s="1233"/>
    </row>
    <row r="483" spans="1:12">
      <c r="A483" s="1219"/>
      <c r="B483" s="1220"/>
      <c r="C483" s="1219"/>
      <c r="D483" s="226">
        <v>2025</v>
      </c>
      <c r="E483" s="484">
        <v>0</v>
      </c>
      <c r="F483" s="484">
        <v>0</v>
      </c>
      <c r="G483" s="484">
        <v>0</v>
      </c>
      <c r="H483" s="484">
        <v>0</v>
      </c>
      <c r="I483" s="484">
        <v>0</v>
      </c>
      <c r="J483" s="1222"/>
      <c r="K483" s="1223"/>
      <c r="L483" s="1233"/>
    </row>
    <row r="484" spans="1:12">
      <c r="A484" s="1219"/>
      <c r="B484" s="1220"/>
      <c r="C484" s="1219"/>
      <c r="D484" s="226">
        <v>2026</v>
      </c>
      <c r="E484" s="484">
        <f t="shared" si="33"/>
        <v>0</v>
      </c>
      <c r="F484" s="484">
        <v>0</v>
      </c>
      <c r="G484" s="484">
        <v>0</v>
      </c>
      <c r="H484" s="484">
        <v>0</v>
      </c>
      <c r="I484" s="484">
        <v>0</v>
      </c>
      <c r="J484" s="1222"/>
      <c r="K484" s="1223"/>
      <c r="L484" s="1233"/>
    </row>
    <row r="485" spans="1:12">
      <c r="A485" s="1219" t="s">
        <v>417</v>
      </c>
      <c r="B485" s="1220" t="s">
        <v>418</v>
      </c>
      <c r="C485" s="1219">
        <v>2022</v>
      </c>
      <c r="D485" s="226" t="s">
        <v>3</v>
      </c>
      <c r="E485" s="484">
        <f t="shared" si="33"/>
        <v>0</v>
      </c>
      <c r="F485" s="484">
        <f>SUM(F486:F491)</f>
        <v>0</v>
      </c>
      <c r="G485" s="484">
        <f>SUM(G486:G491)</f>
        <v>0</v>
      </c>
      <c r="H485" s="484">
        <f>SUM(H486:H491)</f>
        <v>0</v>
      </c>
      <c r="I485" s="484">
        <f>SUM(I486:I491)</f>
        <v>0</v>
      </c>
      <c r="J485" s="1222" t="s">
        <v>419</v>
      </c>
      <c r="K485" s="1223" t="s">
        <v>420</v>
      </c>
    </row>
    <row r="486" spans="1:12">
      <c r="A486" s="1219"/>
      <c r="B486" s="1220"/>
      <c r="C486" s="1219"/>
      <c r="D486" s="226">
        <v>2021</v>
      </c>
      <c r="E486" s="484">
        <f t="shared" si="33"/>
        <v>0</v>
      </c>
      <c r="F486" s="484">
        <v>0</v>
      </c>
      <c r="G486" s="484">
        <v>0</v>
      </c>
      <c r="H486" s="484">
        <v>0</v>
      </c>
      <c r="I486" s="484">
        <v>0</v>
      </c>
      <c r="J486" s="1222"/>
      <c r="K486" s="1223"/>
    </row>
    <row r="487" spans="1:12">
      <c r="A487" s="1219"/>
      <c r="B487" s="1220"/>
      <c r="C487" s="1219"/>
      <c r="D487" s="226">
        <v>2022</v>
      </c>
      <c r="E487" s="484">
        <f t="shared" si="33"/>
        <v>0</v>
      </c>
      <c r="F487" s="484">
        <f>6000-6000</f>
        <v>0</v>
      </c>
      <c r="G487" s="484">
        <v>0</v>
      </c>
      <c r="H487" s="484">
        <v>0</v>
      </c>
      <c r="I487" s="484">
        <v>0</v>
      </c>
      <c r="J487" s="1222"/>
      <c r="K487" s="1223"/>
    </row>
    <row r="488" spans="1:12">
      <c r="A488" s="1219"/>
      <c r="B488" s="1220"/>
      <c r="C488" s="1219"/>
      <c r="D488" s="226">
        <v>2023</v>
      </c>
      <c r="E488" s="484">
        <f t="shared" si="33"/>
        <v>0</v>
      </c>
      <c r="F488" s="484">
        <v>0</v>
      </c>
      <c r="G488" s="484">
        <v>0</v>
      </c>
      <c r="H488" s="484">
        <v>0</v>
      </c>
      <c r="I488" s="484">
        <v>0</v>
      </c>
      <c r="J488" s="1222"/>
      <c r="K488" s="1223"/>
    </row>
    <row r="489" spans="1:12">
      <c r="A489" s="1219"/>
      <c r="B489" s="1220"/>
      <c r="C489" s="1219"/>
      <c r="D489" s="226">
        <v>2024</v>
      </c>
      <c r="E489" s="484">
        <f t="shared" si="33"/>
        <v>0</v>
      </c>
      <c r="F489" s="484">
        <v>0</v>
      </c>
      <c r="G489" s="484">
        <v>0</v>
      </c>
      <c r="H489" s="484">
        <v>0</v>
      </c>
      <c r="I489" s="484">
        <v>0</v>
      </c>
      <c r="J489" s="1222"/>
      <c r="K489" s="1223"/>
    </row>
    <row r="490" spans="1:12">
      <c r="A490" s="1219"/>
      <c r="B490" s="1220"/>
      <c r="C490" s="1219"/>
      <c r="D490" s="226">
        <v>2025</v>
      </c>
      <c r="E490" s="484">
        <v>0</v>
      </c>
      <c r="F490" s="484">
        <v>0</v>
      </c>
      <c r="G490" s="484">
        <v>0</v>
      </c>
      <c r="H490" s="484">
        <v>0</v>
      </c>
      <c r="I490" s="484">
        <v>0</v>
      </c>
      <c r="J490" s="1222"/>
      <c r="K490" s="1223"/>
    </row>
    <row r="491" spans="1:12">
      <c r="A491" s="1219"/>
      <c r="B491" s="1220"/>
      <c r="C491" s="1219"/>
      <c r="D491" s="226">
        <v>2026</v>
      </c>
      <c r="E491" s="484">
        <f t="shared" si="33"/>
        <v>0</v>
      </c>
      <c r="F491" s="484">
        <v>0</v>
      </c>
      <c r="G491" s="484">
        <v>0</v>
      </c>
      <c r="H491" s="484">
        <v>0</v>
      </c>
      <c r="I491" s="484">
        <v>0</v>
      </c>
      <c r="J491" s="1222"/>
      <c r="K491" s="1223"/>
    </row>
    <row r="492" spans="1:12">
      <c r="A492" s="1219" t="s">
        <v>421</v>
      </c>
      <c r="B492" s="1220" t="s">
        <v>422</v>
      </c>
      <c r="C492" s="1219">
        <v>2022</v>
      </c>
      <c r="D492" s="226" t="s">
        <v>3</v>
      </c>
      <c r="E492" s="484">
        <f t="shared" si="33"/>
        <v>5000</v>
      </c>
      <c r="F492" s="484">
        <f>SUM(F493:F498)</f>
        <v>4750</v>
      </c>
      <c r="G492" s="484">
        <f>SUM(G493:G498)</f>
        <v>0</v>
      </c>
      <c r="H492" s="484">
        <f>SUM(H493:H498)</f>
        <v>250</v>
      </c>
      <c r="I492" s="484">
        <f>SUM(I493:I498)</f>
        <v>0</v>
      </c>
      <c r="J492" s="1222" t="s">
        <v>423</v>
      </c>
      <c r="K492" s="1223" t="s">
        <v>129</v>
      </c>
    </row>
    <row r="493" spans="1:12">
      <c r="A493" s="1219"/>
      <c r="B493" s="1220"/>
      <c r="C493" s="1219"/>
      <c r="D493" s="226">
        <v>2021</v>
      </c>
      <c r="E493" s="484">
        <f t="shared" si="33"/>
        <v>0</v>
      </c>
      <c r="F493" s="484">
        <v>0</v>
      </c>
      <c r="G493" s="484">
        <v>0</v>
      </c>
      <c r="H493" s="484">
        <v>0</v>
      </c>
      <c r="I493" s="484">
        <v>0</v>
      </c>
      <c r="J493" s="1222"/>
      <c r="K493" s="1223"/>
    </row>
    <row r="494" spans="1:12">
      <c r="A494" s="1219"/>
      <c r="B494" s="1220"/>
      <c r="C494" s="1219"/>
      <c r="D494" s="226">
        <v>2022</v>
      </c>
      <c r="E494" s="484">
        <f t="shared" si="33"/>
        <v>5000</v>
      </c>
      <c r="F494" s="484">
        <f>4750000/1000</f>
        <v>4750</v>
      </c>
      <c r="G494" s="484">
        <v>0</v>
      </c>
      <c r="H494" s="484">
        <f>F494*5%/95%</f>
        <v>250</v>
      </c>
      <c r="I494" s="484">
        <v>0</v>
      </c>
      <c r="J494" s="1222"/>
      <c r="K494" s="1223"/>
    </row>
    <row r="495" spans="1:12">
      <c r="A495" s="1219"/>
      <c r="B495" s="1220"/>
      <c r="C495" s="1219"/>
      <c r="D495" s="226">
        <v>2023</v>
      </c>
      <c r="E495" s="484">
        <f t="shared" si="33"/>
        <v>0</v>
      </c>
      <c r="F495" s="484">
        <v>0</v>
      </c>
      <c r="G495" s="484">
        <v>0</v>
      </c>
      <c r="H495" s="484">
        <v>0</v>
      </c>
      <c r="I495" s="484">
        <v>0</v>
      </c>
      <c r="J495" s="1222"/>
      <c r="K495" s="1223"/>
    </row>
    <row r="496" spans="1:12">
      <c r="A496" s="1219"/>
      <c r="B496" s="1220"/>
      <c r="C496" s="1219"/>
      <c r="D496" s="226">
        <v>2024</v>
      </c>
      <c r="E496" s="484">
        <f t="shared" si="33"/>
        <v>0</v>
      </c>
      <c r="F496" s="484">
        <v>0</v>
      </c>
      <c r="G496" s="484">
        <v>0</v>
      </c>
      <c r="H496" s="484">
        <v>0</v>
      </c>
      <c r="I496" s="484">
        <v>0</v>
      </c>
      <c r="J496" s="1222"/>
      <c r="K496" s="1223"/>
    </row>
    <row r="497" spans="1:11">
      <c r="A497" s="1219"/>
      <c r="B497" s="1220"/>
      <c r="C497" s="1219"/>
      <c r="D497" s="226">
        <v>2025</v>
      </c>
      <c r="E497" s="484">
        <v>0</v>
      </c>
      <c r="F497" s="484">
        <v>0</v>
      </c>
      <c r="G497" s="484">
        <v>0</v>
      </c>
      <c r="H497" s="484">
        <v>0</v>
      </c>
      <c r="I497" s="484">
        <v>0</v>
      </c>
      <c r="J497" s="1222"/>
      <c r="K497" s="1223"/>
    </row>
    <row r="498" spans="1:11">
      <c r="A498" s="1219"/>
      <c r="B498" s="1220"/>
      <c r="C498" s="1219"/>
      <c r="D498" s="226">
        <v>2026</v>
      </c>
      <c r="E498" s="484">
        <f t="shared" si="33"/>
        <v>0</v>
      </c>
      <c r="F498" s="484">
        <v>0</v>
      </c>
      <c r="G498" s="484">
        <v>0</v>
      </c>
      <c r="H498" s="484">
        <v>0</v>
      </c>
      <c r="I498" s="484">
        <v>0</v>
      </c>
      <c r="J498" s="1222"/>
      <c r="K498" s="1223"/>
    </row>
    <row r="499" spans="1:11">
      <c r="A499" s="1219" t="s">
        <v>424</v>
      </c>
      <c r="B499" s="1220" t="s">
        <v>425</v>
      </c>
      <c r="C499" s="1219">
        <v>2022</v>
      </c>
      <c r="D499" s="226" t="s">
        <v>3</v>
      </c>
      <c r="E499" s="484">
        <f t="shared" si="33"/>
        <v>0</v>
      </c>
      <c r="F499" s="484">
        <f>SUM(F500:F505)</f>
        <v>0</v>
      </c>
      <c r="G499" s="484">
        <f t="shared" ref="G499:G502" si="34">SUM(G500:G505)</f>
        <v>0</v>
      </c>
      <c r="H499" s="484">
        <f>SUM(H500:H505)</f>
        <v>0</v>
      </c>
      <c r="I499" s="484">
        <f t="shared" ref="I499:I502" si="35">SUM(I500:I505)</f>
        <v>0</v>
      </c>
      <c r="J499" s="1222" t="s">
        <v>426</v>
      </c>
      <c r="K499" s="1223" t="s">
        <v>129</v>
      </c>
    </row>
    <row r="500" spans="1:11">
      <c r="A500" s="1219"/>
      <c r="B500" s="1220"/>
      <c r="C500" s="1219"/>
      <c r="D500" s="226">
        <v>2021</v>
      </c>
      <c r="E500" s="484">
        <f t="shared" si="33"/>
        <v>0</v>
      </c>
      <c r="F500" s="484">
        <v>0</v>
      </c>
      <c r="G500" s="484">
        <f t="shared" si="34"/>
        <v>0</v>
      </c>
      <c r="H500" s="484">
        <v>0</v>
      </c>
      <c r="I500" s="484">
        <f t="shared" si="35"/>
        <v>0</v>
      </c>
      <c r="J500" s="1222"/>
      <c r="K500" s="1223"/>
    </row>
    <row r="501" spans="1:11">
      <c r="A501" s="1219"/>
      <c r="B501" s="1220"/>
      <c r="C501" s="1219"/>
      <c r="D501" s="226">
        <v>2022</v>
      </c>
      <c r="E501" s="484">
        <f t="shared" ref="E501:E564" si="36">SUM(F501:I501)</f>
        <v>0</v>
      </c>
      <c r="F501" s="484">
        <v>0</v>
      </c>
      <c r="G501" s="484">
        <f t="shared" si="34"/>
        <v>0</v>
      </c>
      <c r="H501" s="484">
        <v>0</v>
      </c>
      <c r="I501" s="484">
        <f t="shared" si="35"/>
        <v>0</v>
      </c>
      <c r="J501" s="1222"/>
      <c r="K501" s="1223"/>
    </row>
    <row r="502" spans="1:11">
      <c r="A502" s="1219"/>
      <c r="B502" s="1220"/>
      <c r="C502" s="1219"/>
      <c r="D502" s="226">
        <v>2023</v>
      </c>
      <c r="E502" s="484">
        <f t="shared" si="36"/>
        <v>0</v>
      </c>
      <c r="F502" s="484">
        <v>0</v>
      </c>
      <c r="G502" s="484">
        <f t="shared" si="34"/>
        <v>0</v>
      </c>
      <c r="H502" s="484">
        <v>0</v>
      </c>
      <c r="I502" s="484">
        <f t="shared" si="35"/>
        <v>0</v>
      </c>
      <c r="J502" s="1222"/>
      <c r="K502" s="1223"/>
    </row>
    <row r="503" spans="1:11">
      <c r="A503" s="1219"/>
      <c r="B503" s="1220"/>
      <c r="C503" s="1219"/>
      <c r="D503" s="226">
        <v>2024</v>
      </c>
      <c r="E503" s="484">
        <f t="shared" si="36"/>
        <v>0</v>
      </c>
      <c r="F503" s="484">
        <v>0</v>
      </c>
      <c r="G503" s="484">
        <f>SUM(G505:G509)</f>
        <v>0</v>
      </c>
      <c r="H503" s="484">
        <v>0</v>
      </c>
      <c r="I503" s="484">
        <f>SUM(I505:I509)</f>
        <v>0</v>
      </c>
      <c r="J503" s="1222"/>
      <c r="K503" s="1223"/>
    </row>
    <row r="504" spans="1:11">
      <c r="A504" s="1219"/>
      <c r="B504" s="1220"/>
      <c r="C504" s="1219"/>
      <c r="D504" s="226">
        <v>2025</v>
      </c>
      <c r="E504" s="484">
        <v>0</v>
      </c>
      <c r="F504" s="484">
        <v>0</v>
      </c>
      <c r="G504" s="484">
        <v>0</v>
      </c>
      <c r="H504" s="484">
        <v>0</v>
      </c>
      <c r="I504" s="484">
        <v>0</v>
      </c>
      <c r="J504" s="1222"/>
      <c r="K504" s="1223"/>
    </row>
    <row r="505" spans="1:11">
      <c r="A505" s="1219"/>
      <c r="B505" s="1220"/>
      <c r="C505" s="1219"/>
      <c r="D505" s="226">
        <v>2026</v>
      </c>
      <c r="E505" s="484">
        <f t="shared" si="36"/>
        <v>0</v>
      </c>
      <c r="F505" s="484">
        <v>0</v>
      </c>
      <c r="G505" s="484">
        <f>SUM(G506:G510)</f>
        <v>0</v>
      </c>
      <c r="H505" s="484">
        <v>0</v>
      </c>
      <c r="I505" s="484">
        <f>SUM(I506:I510)</f>
        <v>0</v>
      </c>
      <c r="J505" s="1222"/>
      <c r="K505" s="1223"/>
    </row>
    <row r="506" spans="1:11">
      <c r="A506" s="1219" t="s">
        <v>427</v>
      </c>
      <c r="B506" s="1220" t="s">
        <v>121</v>
      </c>
      <c r="C506" s="1219">
        <v>2022</v>
      </c>
      <c r="D506" s="226" t="s">
        <v>3</v>
      </c>
      <c r="E506" s="484">
        <f t="shared" si="36"/>
        <v>6815.7889999999998</v>
      </c>
      <c r="F506" s="484">
        <f>SUM(F507:F512)</f>
        <v>6475</v>
      </c>
      <c r="G506" s="484">
        <f>SUM(G507:G512)</f>
        <v>0</v>
      </c>
      <c r="H506" s="484">
        <f>SUM(H507:H512)</f>
        <v>340.78899999999999</v>
      </c>
      <c r="I506" s="484">
        <f t="shared" ref="I506:I509" si="37">SUM(I507:I512)</f>
        <v>0</v>
      </c>
      <c r="J506" s="1222" t="s">
        <v>428</v>
      </c>
      <c r="K506" s="1223" t="s">
        <v>129</v>
      </c>
    </row>
    <row r="507" spans="1:11">
      <c r="A507" s="1219"/>
      <c r="B507" s="1220"/>
      <c r="C507" s="1219"/>
      <c r="D507" s="226">
        <v>2021</v>
      </c>
      <c r="E507" s="484">
        <f t="shared" si="36"/>
        <v>0</v>
      </c>
      <c r="F507" s="484">
        <v>0</v>
      </c>
      <c r="G507" s="484">
        <v>0</v>
      </c>
      <c r="H507" s="484">
        <v>0</v>
      </c>
      <c r="I507" s="484">
        <f t="shared" si="37"/>
        <v>0</v>
      </c>
      <c r="J507" s="1222"/>
      <c r="K507" s="1223"/>
    </row>
    <row r="508" spans="1:11">
      <c r="A508" s="1219"/>
      <c r="B508" s="1220"/>
      <c r="C508" s="1219"/>
      <c r="D508" s="226">
        <v>2022</v>
      </c>
      <c r="E508" s="484">
        <f t="shared" si="36"/>
        <v>6815.7889999999998</v>
      </c>
      <c r="F508" s="484">
        <v>6475</v>
      </c>
      <c r="G508" s="484">
        <v>0</v>
      </c>
      <c r="H508" s="484">
        <v>340.78899999999999</v>
      </c>
      <c r="I508" s="484">
        <f t="shared" si="37"/>
        <v>0</v>
      </c>
      <c r="J508" s="1222"/>
      <c r="K508" s="1223"/>
    </row>
    <row r="509" spans="1:11">
      <c r="A509" s="1219"/>
      <c r="B509" s="1220"/>
      <c r="C509" s="1219"/>
      <c r="D509" s="226">
        <v>2023</v>
      </c>
      <c r="E509" s="484">
        <f t="shared" si="36"/>
        <v>0</v>
      </c>
      <c r="F509" s="484">
        <v>0</v>
      </c>
      <c r="G509" s="484">
        <v>0</v>
      </c>
      <c r="H509" s="484">
        <v>0</v>
      </c>
      <c r="I509" s="484">
        <f t="shared" si="37"/>
        <v>0</v>
      </c>
      <c r="J509" s="1222"/>
      <c r="K509" s="1223"/>
    </row>
    <row r="510" spans="1:11">
      <c r="A510" s="1219"/>
      <c r="B510" s="1220"/>
      <c r="C510" s="1219"/>
      <c r="D510" s="226">
        <v>2024</v>
      </c>
      <c r="E510" s="484">
        <f t="shared" si="36"/>
        <v>0</v>
      </c>
      <c r="F510" s="484">
        <v>0</v>
      </c>
      <c r="G510" s="484">
        <v>0</v>
      </c>
      <c r="H510" s="484">
        <v>0</v>
      </c>
      <c r="I510" s="484">
        <f>SUM(I512:I516)</f>
        <v>0</v>
      </c>
      <c r="J510" s="1222"/>
      <c r="K510" s="1223"/>
    </row>
    <row r="511" spans="1:11">
      <c r="A511" s="1219"/>
      <c r="B511" s="1220"/>
      <c r="C511" s="1219"/>
      <c r="D511" s="226">
        <v>2025</v>
      </c>
      <c r="E511" s="484">
        <v>0</v>
      </c>
      <c r="F511" s="484">
        <v>0</v>
      </c>
      <c r="G511" s="484">
        <v>0</v>
      </c>
      <c r="H511" s="484">
        <v>0</v>
      </c>
      <c r="I511" s="484">
        <v>0</v>
      </c>
      <c r="J511" s="1222"/>
      <c r="K511" s="1223"/>
    </row>
    <row r="512" spans="1:11">
      <c r="A512" s="1219"/>
      <c r="B512" s="1220"/>
      <c r="C512" s="1219"/>
      <c r="D512" s="226">
        <v>2026</v>
      </c>
      <c r="E512" s="484">
        <f t="shared" si="36"/>
        <v>0</v>
      </c>
      <c r="F512" s="484">
        <v>0</v>
      </c>
      <c r="G512" s="484">
        <v>0</v>
      </c>
      <c r="H512" s="484">
        <v>0</v>
      </c>
      <c r="I512" s="484">
        <f>SUM(I513:I517)</f>
        <v>0</v>
      </c>
      <c r="J512" s="1222"/>
      <c r="K512" s="1223"/>
    </row>
    <row r="513" spans="1:12">
      <c r="A513" s="1219" t="s">
        <v>429</v>
      </c>
      <c r="B513" s="1220" t="s">
        <v>122</v>
      </c>
      <c r="C513" s="1219">
        <v>2022</v>
      </c>
      <c r="D513" s="226" t="s">
        <v>3</v>
      </c>
      <c r="E513" s="484">
        <f t="shared" si="36"/>
        <v>6717.1717171717173</v>
      </c>
      <c r="F513" s="484">
        <f>SUM(F514:F519)</f>
        <v>6650</v>
      </c>
      <c r="G513" s="484">
        <v>0</v>
      </c>
      <c r="H513" s="484">
        <f>SUM(H514:H519)</f>
        <v>67.171717171717177</v>
      </c>
      <c r="I513" s="484">
        <f t="shared" ref="I513:I516" si="38">SUM(I514:I519)</f>
        <v>0</v>
      </c>
      <c r="J513" s="1222" t="s">
        <v>430</v>
      </c>
      <c r="K513" s="1223" t="s">
        <v>129</v>
      </c>
      <c r="L513" s="1233" t="s">
        <v>412</v>
      </c>
    </row>
    <row r="514" spans="1:12">
      <c r="A514" s="1219"/>
      <c r="B514" s="1220"/>
      <c r="C514" s="1219"/>
      <c r="D514" s="226">
        <v>2021</v>
      </c>
      <c r="E514" s="484">
        <f t="shared" si="36"/>
        <v>0</v>
      </c>
      <c r="F514" s="484">
        <v>0</v>
      </c>
      <c r="G514" s="484">
        <v>0</v>
      </c>
      <c r="H514" s="484">
        <v>0</v>
      </c>
      <c r="I514" s="484">
        <f t="shared" si="38"/>
        <v>0</v>
      </c>
      <c r="J514" s="1222"/>
      <c r="K514" s="1223"/>
      <c r="L514" s="1233"/>
    </row>
    <row r="515" spans="1:12">
      <c r="A515" s="1219"/>
      <c r="B515" s="1220"/>
      <c r="C515" s="1219"/>
      <c r="D515" s="226">
        <v>2022</v>
      </c>
      <c r="E515" s="484">
        <f t="shared" si="36"/>
        <v>6717.1717171717173</v>
      </c>
      <c r="F515" s="484">
        <v>6650</v>
      </c>
      <c r="G515" s="484">
        <v>0</v>
      </c>
      <c r="H515" s="484">
        <f>F515/99*1</f>
        <v>67.171717171717177</v>
      </c>
      <c r="I515" s="484">
        <f t="shared" si="38"/>
        <v>0</v>
      </c>
      <c r="J515" s="1222"/>
      <c r="K515" s="1223"/>
      <c r="L515" s="1233"/>
    </row>
    <row r="516" spans="1:12">
      <c r="A516" s="1219"/>
      <c r="B516" s="1220"/>
      <c r="C516" s="1219"/>
      <c r="D516" s="226">
        <v>2023</v>
      </c>
      <c r="E516" s="484">
        <f t="shared" si="36"/>
        <v>0</v>
      </c>
      <c r="F516" s="484">
        <v>0</v>
      </c>
      <c r="G516" s="484">
        <v>0</v>
      </c>
      <c r="H516" s="484">
        <v>0</v>
      </c>
      <c r="I516" s="484">
        <f t="shared" si="38"/>
        <v>0</v>
      </c>
      <c r="J516" s="1222"/>
      <c r="K516" s="1223"/>
      <c r="L516" s="1233"/>
    </row>
    <row r="517" spans="1:12">
      <c r="A517" s="1219"/>
      <c r="B517" s="1220"/>
      <c r="C517" s="1219"/>
      <c r="D517" s="226">
        <v>2024</v>
      </c>
      <c r="E517" s="484">
        <f t="shared" si="36"/>
        <v>0</v>
      </c>
      <c r="F517" s="484">
        <v>0</v>
      </c>
      <c r="G517" s="484">
        <v>0</v>
      </c>
      <c r="H517" s="484">
        <v>0</v>
      </c>
      <c r="I517" s="484">
        <f>SUM(I519:I523)</f>
        <v>0</v>
      </c>
      <c r="J517" s="1222"/>
      <c r="K517" s="1223"/>
      <c r="L517" s="1233"/>
    </row>
    <row r="518" spans="1:12">
      <c r="A518" s="1219"/>
      <c r="B518" s="1220"/>
      <c r="C518" s="1219"/>
      <c r="D518" s="226">
        <v>2025</v>
      </c>
      <c r="E518" s="484">
        <v>0</v>
      </c>
      <c r="F518" s="484">
        <v>0</v>
      </c>
      <c r="G518" s="484">
        <v>0</v>
      </c>
      <c r="H518" s="484">
        <v>0</v>
      </c>
      <c r="I518" s="484">
        <v>0</v>
      </c>
      <c r="J518" s="1222"/>
      <c r="K518" s="1223"/>
      <c r="L518" s="1233"/>
    </row>
    <row r="519" spans="1:12">
      <c r="A519" s="1219"/>
      <c r="B519" s="1220"/>
      <c r="C519" s="1219"/>
      <c r="D519" s="226">
        <v>2026</v>
      </c>
      <c r="E519" s="484">
        <f t="shared" si="36"/>
        <v>0</v>
      </c>
      <c r="F519" s="484">
        <v>0</v>
      </c>
      <c r="G519" s="484">
        <v>0</v>
      </c>
      <c r="H519" s="484">
        <v>0</v>
      </c>
      <c r="I519" s="484">
        <f>SUM(I520:I524)</f>
        <v>0</v>
      </c>
      <c r="J519" s="1222"/>
      <c r="K519" s="1223"/>
      <c r="L519" s="1233"/>
    </row>
    <row r="520" spans="1:12">
      <c r="A520" s="1219" t="s">
        <v>431</v>
      </c>
      <c r="B520" s="1220" t="s">
        <v>432</v>
      </c>
      <c r="C520" s="1219">
        <v>2023</v>
      </c>
      <c r="D520" s="226" t="s">
        <v>3</v>
      </c>
      <c r="E520" s="484">
        <f t="shared" si="36"/>
        <v>0</v>
      </c>
      <c r="F520" s="484">
        <f>SUM(F521:F526)</f>
        <v>0</v>
      </c>
      <c r="G520" s="484">
        <v>0</v>
      </c>
      <c r="H520" s="484">
        <f>SUM(H521:H526)</f>
        <v>0</v>
      </c>
      <c r="I520" s="484">
        <f>SUM(I521:I526)</f>
        <v>0</v>
      </c>
      <c r="J520" s="1222" t="s">
        <v>433</v>
      </c>
      <c r="K520" s="1223" t="s">
        <v>416</v>
      </c>
    </row>
    <row r="521" spans="1:12">
      <c r="A521" s="1219"/>
      <c r="B521" s="1220"/>
      <c r="C521" s="1219"/>
      <c r="D521" s="226">
        <v>2021</v>
      </c>
      <c r="E521" s="484">
        <f t="shared" si="36"/>
        <v>0</v>
      </c>
      <c r="F521" s="484">
        <v>0</v>
      </c>
      <c r="G521" s="484">
        <v>0</v>
      </c>
      <c r="H521" s="484">
        <v>0</v>
      </c>
      <c r="I521" s="484">
        <v>0</v>
      </c>
      <c r="J521" s="1222"/>
      <c r="K521" s="1223"/>
    </row>
    <row r="522" spans="1:12">
      <c r="A522" s="1219"/>
      <c r="B522" s="1220"/>
      <c r="C522" s="1219"/>
      <c r="D522" s="226">
        <v>2022</v>
      </c>
      <c r="E522" s="484">
        <f t="shared" si="36"/>
        <v>0</v>
      </c>
      <c r="F522" s="484">
        <v>0</v>
      </c>
      <c r="G522" s="484">
        <v>0</v>
      </c>
      <c r="H522" s="484">
        <v>0</v>
      </c>
      <c r="I522" s="484">
        <v>0</v>
      </c>
      <c r="J522" s="1222"/>
      <c r="K522" s="1223"/>
    </row>
    <row r="523" spans="1:12">
      <c r="A523" s="1219"/>
      <c r="B523" s="1220"/>
      <c r="C523" s="1219"/>
      <c r="D523" s="226">
        <v>2023</v>
      </c>
      <c r="E523" s="484">
        <f t="shared" si="36"/>
        <v>0</v>
      </c>
      <c r="F523" s="484">
        <v>0</v>
      </c>
      <c r="G523" s="484">
        <v>0</v>
      </c>
      <c r="H523" s="484">
        <v>0</v>
      </c>
      <c r="I523" s="484">
        <v>0</v>
      </c>
      <c r="J523" s="1222"/>
      <c r="K523" s="1223"/>
    </row>
    <row r="524" spans="1:12">
      <c r="A524" s="1219"/>
      <c r="B524" s="1220"/>
      <c r="C524" s="1219"/>
      <c r="D524" s="226">
        <v>2024</v>
      </c>
      <c r="E524" s="484">
        <f t="shared" si="36"/>
        <v>0</v>
      </c>
      <c r="F524" s="484">
        <v>0</v>
      </c>
      <c r="G524" s="484">
        <v>0</v>
      </c>
      <c r="H524" s="484">
        <v>0</v>
      </c>
      <c r="I524" s="484">
        <v>0</v>
      </c>
      <c r="J524" s="1222"/>
      <c r="K524" s="1223"/>
    </row>
    <row r="525" spans="1:12">
      <c r="A525" s="1219"/>
      <c r="B525" s="1220"/>
      <c r="C525" s="1219"/>
      <c r="D525" s="226">
        <v>2025</v>
      </c>
      <c r="E525" s="484">
        <v>0</v>
      </c>
      <c r="F525" s="484">
        <v>0</v>
      </c>
      <c r="G525" s="484">
        <v>0</v>
      </c>
      <c r="H525" s="484">
        <v>0</v>
      </c>
      <c r="I525" s="484">
        <v>0</v>
      </c>
      <c r="J525" s="1222"/>
      <c r="K525" s="1223"/>
    </row>
    <row r="526" spans="1:12">
      <c r="A526" s="1219"/>
      <c r="B526" s="1220"/>
      <c r="C526" s="1219"/>
      <c r="D526" s="226">
        <v>2026</v>
      </c>
      <c r="E526" s="484">
        <f t="shared" si="36"/>
        <v>0</v>
      </c>
      <c r="F526" s="484">
        <v>0</v>
      </c>
      <c r="G526" s="484">
        <v>0</v>
      </c>
      <c r="H526" s="484">
        <v>0</v>
      </c>
      <c r="I526" s="484">
        <v>0</v>
      </c>
      <c r="J526" s="1222"/>
      <c r="K526" s="1223"/>
    </row>
    <row r="527" spans="1:12">
      <c r="A527" s="1219" t="s">
        <v>434</v>
      </c>
      <c r="B527" s="1220" t="s">
        <v>435</v>
      </c>
      <c r="C527" s="1219">
        <v>2022</v>
      </c>
      <c r="D527" s="226" t="s">
        <v>3</v>
      </c>
      <c r="E527" s="484">
        <f t="shared" si="36"/>
        <v>0</v>
      </c>
      <c r="F527" s="484">
        <f>SUM(F528:F533)</f>
        <v>0</v>
      </c>
      <c r="G527" s="484">
        <f>SUM(G528:G533)</f>
        <v>0</v>
      </c>
      <c r="H527" s="484">
        <f>SUM(H528:H533)</f>
        <v>0</v>
      </c>
      <c r="I527" s="484">
        <f>SUM(I528:I533)</f>
        <v>0</v>
      </c>
      <c r="J527" s="1222" t="s">
        <v>436</v>
      </c>
      <c r="K527" s="1223" t="s">
        <v>129</v>
      </c>
      <c r="L527" s="1233"/>
    </row>
    <row r="528" spans="1:12">
      <c r="A528" s="1219"/>
      <c r="B528" s="1220"/>
      <c r="C528" s="1219"/>
      <c r="D528" s="226">
        <v>2021</v>
      </c>
      <c r="E528" s="484">
        <f t="shared" si="36"/>
        <v>0</v>
      </c>
      <c r="F528" s="484">
        <v>0</v>
      </c>
      <c r="G528" s="484">
        <v>0</v>
      </c>
      <c r="H528" s="484">
        <v>0</v>
      </c>
      <c r="I528" s="484">
        <v>0</v>
      </c>
      <c r="J528" s="1222"/>
      <c r="K528" s="1223"/>
      <c r="L528" s="1233"/>
    </row>
    <row r="529" spans="1:12">
      <c r="A529" s="1219"/>
      <c r="B529" s="1220"/>
      <c r="C529" s="1219"/>
      <c r="D529" s="226">
        <v>2022</v>
      </c>
      <c r="E529" s="484">
        <f t="shared" si="36"/>
        <v>0</v>
      </c>
      <c r="F529" s="484">
        <v>0</v>
      </c>
      <c r="G529" s="484">
        <v>0</v>
      </c>
      <c r="H529" s="484">
        <v>0</v>
      </c>
      <c r="I529" s="484">
        <v>0</v>
      </c>
      <c r="J529" s="1222"/>
      <c r="K529" s="1223"/>
      <c r="L529" s="1233"/>
    </row>
    <row r="530" spans="1:12">
      <c r="A530" s="1219"/>
      <c r="B530" s="1220"/>
      <c r="C530" s="1219"/>
      <c r="D530" s="226">
        <v>2023</v>
      </c>
      <c r="E530" s="484">
        <f t="shared" si="36"/>
        <v>0</v>
      </c>
      <c r="F530" s="484">
        <v>0</v>
      </c>
      <c r="G530" s="484">
        <v>0</v>
      </c>
      <c r="H530" s="484">
        <v>0</v>
      </c>
      <c r="I530" s="484">
        <v>0</v>
      </c>
      <c r="J530" s="1222"/>
      <c r="K530" s="1223"/>
      <c r="L530" s="1233"/>
    </row>
    <row r="531" spans="1:12">
      <c r="A531" s="1219"/>
      <c r="B531" s="1220"/>
      <c r="C531" s="1219"/>
      <c r="D531" s="226">
        <v>2024</v>
      </c>
      <c r="E531" s="484">
        <f t="shared" si="36"/>
        <v>0</v>
      </c>
      <c r="F531" s="484">
        <v>0</v>
      </c>
      <c r="G531" s="484">
        <v>0</v>
      </c>
      <c r="H531" s="484">
        <v>0</v>
      </c>
      <c r="I531" s="484">
        <v>0</v>
      </c>
      <c r="J531" s="1222"/>
      <c r="K531" s="1223"/>
      <c r="L531" s="1233"/>
    </row>
    <row r="532" spans="1:12">
      <c r="A532" s="1219"/>
      <c r="B532" s="1220"/>
      <c r="C532" s="1219"/>
      <c r="D532" s="226">
        <v>2025</v>
      </c>
      <c r="E532" s="484">
        <v>0</v>
      </c>
      <c r="F532" s="484">
        <v>0</v>
      </c>
      <c r="G532" s="484">
        <v>0</v>
      </c>
      <c r="H532" s="484">
        <v>0</v>
      </c>
      <c r="I532" s="484">
        <v>0</v>
      </c>
      <c r="J532" s="1222"/>
      <c r="K532" s="1223"/>
      <c r="L532" s="1233"/>
    </row>
    <row r="533" spans="1:12">
      <c r="A533" s="1219"/>
      <c r="B533" s="1220"/>
      <c r="C533" s="1219"/>
      <c r="D533" s="226">
        <v>2026</v>
      </c>
      <c r="E533" s="484">
        <f t="shared" si="36"/>
        <v>0</v>
      </c>
      <c r="F533" s="484">
        <v>0</v>
      </c>
      <c r="G533" s="484">
        <v>0</v>
      </c>
      <c r="H533" s="484">
        <v>0</v>
      </c>
      <c r="I533" s="484">
        <v>0</v>
      </c>
      <c r="J533" s="1222"/>
      <c r="K533" s="1223"/>
      <c r="L533" s="1233"/>
    </row>
    <row r="534" spans="1:12">
      <c r="A534" s="1219" t="s">
        <v>437</v>
      </c>
      <c r="B534" s="1220" t="s">
        <v>438</v>
      </c>
      <c r="C534" s="1241" t="s">
        <v>368</v>
      </c>
      <c r="D534" s="226" t="s">
        <v>3</v>
      </c>
      <c r="E534" s="484">
        <f t="shared" si="36"/>
        <v>66399.149999999994</v>
      </c>
      <c r="F534" s="484">
        <f>SUM(F535:F540)</f>
        <v>66399.149999999994</v>
      </c>
      <c r="G534" s="484">
        <f>SUM(G535:G540)</f>
        <v>0</v>
      </c>
      <c r="H534" s="484">
        <f>SUM(H535:H540)</f>
        <v>0</v>
      </c>
      <c r="I534" s="484">
        <f>SUM(I535:I540)</f>
        <v>0</v>
      </c>
      <c r="J534" s="1222" t="s">
        <v>439</v>
      </c>
      <c r="K534" s="1223" t="s">
        <v>416</v>
      </c>
    </row>
    <row r="535" spans="1:12">
      <c r="A535" s="1219"/>
      <c r="B535" s="1220"/>
      <c r="C535" s="1241"/>
      <c r="D535" s="226">
        <v>2021</v>
      </c>
      <c r="E535" s="484">
        <f t="shared" si="36"/>
        <v>0</v>
      </c>
      <c r="F535" s="484">
        <v>0</v>
      </c>
      <c r="G535" s="484">
        <v>0</v>
      </c>
      <c r="H535" s="484">
        <v>0</v>
      </c>
      <c r="I535" s="484">
        <v>0</v>
      </c>
      <c r="J535" s="1222"/>
      <c r="K535" s="1223"/>
    </row>
    <row r="536" spans="1:12">
      <c r="A536" s="1219"/>
      <c r="B536" s="1220"/>
      <c r="C536" s="1241"/>
      <c r="D536" s="226">
        <v>2022</v>
      </c>
      <c r="E536" s="484">
        <f t="shared" si="36"/>
        <v>66399.149999999994</v>
      </c>
      <c r="F536" s="484">
        <f>200000-21582.6-112018.25</f>
        <v>66399.149999999994</v>
      </c>
      <c r="G536" s="484">
        <v>0</v>
      </c>
      <c r="H536" s="484">
        <v>0</v>
      </c>
      <c r="I536" s="484">
        <v>0</v>
      </c>
      <c r="J536" s="1222"/>
      <c r="K536" s="1223"/>
    </row>
    <row r="537" spans="1:12">
      <c r="A537" s="1219"/>
      <c r="B537" s="1220"/>
      <c r="C537" s="1241"/>
      <c r="D537" s="226">
        <v>2023</v>
      </c>
      <c r="E537" s="484">
        <f t="shared" si="36"/>
        <v>0</v>
      </c>
      <c r="F537" s="484">
        <v>0</v>
      </c>
      <c r="G537" s="484">
        <v>0</v>
      </c>
      <c r="H537" s="484">
        <v>0</v>
      </c>
      <c r="I537" s="484">
        <v>0</v>
      </c>
      <c r="J537" s="1222"/>
      <c r="K537" s="1223"/>
    </row>
    <row r="538" spans="1:12">
      <c r="A538" s="1219"/>
      <c r="B538" s="1220"/>
      <c r="C538" s="1241"/>
      <c r="D538" s="226">
        <v>2024</v>
      </c>
      <c r="E538" s="484">
        <f t="shared" si="36"/>
        <v>0</v>
      </c>
      <c r="F538" s="484">
        <v>0</v>
      </c>
      <c r="G538" s="484">
        <v>0</v>
      </c>
      <c r="H538" s="484">
        <v>0</v>
      </c>
      <c r="I538" s="484">
        <v>0</v>
      </c>
      <c r="J538" s="1222"/>
      <c r="K538" s="1223"/>
    </row>
    <row r="539" spans="1:12">
      <c r="A539" s="1219"/>
      <c r="B539" s="1220"/>
      <c r="C539" s="1241"/>
      <c r="D539" s="226">
        <v>2025</v>
      </c>
      <c r="E539" s="484">
        <v>0</v>
      </c>
      <c r="F539" s="484">
        <v>0</v>
      </c>
      <c r="G539" s="484">
        <v>0</v>
      </c>
      <c r="H539" s="484">
        <v>0</v>
      </c>
      <c r="I539" s="484">
        <v>0</v>
      </c>
      <c r="J539" s="1222"/>
      <c r="K539" s="1223"/>
    </row>
    <row r="540" spans="1:12">
      <c r="A540" s="1219"/>
      <c r="B540" s="1220"/>
      <c r="C540" s="1241"/>
      <c r="D540" s="226">
        <v>2026</v>
      </c>
      <c r="E540" s="484">
        <f t="shared" si="36"/>
        <v>0</v>
      </c>
      <c r="F540" s="484">
        <v>0</v>
      </c>
      <c r="G540" s="484">
        <v>0</v>
      </c>
      <c r="H540" s="484">
        <v>0</v>
      </c>
      <c r="I540" s="484">
        <v>0</v>
      </c>
      <c r="J540" s="1222"/>
      <c r="K540" s="1223"/>
    </row>
    <row r="541" spans="1:12">
      <c r="A541" s="1219" t="s">
        <v>440</v>
      </c>
      <c r="B541" s="1220" t="s">
        <v>441</v>
      </c>
      <c r="C541" s="1219">
        <v>2022</v>
      </c>
      <c r="D541" s="226" t="s">
        <v>3</v>
      </c>
      <c r="E541" s="484">
        <f t="shared" si="36"/>
        <v>0</v>
      </c>
      <c r="F541" s="484">
        <f>SUM(F542:F547)</f>
        <v>0</v>
      </c>
      <c r="G541" s="484">
        <f>SUM(G542:G547)</f>
        <v>0</v>
      </c>
      <c r="H541" s="484">
        <f>SUM(H542:H547)</f>
        <v>0</v>
      </c>
      <c r="I541" s="484">
        <f>SUM(I542:I547)</f>
        <v>0</v>
      </c>
      <c r="J541" s="1222" t="s">
        <v>442</v>
      </c>
      <c r="K541" s="1223" t="s">
        <v>129</v>
      </c>
    </row>
    <row r="542" spans="1:12">
      <c r="A542" s="1219"/>
      <c r="B542" s="1220"/>
      <c r="C542" s="1219"/>
      <c r="D542" s="226">
        <v>2021</v>
      </c>
      <c r="E542" s="484">
        <f t="shared" si="36"/>
        <v>0</v>
      </c>
      <c r="F542" s="484">
        <v>0</v>
      </c>
      <c r="G542" s="484">
        <v>0</v>
      </c>
      <c r="H542" s="484">
        <v>0</v>
      </c>
      <c r="I542" s="484">
        <v>0</v>
      </c>
      <c r="J542" s="1222"/>
      <c r="K542" s="1223"/>
    </row>
    <row r="543" spans="1:12">
      <c r="A543" s="1219"/>
      <c r="B543" s="1220"/>
      <c r="C543" s="1219"/>
      <c r="D543" s="226">
        <v>2022</v>
      </c>
      <c r="E543" s="484">
        <f t="shared" si="36"/>
        <v>0</v>
      </c>
      <c r="F543" s="484">
        <v>0</v>
      </c>
      <c r="G543" s="484">
        <v>0</v>
      </c>
      <c r="H543" s="484">
        <v>0</v>
      </c>
      <c r="I543" s="484">
        <v>0</v>
      </c>
      <c r="J543" s="1222"/>
      <c r="K543" s="1223"/>
    </row>
    <row r="544" spans="1:12">
      <c r="A544" s="1219"/>
      <c r="B544" s="1220"/>
      <c r="C544" s="1219"/>
      <c r="D544" s="226">
        <v>2023</v>
      </c>
      <c r="E544" s="484">
        <f t="shared" si="36"/>
        <v>0</v>
      </c>
      <c r="F544" s="484">
        <v>0</v>
      </c>
      <c r="G544" s="484">
        <v>0</v>
      </c>
      <c r="H544" s="484">
        <v>0</v>
      </c>
      <c r="I544" s="484">
        <v>0</v>
      </c>
      <c r="J544" s="1222"/>
      <c r="K544" s="1223"/>
    </row>
    <row r="545" spans="1:12">
      <c r="A545" s="1219"/>
      <c r="B545" s="1220"/>
      <c r="C545" s="1219"/>
      <c r="D545" s="226">
        <v>2024</v>
      </c>
      <c r="E545" s="484">
        <f t="shared" si="36"/>
        <v>0</v>
      </c>
      <c r="F545" s="484">
        <v>0</v>
      </c>
      <c r="G545" s="484">
        <v>0</v>
      </c>
      <c r="H545" s="484">
        <v>0</v>
      </c>
      <c r="I545" s="484">
        <v>0</v>
      </c>
      <c r="J545" s="1222"/>
      <c r="K545" s="1223"/>
    </row>
    <row r="546" spans="1:12">
      <c r="A546" s="1219"/>
      <c r="B546" s="1220"/>
      <c r="C546" s="1219"/>
      <c r="D546" s="226">
        <v>2025</v>
      </c>
      <c r="E546" s="484">
        <v>0</v>
      </c>
      <c r="F546" s="484">
        <v>0</v>
      </c>
      <c r="G546" s="484">
        <v>0</v>
      </c>
      <c r="H546" s="484">
        <v>0</v>
      </c>
      <c r="I546" s="484">
        <v>0</v>
      </c>
      <c r="J546" s="1222"/>
      <c r="K546" s="1223"/>
    </row>
    <row r="547" spans="1:12">
      <c r="A547" s="1219"/>
      <c r="B547" s="1220"/>
      <c r="C547" s="1219"/>
      <c r="D547" s="226">
        <v>2026</v>
      </c>
      <c r="E547" s="484">
        <f t="shared" si="36"/>
        <v>0</v>
      </c>
      <c r="F547" s="484">
        <v>0</v>
      </c>
      <c r="G547" s="484">
        <v>0</v>
      </c>
      <c r="H547" s="484">
        <v>0</v>
      </c>
      <c r="I547" s="484">
        <v>0</v>
      </c>
      <c r="J547" s="1222"/>
      <c r="K547" s="1223"/>
    </row>
    <row r="548" spans="1:12">
      <c r="A548" s="1219" t="s">
        <v>443</v>
      </c>
      <c r="B548" s="1220" t="s">
        <v>444</v>
      </c>
      <c r="C548" s="1219">
        <v>2022</v>
      </c>
      <c r="D548" s="226" t="s">
        <v>3</v>
      </c>
      <c r="E548" s="484">
        <f t="shared" si="36"/>
        <v>6133.3262999999997</v>
      </c>
      <c r="F548" s="484">
        <f>SUM(F549:F554)</f>
        <v>5826.66</v>
      </c>
      <c r="G548" s="484">
        <v>0</v>
      </c>
      <c r="H548" s="484">
        <f>SUM(H549:H554)</f>
        <v>306.66629999999998</v>
      </c>
      <c r="I548" s="484">
        <f>SUM(I549:I554)</f>
        <v>0</v>
      </c>
      <c r="J548" s="1222" t="s">
        <v>445</v>
      </c>
      <c r="K548" s="1223" t="s">
        <v>129</v>
      </c>
      <c r="L548" s="1233"/>
    </row>
    <row r="549" spans="1:12">
      <c r="A549" s="1219"/>
      <c r="B549" s="1220"/>
      <c r="C549" s="1219"/>
      <c r="D549" s="226">
        <v>2021</v>
      </c>
      <c r="E549" s="484">
        <f t="shared" si="36"/>
        <v>0</v>
      </c>
      <c r="F549" s="484">
        <v>0</v>
      </c>
      <c r="G549" s="484">
        <v>0</v>
      </c>
      <c r="H549" s="484">
        <v>0</v>
      </c>
      <c r="I549" s="484">
        <v>0</v>
      </c>
      <c r="J549" s="1222"/>
      <c r="K549" s="1223"/>
      <c r="L549" s="1233"/>
    </row>
    <row r="550" spans="1:12">
      <c r="A550" s="1219"/>
      <c r="B550" s="1220"/>
      <c r="C550" s="1219"/>
      <c r="D550" s="226">
        <v>2022</v>
      </c>
      <c r="E550" s="484">
        <f t="shared" si="36"/>
        <v>6133.3262999999997</v>
      </c>
      <c r="F550" s="484">
        <v>5826.66</v>
      </c>
      <c r="G550" s="484">
        <v>0</v>
      </c>
      <c r="H550" s="484">
        <v>306.66629999999998</v>
      </c>
      <c r="I550" s="484">
        <v>0</v>
      </c>
      <c r="J550" s="1222"/>
      <c r="K550" s="1223"/>
      <c r="L550" s="1233"/>
    </row>
    <row r="551" spans="1:12">
      <c r="A551" s="1219"/>
      <c r="B551" s="1220"/>
      <c r="C551" s="1219"/>
      <c r="D551" s="226">
        <v>2023</v>
      </c>
      <c r="E551" s="484">
        <f t="shared" si="36"/>
        <v>0</v>
      </c>
      <c r="F551" s="484">
        <v>0</v>
      </c>
      <c r="G551" s="484">
        <v>0</v>
      </c>
      <c r="H551" s="484">
        <v>0</v>
      </c>
      <c r="I551" s="484">
        <v>0</v>
      </c>
      <c r="J551" s="1222"/>
      <c r="K551" s="1223"/>
    </row>
    <row r="552" spans="1:12">
      <c r="A552" s="1219"/>
      <c r="B552" s="1220"/>
      <c r="C552" s="1219"/>
      <c r="D552" s="226">
        <v>2024</v>
      </c>
      <c r="E552" s="484">
        <f t="shared" si="36"/>
        <v>0</v>
      </c>
      <c r="F552" s="484">
        <v>0</v>
      </c>
      <c r="G552" s="484">
        <v>0</v>
      </c>
      <c r="H552" s="484">
        <v>0</v>
      </c>
      <c r="I552" s="484">
        <v>0</v>
      </c>
      <c r="J552" s="1222"/>
      <c r="K552" s="1223"/>
    </row>
    <row r="553" spans="1:12">
      <c r="A553" s="1219"/>
      <c r="B553" s="1220"/>
      <c r="C553" s="1219"/>
      <c r="D553" s="226">
        <v>2025</v>
      </c>
      <c r="E553" s="484">
        <v>0</v>
      </c>
      <c r="F553" s="484">
        <v>0</v>
      </c>
      <c r="G553" s="484">
        <v>0</v>
      </c>
      <c r="H553" s="484">
        <v>0</v>
      </c>
      <c r="I553" s="484">
        <v>0</v>
      </c>
      <c r="J553" s="1222"/>
      <c r="K553" s="1223"/>
    </row>
    <row r="554" spans="1:12">
      <c r="A554" s="1219"/>
      <c r="B554" s="1220"/>
      <c r="C554" s="1219"/>
      <c r="D554" s="226">
        <v>2026</v>
      </c>
      <c r="E554" s="484">
        <f t="shared" si="36"/>
        <v>0</v>
      </c>
      <c r="F554" s="484">
        <v>0</v>
      </c>
      <c r="G554" s="484">
        <v>0</v>
      </c>
      <c r="H554" s="484">
        <v>0</v>
      </c>
      <c r="I554" s="484">
        <v>0</v>
      </c>
      <c r="J554" s="1222"/>
      <c r="K554" s="1223"/>
    </row>
    <row r="555" spans="1:12">
      <c r="A555" s="1219" t="s">
        <v>446</v>
      </c>
      <c r="B555" s="1220" t="s">
        <v>447</v>
      </c>
      <c r="C555" s="1219">
        <v>2023</v>
      </c>
      <c r="D555" s="226" t="s">
        <v>3</v>
      </c>
      <c r="E555" s="484">
        <f t="shared" si="36"/>
        <v>0</v>
      </c>
      <c r="F555" s="484">
        <f>SUM(F556:F561)</f>
        <v>0</v>
      </c>
      <c r="G555" s="484">
        <f>SUM(G556:G561)</f>
        <v>0</v>
      </c>
      <c r="H555" s="484">
        <f>SUM(H556:H561)</f>
        <v>0</v>
      </c>
      <c r="I555" s="484">
        <f>SUM(I556:I561)</f>
        <v>0</v>
      </c>
      <c r="J555" s="1222" t="s">
        <v>448</v>
      </c>
      <c r="K555" s="1223" t="s">
        <v>65</v>
      </c>
    </row>
    <row r="556" spans="1:12">
      <c r="A556" s="1219"/>
      <c r="B556" s="1220"/>
      <c r="C556" s="1219"/>
      <c r="D556" s="226">
        <v>2021</v>
      </c>
      <c r="E556" s="484">
        <f t="shared" si="36"/>
        <v>0</v>
      </c>
      <c r="F556" s="484">
        <v>0</v>
      </c>
      <c r="G556" s="484">
        <v>0</v>
      </c>
      <c r="H556" s="484">
        <v>0</v>
      </c>
      <c r="I556" s="484">
        <v>0</v>
      </c>
      <c r="J556" s="1222"/>
      <c r="K556" s="1223"/>
    </row>
    <row r="557" spans="1:12">
      <c r="A557" s="1219"/>
      <c r="B557" s="1220"/>
      <c r="C557" s="1219"/>
      <c r="D557" s="226">
        <v>2022</v>
      </c>
      <c r="E557" s="484">
        <f t="shared" si="36"/>
        <v>0</v>
      </c>
      <c r="F557" s="484">
        <v>0</v>
      </c>
      <c r="G557" s="484">
        <v>0</v>
      </c>
      <c r="H557" s="484">
        <v>0</v>
      </c>
      <c r="I557" s="484">
        <v>0</v>
      </c>
      <c r="J557" s="1222"/>
      <c r="K557" s="1223"/>
    </row>
    <row r="558" spans="1:12">
      <c r="A558" s="1219"/>
      <c r="B558" s="1220"/>
      <c r="C558" s="1219"/>
      <c r="D558" s="226">
        <v>2023</v>
      </c>
      <c r="E558" s="484">
        <f t="shared" si="36"/>
        <v>0</v>
      </c>
      <c r="F558" s="484">
        <v>0</v>
      </c>
      <c r="G558" s="484">
        <v>0</v>
      </c>
      <c r="H558" s="484">
        <v>0</v>
      </c>
      <c r="I558" s="484">
        <v>0</v>
      </c>
      <c r="J558" s="1222"/>
      <c r="K558" s="1223"/>
    </row>
    <row r="559" spans="1:12">
      <c r="A559" s="1219"/>
      <c r="B559" s="1220"/>
      <c r="C559" s="1219"/>
      <c r="D559" s="226">
        <v>2024</v>
      </c>
      <c r="E559" s="484">
        <f t="shared" si="36"/>
        <v>0</v>
      </c>
      <c r="F559" s="484">
        <v>0</v>
      </c>
      <c r="G559" s="484">
        <v>0</v>
      </c>
      <c r="H559" s="484">
        <v>0</v>
      </c>
      <c r="I559" s="484">
        <v>0</v>
      </c>
      <c r="J559" s="1222"/>
      <c r="K559" s="1223"/>
    </row>
    <row r="560" spans="1:12">
      <c r="A560" s="1219"/>
      <c r="B560" s="1220"/>
      <c r="C560" s="1219"/>
      <c r="D560" s="226">
        <v>2025</v>
      </c>
      <c r="E560" s="484">
        <v>0</v>
      </c>
      <c r="F560" s="484">
        <v>0</v>
      </c>
      <c r="G560" s="484">
        <v>0</v>
      </c>
      <c r="H560" s="484">
        <v>0</v>
      </c>
      <c r="I560" s="484">
        <v>0</v>
      </c>
      <c r="J560" s="1222"/>
      <c r="K560" s="1223"/>
    </row>
    <row r="561" spans="1:11">
      <c r="A561" s="1219"/>
      <c r="B561" s="1220"/>
      <c r="C561" s="1219"/>
      <c r="D561" s="226">
        <v>2026</v>
      </c>
      <c r="E561" s="484">
        <f t="shared" si="36"/>
        <v>0</v>
      </c>
      <c r="F561" s="484">
        <v>0</v>
      </c>
      <c r="G561" s="484">
        <v>0</v>
      </c>
      <c r="H561" s="484">
        <v>0</v>
      </c>
      <c r="I561" s="484">
        <v>0</v>
      </c>
      <c r="J561" s="1222"/>
      <c r="K561" s="1223"/>
    </row>
    <row r="562" spans="1:11">
      <c r="A562" s="1239" t="s">
        <v>694</v>
      </c>
      <c r="B562" s="1242" t="s">
        <v>450</v>
      </c>
      <c r="C562" s="1244"/>
      <c r="D562" s="226" t="s">
        <v>3</v>
      </c>
      <c r="E562" s="484">
        <f t="shared" si="36"/>
        <v>0</v>
      </c>
      <c r="F562" s="484">
        <f>SUM(F563:F568)</f>
        <v>0</v>
      </c>
      <c r="G562" s="484">
        <f>SUM(G563:G568)</f>
        <v>0</v>
      </c>
      <c r="H562" s="484">
        <f>SUM(H563:H568)</f>
        <v>0</v>
      </c>
      <c r="I562" s="484">
        <f>SUM(I563:I568)</f>
        <v>0</v>
      </c>
      <c r="J562" s="1247"/>
      <c r="K562" s="1230" t="s">
        <v>452</v>
      </c>
    </row>
    <row r="563" spans="1:11">
      <c r="A563" s="1240"/>
      <c r="B563" s="1243"/>
      <c r="C563" s="1245"/>
      <c r="D563" s="226">
        <v>2021</v>
      </c>
      <c r="E563" s="484">
        <f t="shared" si="36"/>
        <v>0</v>
      </c>
      <c r="F563" s="484">
        <f>[5]НОВЫЙ_МИНСТРОЙ!F516</f>
        <v>0</v>
      </c>
      <c r="G563" s="484">
        <f>[5]НОВЫЙ_МИНСТРОЙ!G516</f>
        <v>0</v>
      </c>
      <c r="H563" s="484">
        <f>[5]НОВЫЙ_МИНСТРОЙ!H516</f>
        <v>0</v>
      </c>
      <c r="I563" s="484">
        <f>[5]НОВЫЙ_МИНСТРОЙ!I516</f>
        <v>0</v>
      </c>
      <c r="J563" s="1248"/>
      <c r="K563" s="1231"/>
    </row>
    <row r="564" spans="1:11">
      <c r="A564" s="1240"/>
      <c r="B564" s="1243"/>
      <c r="C564" s="1245"/>
      <c r="D564" s="226">
        <v>2022</v>
      </c>
      <c r="E564" s="484">
        <f t="shared" si="36"/>
        <v>0</v>
      </c>
      <c r="F564" s="484">
        <f>[5]НОВЫЙ_МИНСТРОЙ!F517</f>
        <v>0</v>
      </c>
      <c r="G564" s="484">
        <f>[5]НОВЫЙ_МИНСТРОЙ!G517</f>
        <v>0</v>
      </c>
      <c r="H564" s="484">
        <f>[5]НОВЫЙ_МИНСТРОЙ!H517</f>
        <v>0</v>
      </c>
      <c r="I564" s="484">
        <f>[5]НОВЫЙ_МИНСТРОЙ!I517</f>
        <v>0</v>
      </c>
      <c r="J564" s="1248"/>
      <c r="K564" s="1231"/>
    </row>
    <row r="565" spans="1:11">
      <c r="A565" s="1240"/>
      <c r="B565" s="1243"/>
      <c r="C565" s="1245"/>
      <c r="D565" s="226">
        <v>2023</v>
      </c>
      <c r="E565" s="484">
        <f t="shared" ref="E565:E626" si="39">SUM(F565:I565)</f>
        <v>0</v>
      </c>
      <c r="F565" s="484">
        <f>[5]НОВЫЙ_МИНСТРОЙ!F518</f>
        <v>0</v>
      </c>
      <c r="G565" s="484">
        <f>[5]НОВЫЙ_МИНСТРОЙ!G518</f>
        <v>0</v>
      </c>
      <c r="H565" s="484">
        <f>[5]НОВЫЙ_МИНСТРОЙ!H518</f>
        <v>0</v>
      </c>
      <c r="I565" s="484">
        <f>[5]НОВЫЙ_МИНСТРОЙ!I518</f>
        <v>0</v>
      </c>
      <c r="J565" s="1248"/>
      <c r="K565" s="1231"/>
    </row>
    <row r="566" spans="1:11">
      <c r="A566" s="1240"/>
      <c r="B566" s="1243"/>
      <c r="C566" s="1245"/>
      <c r="D566" s="226">
        <v>2024</v>
      </c>
      <c r="E566" s="484">
        <f t="shared" si="39"/>
        <v>0</v>
      </c>
      <c r="F566" s="484">
        <v>0</v>
      </c>
      <c r="G566" s="484">
        <f>[5]НОВЫЙ_МИНСТРОЙ!G519</f>
        <v>0</v>
      </c>
      <c r="H566" s="484">
        <f>[5]НОВЫЙ_МИНСТРОЙ!H519</f>
        <v>0</v>
      </c>
      <c r="I566" s="484">
        <f>[5]НОВЫЙ_МИНСТРОЙ!I519</f>
        <v>0</v>
      </c>
      <c r="J566" s="1248"/>
      <c r="K566" s="1231"/>
    </row>
    <row r="567" spans="1:11">
      <c r="A567" s="1240"/>
      <c r="B567" s="1243"/>
      <c r="C567" s="1245"/>
      <c r="D567" s="226">
        <v>2025</v>
      </c>
      <c r="E567" s="484">
        <f t="shared" si="39"/>
        <v>0</v>
      </c>
      <c r="F567" s="484">
        <v>0</v>
      </c>
      <c r="G567" s="484">
        <v>0</v>
      </c>
      <c r="H567" s="484">
        <v>0</v>
      </c>
      <c r="I567" s="484">
        <v>0</v>
      </c>
      <c r="J567" s="1248"/>
      <c r="K567" s="1231"/>
    </row>
    <row r="568" spans="1:11">
      <c r="A568" s="1240"/>
      <c r="B568" s="1243"/>
      <c r="C568" s="1246"/>
      <c r="D568" s="226">
        <v>2026</v>
      </c>
      <c r="E568" s="484">
        <f t="shared" si="39"/>
        <v>0</v>
      </c>
      <c r="F568" s="484">
        <f>[5]НОВЫЙ_МИНСТРОЙ!F520</f>
        <v>0</v>
      </c>
      <c r="G568" s="484">
        <f>[5]НОВЫЙ_МИНСТРОЙ!G520</f>
        <v>0</v>
      </c>
      <c r="H568" s="484">
        <f>[5]НОВЫЙ_МИНСТРОЙ!H520</f>
        <v>0</v>
      </c>
      <c r="I568" s="484">
        <f>[5]НОВЫЙ_МИНСТРОЙ!I520</f>
        <v>0</v>
      </c>
      <c r="J568" s="1248"/>
      <c r="K568" s="1231"/>
    </row>
    <row r="569" spans="1:11" s="228" customFormat="1">
      <c r="A569" s="1235" t="s">
        <v>695</v>
      </c>
      <c r="B569" s="1242" t="s">
        <v>454</v>
      </c>
      <c r="C569" s="1224" t="s">
        <v>696</v>
      </c>
      <c r="D569" s="226" t="s">
        <v>3</v>
      </c>
      <c r="E569" s="484">
        <f t="shared" si="39"/>
        <v>0</v>
      </c>
      <c r="F569" s="484">
        <f>SUM(F570:F575)</f>
        <v>0</v>
      </c>
      <c r="G569" s="484">
        <f>SUM(G570:G575)</f>
        <v>0</v>
      </c>
      <c r="H569" s="484">
        <f>SUM(H570:H575)</f>
        <v>0</v>
      </c>
      <c r="I569" s="484">
        <f>SUM(I570:I575)</f>
        <v>0</v>
      </c>
      <c r="J569" s="1227" t="s">
        <v>697</v>
      </c>
      <c r="K569" s="1230" t="s">
        <v>452</v>
      </c>
    </row>
    <row r="570" spans="1:11" s="228" customFormat="1">
      <c r="A570" s="1235"/>
      <c r="B570" s="1243"/>
      <c r="C570" s="1225"/>
      <c r="D570" s="226">
        <v>2021</v>
      </c>
      <c r="E570" s="484">
        <f t="shared" si="39"/>
        <v>0</v>
      </c>
      <c r="F570" s="484">
        <v>0</v>
      </c>
      <c r="G570" s="484">
        <v>0</v>
      </c>
      <c r="H570" s="484">
        <v>0</v>
      </c>
      <c r="I570" s="484">
        <v>0</v>
      </c>
      <c r="J570" s="1228"/>
      <c r="K570" s="1231"/>
    </row>
    <row r="571" spans="1:11" s="228" customFormat="1">
      <c r="A571" s="1235"/>
      <c r="B571" s="1243"/>
      <c r="C571" s="1225"/>
      <c r="D571" s="226">
        <v>2022</v>
      </c>
      <c r="E571" s="484">
        <f t="shared" si="39"/>
        <v>0</v>
      </c>
      <c r="F571" s="484">
        <v>0</v>
      </c>
      <c r="G571" s="484">
        <v>0</v>
      </c>
      <c r="H571" s="484">
        <v>0</v>
      </c>
      <c r="I571" s="484">
        <v>0</v>
      </c>
      <c r="J571" s="1228"/>
      <c r="K571" s="1231"/>
    </row>
    <row r="572" spans="1:11" s="228" customFormat="1">
      <c r="A572" s="1235"/>
      <c r="B572" s="1243"/>
      <c r="C572" s="1225"/>
      <c r="D572" s="226">
        <v>2023</v>
      </c>
      <c r="E572" s="484">
        <f t="shared" si="39"/>
        <v>0</v>
      </c>
      <c r="F572" s="484">
        <v>0</v>
      </c>
      <c r="G572" s="484">
        <v>0</v>
      </c>
      <c r="H572" s="484">
        <v>0</v>
      </c>
      <c r="I572" s="484">
        <v>0</v>
      </c>
      <c r="J572" s="1228"/>
      <c r="K572" s="1231"/>
    </row>
    <row r="573" spans="1:11" s="228" customFormat="1">
      <c r="A573" s="1235"/>
      <c r="B573" s="1243"/>
      <c r="C573" s="1225"/>
      <c r="D573" s="226">
        <v>2024</v>
      </c>
      <c r="E573" s="484">
        <v>0</v>
      </c>
      <c r="F573" s="485">
        <v>0</v>
      </c>
      <c r="G573" s="484">
        <v>0</v>
      </c>
      <c r="H573" s="484">
        <v>0</v>
      </c>
      <c r="I573" s="484">
        <v>0</v>
      </c>
      <c r="J573" s="1228"/>
      <c r="K573" s="1231"/>
    </row>
    <row r="574" spans="1:11" s="228" customFormat="1">
      <c r="A574" s="1235"/>
      <c r="B574" s="1243"/>
      <c r="C574" s="1225"/>
      <c r="D574" s="226">
        <v>2025</v>
      </c>
      <c r="E574" s="484">
        <v>0</v>
      </c>
      <c r="F574" s="484">
        <v>0</v>
      </c>
      <c r="G574" s="484">
        <v>0</v>
      </c>
      <c r="H574" s="484">
        <v>0</v>
      </c>
      <c r="I574" s="484">
        <v>0</v>
      </c>
      <c r="J574" s="1228"/>
      <c r="K574" s="1231"/>
    </row>
    <row r="575" spans="1:11" s="228" customFormat="1">
      <c r="A575" s="1235"/>
      <c r="B575" s="1243"/>
      <c r="C575" s="1226"/>
      <c r="D575" s="226">
        <v>2026</v>
      </c>
      <c r="E575" s="484">
        <f t="shared" si="39"/>
        <v>0</v>
      </c>
      <c r="F575" s="484">
        <v>0</v>
      </c>
      <c r="G575" s="484">
        <v>0</v>
      </c>
      <c r="H575" s="484">
        <v>0</v>
      </c>
      <c r="I575" s="484">
        <v>0</v>
      </c>
      <c r="J575" s="1229"/>
      <c r="K575" s="1231"/>
    </row>
    <row r="576" spans="1:11">
      <c r="A576" s="1239" t="s">
        <v>698</v>
      </c>
      <c r="B576" s="1242" t="s">
        <v>672</v>
      </c>
      <c r="C576" s="1224">
        <v>2024</v>
      </c>
      <c r="D576" s="226" t="s">
        <v>3</v>
      </c>
      <c r="E576" s="484">
        <f t="shared" si="39"/>
        <v>14179.368421052632</v>
      </c>
      <c r="F576" s="484">
        <f>SUM(F577:F582)</f>
        <v>3020.4</v>
      </c>
      <c r="G576" s="484">
        <f>SUM(G577:G582)</f>
        <v>0</v>
      </c>
      <c r="H576" s="484">
        <f>SUM(H577:H582)</f>
        <v>158.96842105263158</v>
      </c>
      <c r="I576" s="484">
        <f>SUM(I577:I582)</f>
        <v>11000</v>
      </c>
      <c r="J576" s="1227" t="s">
        <v>673</v>
      </c>
      <c r="K576" s="1230" t="s">
        <v>129</v>
      </c>
    </row>
    <row r="577" spans="1:11">
      <c r="A577" s="1240"/>
      <c r="B577" s="1243"/>
      <c r="C577" s="1225"/>
      <c r="D577" s="226">
        <v>2021</v>
      </c>
      <c r="E577" s="484">
        <f t="shared" si="39"/>
        <v>0</v>
      </c>
      <c r="F577" s="484">
        <v>0</v>
      </c>
      <c r="G577" s="484">
        <f>[5]НОВЫЙ_МИНСТРОЙ!G529</f>
        <v>0</v>
      </c>
      <c r="H577" s="484">
        <v>0</v>
      </c>
      <c r="I577" s="484">
        <f>[5]НОВЫЙ_МИНСТРОЙ!I529</f>
        <v>0</v>
      </c>
      <c r="J577" s="1228"/>
      <c r="K577" s="1231"/>
    </row>
    <row r="578" spans="1:11">
      <c r="A578" s="1240"/>
      <c r="B578" s="1243"/>
      <c r="C578" s="1225"/>
      <c r="D578" s="226">
        <v>2022</v>
      </c>
      <c r="E578" s="484">
        <f t="shared" si="39"/>
        <v>0</v>
      </c>
      <c r="F578" s="484">
        <v>0</v>
      </c>
      <c r="G578" s="484">
        <f>[5]НОВЫЙ_МИНСТРОЙ!G530</f>
        <v>0</v>
      </c>
      <c r="H578" s="484">
        <v>0</v>
      </c>
      <c r="I578" s="484">
        <f>[5]НОВЫЙ_МИНСТРОЙ!I530</f>
        <v>0</v>
      </c>
      <c r="J578" s="1228"/>
      <c r="K578" s="1231"/>
    </row>
    <row r="579" spans="1:11">
      <c r="A579" s="1240"/>
      <c r="B579" s="1243"/>
      <c r="C579" s="1225"/>
      <c r="D579" s="226">
        <v>2023</v>
      </c>
      <c r="E579" s="484">
        <f t="shared" si="39"/>
        <v>0</v>
      </c>
      <c r="F579" s="484">
        <v>0</v>
      </c>
      <c r="G579" s="484">
        <f>[5]НОВЫЙ_МИНСТРОЙ!G531</f>
        <v>0</v>
      </c>
      <c r="H579" s="484">
        <f>[5]НОВЫЙ_МИНСТРОЙ!H531</f>
        <v>0</v>
      </c>
      <c r="I579" s="484">
        <f>[5]НОВЫЙ_МИНСТРОЙ!I531</f>
        <v>0</v>
      </c>
      <c r="J579" s="1228"/>
      <c r="K579" s="1231"/>
    </row>
    <row r="580" spans="1:11">
      <c r="A580" s="1240"/>
      <c r="B580" s="1243"/>
      <c r="C580" s="1225"/>
      <c r="D580" s="226">
        <v>2024</v>
      </c>
      <c r="E580" s="484">
        <f t="shared" si="39"/>
        <v>14179.368421052632</v>
      </c>
      <c r="F580" s="484">
        <f>3020400/1000</f>
        <v>3020.4</v>
      </c>
      <c r="G580" s="484">
        <f>[6]НОВЫЙ_МИНСТРОЙ!G531</f>
        <v>0</v>
      </c>
      <c r="H580" s="484">
        <f>F580/0.95*0.05</f>
        <v>158.96842105263158</v>
      </c>
      <c r="I580" s="484">
        <v>11000</v>
      </c>
      <c r="J580" s="1228"/>
      <c r="K580" s="1231"/>
    </row>
    <row r="581" spans="1:11">
      <c r="A581" s="1240"/>
      <c r="B581" s="1243"/>
      <c r="C581" s="1225"/>
      <c r="D581" s="226">
        <v>2025</v>
      </c>
      <c r="E581" s="484">
        <f t="shared" si="39"/>
        <v>0</v>
      </c>
      <c r="F581" s="484">
        <v>0</v>
      </c>
      <c r="G581" s="484">
        <v>0</v>
      </c>
      <c r="H581" s="484">
        <v>0</v>
      </c>
      <c r="I581" s="484">
        <v>0</v>
      </c>
      <c r="J581" s="1228"/>
      <c r="K581" s="1231"/>
    </row>
    <row r="582" spans="1:11">
      <c r="A582" s="1240"/>
      <c r="B582" s="1243"/>
      <c r="C582" s="1226"/>
      <c r="D582" s="226">
        <v>2026</v>
      </c>
      <c r="E582" s="484">
        <f t="shared" si="39"/>
        <v>0</v>
      </c>
      <c r="F582" s="484">
        <f>[5]НОВЫЙ_МИНСТРОЙ!F533</f>
        <v>0</v>
      </c>
      <c r="G582" s="484">
        <f>[5]НОВЫЙ_МИНСТРОЙ!G533</f>
        <v>0</v>
      </c>
      <c r="H582" s="484">
        <f>[5]НОВЫЙ_МИНСТРОЙ!H533</f>
        <v>0</v>
      </c>
      <c r="I582" s="484">
        <f>[5]НОВЫЙ_МИНСТРОЙ!I533</f>
        <v>0</v>
      </c>
      <c r="J582" s="1229"/>
      <c r="K582" s="1231"/>
    </row>
    <row r="583" spans="1:11">
      <c r="A583" s="1224" t="s">
        <v>456</v>
      </c>
      <c r="B583" s="1224" t="s">
        <v>60</v>
      </c>
      <c r="C583" s="1224" t="s">
        <v>235</v>
      </c>
      <c r="D583" s="226" t="s">
        <v>3</v>
      </c>
      <c r="E583" s="484">
        <f t="shared" si="39"/>
        <v>1135230.0168718263</v>
      </c>
      <c r="F583" s="484">
        <f>SUM(F584:F589)</f>
        <v>1100245.2221599999</v>
      </c>
      <c r="G583" s="484">
        <f>SUM(G584:G588)</f>
        <v>0</v>
      </c>
      <c r="H583" s="484">
        <f>SUM(H584:H588)</f>
        <v>34984.794711826275</v>
      </c>
      <c r="I583" s="484">
        <f t="shared" ref="I583:I585" si="40">SUM(I591:I596)</f>
        <v>0</v>
      </c>
      <c r="J583" s="1227" t="s">
        <v>457</v>
      </c>
      <c r="K583" s="1230" t="s">
        <v>458</v>
      </c>
    </row>
    <row r="584" spans="1:11">
      <c r="A584" s="1225"/>
      <c r="B584" s="1225"/>
      <c r="C584" s="1225"/>
      <c r="D584" s="226">
        <v>2021</v>
      </c>
      <c r="E584" s="484">
        <f t="shared" si="39"/>
        <v>195224.35576589749</v>
      </c>
      <c r="F584" s="484">
        <f t="shared" ref="F584:F589" si="41">SUM(F591+F598+F605+F612+F619+F626+F633+F640+F647+F654+F661+F668+F675+F682+F689+F696+F703+F710+F717+F724+F731+F738+F745+F752+F759+F766+F773+F780+F787+F836+F794+F801+F808+F815+F822+F829)</f>
        <v>179524.59972</v>
      </c>
      <c r="G584" s="484">
        <f t="shared" ref="G584:G587" si="42">SUM(G591+G598+G605+G612+G619+G626+G633+G640+G647+G654+G661+G668+G675+G682+G689+G696+G703+G710+G717+G724+G731+G738+G745+G752+G759+G766+G773+G780+G787)</f>
        <v>0</v>
      </c>
      <c r="H584" s="484">
        <f t="shared" ref="H584:H589" si="43">SUM(H591+H598+H605+H612+H619+H626+H633+H640+H647+H654+H661+H668+H675+H682+H689+H696+H703+H710+H717+H724+H731+H738+H745+H752+H759+H766+H773+H780+H787+H836+H794+H801+H808+H815+H822+H829)</f>
        <v>15699.756045897479</v>
      </c>
      <c r="I584" s="484">
        <f t="shared" si="40"/>
        <v>0</v>
      </c>
      <c r="J584" s="1228"/>
      <c r="K584" s="1231"/>
    </row>
    <row r="585" spans="1:11">
      <c r="A585" s="1225"/>
      <c r="B585" s="1225"/>
      <c r="C585" s="1225"/>
      <c r="D585" s="226">
        <v>2022</v>
      </c>
      <c r="E585" s="484">
        <f t="shared" si="39"/>
        <v>369218.75899592874</v>
      </c>
      <c r="F585" s="484">
        <f t="shared" si="41"/>
        <v>355399.40232999995</v>
      </c>
      <c r="G585" s="484">
        <f t="shared" si="42"/>
        <v>0</v>
      </c>
      <c r="H585" s="484">
        <f t="shared" si="43"/>
        <v>13819.356665928797</v>
      </c>
      <c r="I585" s="484">
        <f t="shared" si="40"/>
        <v>0</v>
      </c>
      <c r="J585" s="1228"/>
      <c r="K585" s="1231"/>
    </row>
    <row r="586" spans="1:11">
      <c r="A586" s="1225"/>
      <c r="B586" s="1225"/>
      <c r="C586" s="1225"/>
      <c r="D586" s="226">
        <v>2023</v>
      </c>
      <c r="E586" s="484">
        <f t="shared" si="39"/>
        <v>127612.45300000001</v>
      </c>
      <c r="F586" s="484">
        <f t="shared" si="41"/>
        <v>122146.77100000001</v>
      </c>
      <c r="G586" s="484">
        <f t="shared" si="42"/>
        <v>0</v>
      </c>
      <c r="H586" s="484">
        <f t="shared" si="43"/>
        <v>5465.6819999999998</v>
      </c>
      <c r="I586" s="484">
        <f t="shared" ref="I586:I587" si="44">SUM(I593+I600+I607+I614+I621+I628+I635+I642+I649+I656+I663+I670+I677+I684+I691+I698+I705+I712+I719+I726+I733+I740+I747+I754+I761+I768+I775+I782+I789)</f>
        <v>0</v>
      </c>
      <c r="J586" s="1228"/>
      <c r="K586" s="1231"/>
    </row>
    <row r="587" spans="1:11">
      <c r="A587" s="1225"/>
      <c r="B587" s="1225"/>
      <c r="C587" s="1225"/>
      <c r="D587" s="226">
        <v>2024</v>
      </c>
      <c r="E587" s="484">
        <f t="shared" si="39"/>
        <v>22839.349109999996</v>
      </c>
      <c r="F587" s="484">
        <f t="shared" si="41"/>
        <v>22839.349109999996</v>
      </c>
      <c r="G587" s="484">
        <f t="shared" si="42"/>
        <v>0</v>
      </c>
      <c r="H587" s="484">
        <f t="shared" si="43"/>
        <v>0</v>
      </c>
      <c r="I587" s="484">
        <f t="shared" si="44"/>
        <v>0</v>
      </c>
      <c r="J587" s="1228"/>
      <c r="K587" s="1231"/>
    </row>
    <row r="588" spans="1:11">
      <c r="A588" s="1225"/>
      <c r="B588" s="1225"/>
      <c r="C588" s="1225"/>
      <c r="D588" s="226">
        <v>2025</v>
      </c>
      <c r="E588" s="484">
        <f t="shared" si="39"/>
        <v>35863.800000000003</v>
      </c>
      <c r="F588" s="484">
        <f t="shared" si="41"/>
        <v>35863.800000000003</v>
      </c>
      <c r="G588" s="484">
        <f>SUM(G596+G602+G610+G617+G624+G631+G638+G645+G652+G659+G666+G673+G680+G687+G694+G701+G708+G714+G722+G729+G736+G743+G750+G757+G764+G771+G778+G785+G792)</f>
        <v>0</v>
      </c>
      <c r="H588" s="484">
        <f t="shared" si="43"/>
        <v>0</v>
      </c>
      <c r="I588" s="484">
        <f>SUM(I596+I602+I610+I617+I624+I631+I638+I645+I652+I659+I666+I673+I680+I687+I694+I701+I708+I714+I722+I729+I736+I743+I750+I757+I764+I771+I778+I785+I792)</f>
        <v>0</v>
      </c>
      <c r="J588" s="1228"/>
      <c r="K588" s="1231"/>
    </row>
    <row r="589" spans="1:11">
      <c r="A589" s="1226"/>
      <c r="B589" s="1226"/>
      <c r="C589" s="1226"/>
      <c r="D589" s="226">
        <v>2026</v>
      </c>
      <c r="E589" s="484">
        <f t="shared" si="39"/>
        <v>384471.30000000005</v>
      </c>
      <c r="F589" s="484">
        <f t="shared" si="41"/>
        <v>384471.30000000005</v>
      </c>
      <c r="G589" s="484">
        <f>SUM(G603,G827,G834)</f>
        <v>0</v>
      </c>
      <c r="H589" s="484">
        <f t="shared" si="43"/>
        <v>0</v>
      </c>
      <c r="I589" s="484">
        <f>SUM(I603,I827,I834)</f>
        <v>0</v>
      </c>
      <c r="J589" s="1229"/>
      <c r="K589" s="1232"/>
    </row>
    <row r="590" spans="1:11">
      <c r="A590" s="1219" t="s">
        <v>53</v>
      </c>
      <c r="B590" s="1220" t="s">
        <v>84</v>
      </c>
      <c r="C590" s="1224" t="s">
        <v>389</v>
      </c>
      <c r="D590" s="226" t="s">
        <v>3</v>
      </c>
      <c r="E590" s="484">
        <f t="shared" si="39"/>
        <v>54408.455999999998</v>
      </c>
      <c r="F590" s="484">
        <f>SUM(F591:F596)</f>
        <v>50810.661</v>
      </c>
      <c r="G590" s="484">
        <f>SUM(G591:G596)</f>
        <v>0</v>
      </c>
      <c r="H590" s="484">
        <f>SUM(H591:H596)</f>
        <v>3597.7950000000001</v>
      </c>
      <c r="I590" s="484">
        <f>SUM(I591:I596)</f>
        <v>0</v>
      </c>
      <c r="J590" s="1236" t="s">
        <v>459</v>
      </c>
      <c r="K590" s="1223" t="s">
        <v>139</v>
      </c>
    </row>
    <row r="591" spans="1:11">
      <c r="A591" s="1219"/>
      <c r="B591" s="1220"/>
      <c r="C591" s="1225"/>
      <c r="D591" s="226">
        <v>2021</v>
      </c>
      <c r="E591" s="484">
        <f t="shared" si="39"/>
        <v>27027.03</v>
      </c>
      <c r="F591" s="484">
        <v>25000</v>
      </c>
      <c r="G591" s="484">
        <v>0</v>
      </c>
      <c r="H591" s="484">
        <v>2027.03</v>
      </c>
      <c r="I591" s="484">
        <v>0</v>
      </c>
      <c r="J591" s="1237"/>
      <c r="K591" s="1223"/>
    </row>
    <row r="592" spans="1:11">
      <c r="A592" s="1219"/>
      <c r="B592" s="1220"/>
      <c r="C592" s="1225"/>
      <c r="D592" s="226">
        <v>2022</v>
      </c>
      <c r="E592" s="484">
        <f t="shared" si="39"/>
        <v>8067.7860000000001</v>
      </c>
      <c r="F592" s="484">
        <v>7462.7030000000004</v>
      </c>
      <c r="G592" s="484">
        <v>0</v>
      </c>
      <c r="H592" s="484">
        <v>605.08299999999997</v>
      </c>
      <c r="I592" s="484">
        <v>0</v>
      </c>
      <c r="J592" s="1237"/>
      <c r="K592" s="1223"/>
    </row>
    <row r="593" spans="1:11">
      <c r="A593" s="1219"/>
      <c r="B593" s="1220"/>
      <c r="C593" s="1225"/>
      <c r="D593" s="226">
        <v>2023</v>
      </c>
      <c r="E593" s="484">
        <f t="shared" si="39"/>
        <v>19313.64</v>
      </c>
      <c r="F593" s="484">
        <f>24463.944-6115.986</f>
        <v>18347.957999999999</v>
      </c>
      <c r="G593" s="484">
        <v>0</v>
      </c>
      <c r="H593" s="484">
        <v>965.68200000000002</v>
      </c>
      <c r="I593" s="484">
        <v>0</v>
      </c>
      <c r="J593" s="1237"/>
      <c r="K593" s="1223"/>
    </row>
    <row r="594" spans="1:11">
      <c r="A594" s="1219"/>
      <c r="B594" s="1220"/>
      <c r="C594" s="1225"/>
      <c r="D594" s="226">
        <v>2024</v>
      </c>
      <c r="E594" s="484">
        <f t="shared" si="39"/>
        <v>0</v>
      </c>
      <c r="F594" s="484">
        <v>0</v>
      </c>
      <c r="G594" s="484">
        <v>0</v>
      </c>
      <c r="H594" s="484">
        <v>0</v>
      </c>
      <c r="I594" s="484">
        <f>'[5]334-ПП'!Q111</f>
        <v>0</v>
      </c>
      <c r="J594" s="1237"/>
      <c r="K594" s="1223"/>
    </row>
    <row r="595" spans="1:11">
      <c r="A595" s="1219"/>
      <c r="B595" s="1220"/>
      <c r="C595" s="1225"/>
      <c r="D595" s="226">
        <v>2025</v>
      </c>
      <c r="E595" s="484">
        <v>0</v>
      </c>
      <c r="F595" s="484">
        <v>0</v>
      </c>
      <c r="G595" s="484">
        <v>0</v>
      </c>
      <c r="H595" s="484">
        <v>0</v>
      </c>
      <c r="I595" s="484">
        <v>0</v>
      </c>
      <c r="J595" s="1237"/>
      <c r="K595" s="1223"/>
    </row>
    <row r="596" spans="1:11">
      <c r="A596" s="1219"/>
      <c r="B596" s="1220"/>
      <c r="C596" s="1226"/>
      <c r="D596" s="226">
        <v>2026</v>
      </c>
      <c r="E596" s="484">
        <f t="shared" si="39"/>
        <v>0</v>
      </c>
      <c r="F596" s="484">
        <v>0</v>
      </c>
      <c r="G596" s="484">
        <v>0</v>
      </c>
      <c r="H596" s="484">
        <v>0</v>
      </c>
      <c r="I596" s="484">
        <v>0</v>
      </c>
      <c r="J596" s="1238"/>
      <c r="K596" s="1223"/>
    </row>
    <row r="597" spans="1:11">
      <c r="A597" s="1224" t="s">
        <v>126</v>
      </c>
      <c r="B597" s="1224" t="s">
        <v>19</v>
      </c>
      <c r="C597" s="1224" t="s">
        <v>235</v>
      </c>
      <c r="D597" s="226" t="s">
        <v>3</v>
      </c>
      <c r="E597" s="484">
        <f t="shared" si="39"/>
        <v>78406.856999999989</v>
      </c>
      <c r="F597" s="484">
        <f>SUM(F598:F603)</f>
        <v>78406.856999999989</v>
      </c>
      <c r="G597" s="484">
        <f>SUM(G598:G602)</f>
        <v>0</v>
      </c>
      <c r="H597" s="484">
        <f>SUM(H598:H602)</f>
        <v>0</v>
      </c>
      <c r="I597" s="484">
        <f>SUM(I598:I602)</f>
        <v>0</v>
      </c>
      <c r="J597" s="1227" t="s">
        <v>144</v>
      </c>
      <c r="K597" s="1230" t="s">
        <v>142</v>
      </c>
    </row>
    <row r="598" spans="1:11">
      <c r="A598" s="1225"/>
      <c r="B598" s="1225"/>
      <c r="C598" s="1225"/>
      <c r="D598" s="226">
        <v>2021</v>
      </c>
      <c r="E598" s="484">
        <f t="shared" si="39"/>
        <v>6000</v>
      </c>
      <c r="F598" s="484">
        <v>6000</v>
      </c>
      <c r="G598" s="484">
        <v>0</v>
      </c>
      <c r="H598" s="484">
        <v>0</v>
      </c>
      <c r="I598" s="484">
        <v>0</v>
      </c>
      <c r="J598" s="1228"/>
      <c r="K598" s="1231"/>
    </row>
    <row r="599" spans="1:11">
      <c r="A599" s="1225"/>
      <c r="B599" s="1225"/>
      <c r="C599" s="1225"/>
      <c r="D599" s="226">
        <v>2022</v>
      </c>
      <c r="E599" s="484">
        <f t="shared" si="39"/>
        <v>42479.56</v>
      </c>
      <c r="F599" s="484">
        <v>42479.56</v>
      </c>
      <c r="G599" s="484">
        <v>0</v>
      </c>
      <c r="H599" s="484">
        <v>0</v>
      </c>
      <c r="I599" s="484">
        <v>0</v>
      </c>
      <c r="J599" s="1228"/>
      <c r="K599" s="1231"/>
    </row>
    <row r="600" spans="1:11">
      <c r="A600" s="1225"/>
      <c r="B600" s="1225"/>
      <c r="C600" s="1225"/>
      <c r="D600" s="226">
        <v>2023</v>
      </c>
      <c r="E600" s="484">
        <f t="shared" si="39"/>
        <v>11927.296999999999</v>
      </c>
      <c r="F600" s="484">
        <f>6000+5927.297</f>
        <v>11927.296999999999</v>
      </c>
      <c r="G600" s="484">
        <v>0</v>
      </c>
      <c r="H600" s="484">
        <v>0</v>
      </c>
      <c r="I600" s="484">
        <v>0</v>
      </c>
      <c r="J600" s="1228"/>
      <c r="K600" s="1231"/>
    </row>
    <row r="601" spans="1:11">
      <c r="A601" s="1225"/>
      <c r="B601" s="1225"/>
      <c r="C601" s="1225"/>
      <c r="D601" s="226">
        <v>2024</v>
      </c>
      <c r="E601" s="484">
        <f t="shared" si="39"/>
        <v>6000</v>
      </c>
      <c r="F601" s="484">
        <f>6000</f>
        <v>6000</v>
      </c>
      <c r="G601" s="484">
        <v>0</v>
      </c>
      <c r="H601" s="484">
        <v>0</v>
      </c>
      <c r="I601" s="484">
        <v>0</v>
      </c>
      <c r="J601" s="1228"/>
      <c r="K601" s="1231"/>
    </row>
    <row r="602" spans="1:11">
      <c r="A602" s="1225"/>
      <c r="B602" s="1225"/>
      <c r="C602" s="1225"/>
      <c r="D602" s="226">
        <v>2025</v>
      </c>
      <c r="E602" s="484">
        <f t="shared" si="39"/>
        <v>6000</v>
      </c>
      <c r="F602" s="484">
        <v>6000</v>
      </c>
      <c r="G602" s="484">
        <v>0</v>
      </c>
      <c r="H602" s="484">
        <v>0</v>
      </c>
      <c r="I602" s="484">
        <v>0</v>
      </c>
      <c r="J602" s="1228"/>
      <c r="K602" s="1231"/>
    </row>
    <row r="603" spans="1:11">
      <c r="A603" s="1226"/>
      <c r="B603" s="1226"/>
      <c r="C603" s="1226"/>
      <c r="D603" s="226">
        <v>2026</v>
      </c>
      <c r="E603" s="484">
        <f t="shared" si="39"/>
        <v>6000</v>
      </c>
      <c r="F603" s="484">
        <v>6000</v>
      </c>
      <c r="G603" s="484">
        <v>0</v>
      </c>
      <c r="H603" s="484">
        <v>0</v>
      </c>
      <c r="I603" s="484">
        <v>0</v>
      </c>
      <c r="J603" s="1229"/>
      <c r="K603" s="1232"/>
    </row>
    <row r="604" spans="1:11">
      <c r="A604" s="1219" t="s">
        <v>460</v>
      </c>
      <c r="B604" s="1220" t="s">
        <v>461</v>
      </c>
      <c r="C604" s="1224" t="s">
        <v>297</v>
      </c>
      <c r="D604" s="226" t="s">
        <v>3</v>
      </c>
      <c r="E604" s="484">
        <f t="shared" si="39"/>
        <v>36485.39587</v>
      </c>
      <c r="F604" s="484">
        <f>SUM(F605:F610)</f>
        <v>36485.39587</v>
      </c>
      <c r="G604" s="484">
        <f>SUM(G605:G610)</f>
        <v>0</v>
      </c>
      <c r="H604" s="484">
        <f>SUM(H605:H610)</f>
        <v>0</v>
      </c>
      <c r="I604" s="484">
        <f>SUM(I605:I610)</f>
        <v>0</v>
      </c>
      <c r="J604" s="1222" t="s">
        <v>462</v>
      </c>
      <c r="K604" s="1223" t="s">
        <v>241</v>
      </c>
    </row>
    <row r="605" spans="1:11">
      <c r="A605" s="1219"/>
      <c r="B605" s="1220"/>
      <c r="C605" s="1225"/>
      <c r="D605" s="226">
        <v>2021</v>
      </c>
      <c r="E605" s="484">
        <f t="shared" si="39"/>
        <v>3963.1770000000001</v>
      </c>
      <c r="F605" s="484">
        <f>3963177/1000</f>
        <v>3963.1770000000001</v>
      </c>
      <c r="G605" s="484">
        <v>0</v>
      </c>
      <c r="H605" s="484">
        <v>0</v>
      </c>
      <c r="I605" s="484">
        <v>0</v>
      </c>
      <c r="J605" s="1222"/>
      <c r="K605" s="1223"/>
    </row>
    <row r="606" spans="1:11">
      <c r="A606" s="1219"/>
      <c r="B606" s="1220"/>
      <c r="C606" s="1225"/>
      <c r="D606" s="226">
        <v>2022</v>
      </c>
      <c r="E606" s="484">
        <f t="shared" si="39"/>
        <v>25913.068869999999</v>
      </c>
      <c r="F606" s="484">
        <f>32144.3+6312.158-13089.787+546.39787</f>
        <v>25913.068869999999</v>
      </c>
      <c r="G606" s="484">
        <v>0</v>
      </c>
      <c r="H606" s="484">
        <v>0</v>
      </c>
      <c r="I606" s="484">
        <v>0</v>
      </c>
      <c r="J606" s="1222"/>
      <c r="K606" s="1223"/>
    </row>
    <row r="607" spans="1:11">
      <c r="A607" s="1219"/>
      <c r="B607" s="1220"/>
      <c r="C607" s="1225"/>
      <c r="D607" s="226">
        <v>2023</v>
      </c>
      <c r="E607" s="484">
        <f t="shared" si="39"/>
        <v>1807.45</v>
      </c>
      <c r="F607" s="484">
        <v>1807.45</v>
      </c>
      <c r="G607" s="484">
        <v>0</v>
      </c>
      <c r="H607" s="484">
        <v>0</v>
      </c>
      <c r="I607" s="484">
        <v>0</v>
      </c>
      <c r="J607" s="1222"/>
      <c r="K607" s="1223"/>
    </row>
    <row r="608" spans="1:11">
      <c r="A608" s="1219"/>
      <c r="B608" s="1220"/>
      <c r="C608" s="1225"/>
      <c r="D608" s="226">
        <v>2024</v>
      </c>
      <c r="E608" s="484">
        <f t="shared" si="39"/>
        <v>4801.7</v>
      </c>
      <c r="F608" s="484">
        <f>3463.7+1338</f>
        <v>4801.7</v>
      </c>
      <c r="G608" s="484">
        <v>0</v>
      </c>
      <c r="H608" s="484">
        <v>0</v>
      </c>
      <c r="I608" s="484">
        <v>0</v>
      </c>
      <c r="J608" s="1222"/>
      <c r="K608" s="1223"/>
    </row>
    <row r="609" spans="1:11">
      <c r="A609" s="1219"/>
      <c r="B609" s="1220"/>
      <c r="C609" s="1225"/>
      <c r="D609" s="226">
        <v>2025</v>
      </c>
      <c r="E609" s="484">
        <v>0</v>
      </c>
      <c r="F609" s="484">
        <v>0</v>
      </c>
      <c r="G609" s="484">
        <v>0</v>
      </c>
      <c r="H609" s="484">
        <v>0</v>
      </c>
      <c r="I609" s="484">
        <v>0</v>
      </c>
      <c r="J609" s="1222"/>
      <c r="K609" s="1223"/>
    </row>
    <row r="610" spans="1:11">
      <c r="A610" s="1219"/>
      <c r="B610" s="1220"/>
      <c r="C610" s="1226"/>
      <c r="D610" s="226">
        <v>2026</v>
      </c>
      <c r="E610" s="484">
        <f t="shared" si="39"/>
        <v>0</v>
      </c>
      <c r="F610" s="484">
        <v>0</v>
      </c>
      <c r="G610" s="484">
        <v>0</v>
      </c>
      <c r="H610" s="484">
        <v>0</v>
      </c>
      <c r="I610" s="484">
        <v>0</v>
      </c>
      <c r="J610" s="1222"/>
      <c r="K610" s="1223"/>
    </row>
    <row r="611" spans="1:11">
      <c r="A611" s="1219" t="s">
        <v>463</v>
      </c>
      <c r="B611" s="1220" t="s">
        <v>464</v>
      </c>
      <c r="C611" s="1224">
        <v>2021</v>
      </c>
      <c r="D611" s="226" t="s">
        <v>3</v>
      </c>
      <c r="E611" s="484">
        <f t="shared" si="39"/>
        <v>22778.260870000002</v>
      </c>
      <c r="F611" s="484">
        <f>SUM(F612:F617)</f>
        <v>18860.400000000001</v>
      </c>
      <c r="G611" s="484">
        <f>SUM(G612:G617)</f>
        <v>0</v>
      </c>
      <c r="H611" s="484">
        <f>SUM(H612:H617)</f>
        <v>3917.86087</v>
      </c>
      <c r="I611" s="484">
        <f>SUM(I612:I617)</f>
        <v>0</v>
      </c>
      <c r="J611" s="1222" t="s">
        <v>465</v>
      </c>
      <c r="K611" s="1223" t="s">
        <v>139</v>
      </c>
    </row>
    <row r="612" spans="1:11">
      <c r="A612" s="1219"/>
      <c r="B612" s="1220"/>
      <c r="C612" s="1225"/>
      <c r="D612" s="226">
        <v>2021</v>
      </c>
      <c r="E612" s="484">
        <f t="shared" si="39"/>
        <v>22778.260870000002</v>
      </c>
      <c r="F612" s="484">
        <v>18860.400000000001</v>
      </c>
      <c r="G612" s="484">
        <v>0</v>
      </c>
      <c r="H612" s="484">
        <v>3917.86087</v>
      </c>
      <c r="I612" s="484">
        <v>0</v>
      </c>
      <c r="J612" s="1222"/>
      <c r="K612" s="1223"/>
    </row>
    <row r="613" spans="1:11">
      <c r="A613" s="1219"/>
      <c r="B613" s="1220"/>
      <c r="C613" s="1225"/>
      <c r="D613" s="226">
        <v>2022</v>
      </c>
      <c r="E613" s="484">
        <v>0</v>
      </c>
      <c r="F613" s="484">
        <v>0</v>
      </c>
      <c r="G613" s="484">
        <v>0</v>
      </c>
      <c r="H613" s="484">
        <v>0</v>
      </c>
      <c r="I613" s="484">
        <v>0</v>
      </c>
      <c r="J613" s="1222"/>
      <c r="K613" s="1223"/>
    </row>
    <row r="614" spans="1:11">
      <c r="A614" s="1219"/>
      <c r="B614" s="1220"/>
      <c r="C614" s="1225"/>
      <c r="D614" s="226">
        <v>2023</v>
      </c>
      <c r="E614" s="484">
        <v>0</v>
      </c>
      <c r="F614" s="484">
        <v>0</v>
      </c>
      <c r="G614" s="484">
        <v>0</v>
      </c>
      <c r="H614" s="484">
        <v>0</v>
      </c>
      <c r="I614" s="484">
        <v>0</v>
      </c>
      <c r="J614" s="1222"/>
      <c r="K614" s="1223"/>
    </row>
    <row r="615" spans="1:11">
      <c r="A615" s="1219"/>
      <c r="B615" s="1220"/>
      <c r="C615" s="1225"/>
      <c r="D615" s="226">
        <v>2024</v>
      </c>
      <c r="E615" s="484">
        <v>0</v>
      </c>
      <c r="F615" s="484">
        <v>0</v>
      </c>
      <c r="G615" s="484">
        <v>0</v>
      </c>
      <c r="H615" s="484">
        <v>0</v>
      </c>
      <c r="I615" s="484">
        <v>0</v>
      </c>
      <c r="J615" s="1222"/>
      <c r="K615" s="1223"/>
    </row>
    <row r="616" spans="1:11">
      <c r="A616" s="1219"/>
      <c r="B616" s="1220"/>
      <c r="C616" s="1225"/>
      <c r="D616" s="226">
        <v>2025</v>
      </c>
      <c r="E616" s="484">
        <v>0</v>
      </c>
      <c r="F616" s="484">
        <v>0</v>
      </c>
      <c r="G616" s="484">
        <v>0</v>
      </c>
      <c r="H616" s="484">
        <v>0</v>
      </c>
      <c r="I616" s="484">
        <v>0</v>
      </c>
      <c r="J616" s="1222"/>
      <c r="K616" s="1223"/>
    </row>
    <row r="617" spans="1:11">
      <c r="A617" s="1219"/>
      <c r="B617" s="1220"/>
      <c r="C617" s="1226"/>
      <c r="D617" s="226">
        <v>2026</v>
      </c>
      <c r="E617" s="484">
        <v>0</v>
      </c>
      <c r="F617" s="484">
        <v>0</v>
      </c>
      <c r="G617" s="484">
        <v>0</v>
      </c>
      <c r="H617" s="484">
        <v>0</v>
      </c>
      <c r="I617" s="484">
        <v>0</v>
      </c>
      <c r="J617" s="1222"/>
      <c r="K617" s="1223"/>
    </row>
    <row r="618" spans="1:11">
      <c r="A618" s="1219" t="s">
        <v>466</v>
      </c>
      <c r="B618" s="1220" t="s">
        <v>467</v>
      </c>
      <c r="C618" s="1219">
        <v>2021</v>
      </c>
      <c r="D618" s="226" t="s">
        <v>3</v>
      </c>
      <c r="E618" s="484">
        <f t="shared" si="39"/>
        <v>13210.697336842104</v>
      </c>
      <c r="F618" s="484">
        <f>SUM(F619:F624)</f>
        <v>12550.162469999999</v>
      </c>
      <c r="G618" s="484">
        <f>SUM(G619:G624)</f>
        <v>0</v>
      </c>
      <c r="H618" s="484">
        <f>SUM(H619:H624)</f>
        <v>660.5348668421052</v>
      </c>
      <c r="I618" s="484">
        <f>SUM(I619:I624)</f>
        <v>0</v>
      </c>
      <c r="J618" s="1222" t="s">
        <v>468</v>
      </c>
      <c r="K618" s="1223" t="s">
        <v>129</v>
      </c>
    </row>
    <row r="619" spans="1:11">
      <c r="A619" s="1219"/>
      <c r="B619" s="1220"/>
      <c r="C619" s="1219"/>
      <c r="D619" s="226">
        <v>2021</v>
      </c>
      <c r="E619" s="484">
        <f t="shared" si="39"/>
        <v>13210.697336842104</v>
      </c>
      <c r="F619" s="484">
        <v>12550.162469999999</v>
      </c>
      <c r="G619" s="484">
        <v>0</v>
      </c>
      <c r="H619" s="484">
        <f>F619/95*5</f>
        <v>660.5348668421052</v>
      </c>
      <c r="I619" s="484">
        <v>0</v>
      </c>
      <c r="J619" s="1222"/>
      <c r="K619" s="1223"/>
    </row>
    <row r="620" spans="1:11">
      <c r="A620" s="1219"/>
      <c r="B620" s="1220"/>
      <c r="C620" s="1219"/>
      <c r="D620" s="226">
        <v>2022</v>
      </c>
      <c r="E620" s="484">
        <v>0</v>
      </c>
      <c r="F620" s="484">
        <v>0</v>
      </c>
      <c r="G620" s="484">
        <v>0</v>
      </c>
      <c r="H620" s="484">
        <v>0</v>
      </c>
      <c r="I620" s="484">
        <v>0</v>
      </c>
      <c r="J620" s="1222"/>
      <c r="K620" s="1223"/>
    </row>
    <row r="621" spans="1:11">
      <c r="A621" s="1219"/>
      <c r="B621" s="1220"/>
      <c r="C621" s="1219"/>
      <c r="D621" s="226">
        <v>2023</v>
      </c>
      <c r="E621" s="484">
        <v>0</v>
      </c>
      <c r="F621" s="484">
        <v>0</v>
      </c>
      <c r="G621" s="484">
        <v>0</v>
      </c>
      <c r="H621" s="484">
        <v>0</v>
      </c>
      <c r="I621" s="484">
        <v>0</v>
      </c>
      <c r="J621" s="1222"/>
      <c r="K621" s="1223"/>
    </row>
    <row r="622" spans="1:11">
      <c r="A622" s="1219"/>
      <c r="B622" s="1220"/>
      <c r="C622" s="1219"/>
      <c r="D622" s="226">
        <v>2024</v>
      </c>
      <c r="E622" s="484">
        <v>0</v>
      </c>
      <c r="F622" s="484">
        <v>0</v>
      </c>
      <c r="G622" s="484">
        <v>0</v>
      </c>
      <c r="H622" s="484">
        <v>0</v>
      </c>
      <c r="I622" s="484">
        <v>0</v>
      </c>
      <c r="J622" s="1222"/>
      <c r="K622" s="1223"/>
    </row>
    <row r="623" spans="1:11">
      <c r="A623" s="1219"/>
      <c r="B623" s="1220"/>
      <c r="C623" s="1219"/>
      <c r="D623" s="226">
        <v>2025</v>
      </c>
      <c r="E623" s="484">
        <v>0</v>
      </c>
      <c r="F623" s="484">
        <v>0</v>
      </c>
      <c r="G623" s="484">
        <v>0</v>
      </c>
      <c r="H623" s="484">
        <v>0</v>
      </c>
      <c r="I623" s="484">
        <v>0</v>
      </c>
      <c r="J623" s="1222"/>
      <c r="K623" s="1223"/>
    </row>
    <row r="624" spans="1:11">
      <c r="A624" s="1219"/>
      <c r="B624" s="1220"/>
      <c r="C624" s="1219"/>
      <c r="D624" s="226">
        <v>2026</v>
      </c>
      <c r="E624" s="484">
        <v>0</v>
      </c>
      <c r="F624" s="484">
        <v>0</v>
      </c>
      <c r="G624" s="484">
        <v>0</v>
      </c>
      <c r="H624" s="484">
        <v>0</v>
      </c>
      <c r="I624" s="484">
        <v>0</v>
      </c>
      <c r="J624" s="1222"/>
      <c r="K624" s="1223"/>
    </row>
    <row r="625" spans="1:11">
      <c r="A625" s="1219" t="s">
        <v>469</v>
      </c>
      <c r="B625" s="1220" t="s">
        <v>470</v>
      </c>
      <c r="C625" s="1219">
        <v>2021</v>
      </c>
      <c r="D625" s="226" t="s">
        <v>3</v>
      </c>
      <c r="E625" s="484">
        <f t="shared" si="39"/>
        <v>7451.59</v>
      </c>
      <c r="F625" s="484">
        <f>SUM(F626:F631)</f>
        <v>7079.0105000000003</v>
      </c>
      <c r="G625" s="484">
        <f>SUM(G626:G631)</f>
        <v>0</v>
      </c>
      <c r="H625" s="484">
        <f>SUM(H626:H631)</f>
        <v>372.5795</v>
      </c>
      <c r="I625" s="484">
        <f>SUM(I626:I631)</f>
        <v>0</v>
      </c>
      <c r="J625" s="1222" t="s">
        <v>471</v>
      </c>
      <c r="K625" s="1223" t="s">
        <v>129</v>
      </c>
    </row>
    <row r="626" spans="1:11">
      <c r="A626" s="1219"/>
      <c r="B626" s="1220"/>
      <c r="C626" s="1219"/>
      <c r="D626" s="226">
        <v>2021</v>
      </c>
      <c r="E626" s="484">
        <f t="shared" si="39"/>
        <v>7451.59</v>
      </c>
      <c r="F626" s="484">
        <v>7079.0105000000003</v>
      </c>
      <c r="G626" s="484">
        <v>0</v>
      </c>
      <c r="H626" s="484">
        <f>F626/95*5</f>
        <v>372.5795</v>
      </c>
      <c r="I626" s="484">
        <v>0</v>
      </c>
      <c r="J626" s="1222"/>
      <c r="K626" s="1223"/>
    </row>
    <row r="627" spans="1:11">
      <c r="A627" s="1219"/>
      <c r="B627" s="1220"/>
      <c r="C627" s="1219"/>
      <c r="D627" s="226">
        <v>2022</v>
      </c>
      <c r="E627" s="484">
        <v>0</v>
      </c>
      <c r="F627" s="484">
        <v>0</v>
      </c>
      <c r="G627" s="484">
        <v>0</v>
      </c>
      <c r="H627" s="484">
        <v>0</v>
      </c>
      <c r="I627" s="484">
        <v>0</v>
      </c>
      <c r="J627" s="1222"/>
      <c r="K627" s="1223"/>
    </row>
    <row r="628" spans="1:11">
      <c r="A628" s="1219"/>
      <c r="B628" s="1220"/>
      <c r="C628" s="1219"/>
      <c r="D628" s="226">
        <v>2023</v>
      </c>
      <c r="E628" s="484">
        <v>0</v>
      </c>
      <c r="F628" s="484">
        <v>0</v>
      </c>
      <c r="G628" s="484">
        <v>0</v>
      </c>
      <c r="H628" s="484">
        <v>0</v>
      </c>
      <c r="I628" s="484">
        <v>0</v>
      </c>
      <c r="J628" s="1222"/>
      <c r="K628" s="1223"/>
    </row>
    <row r="629" spans="1:11">
      <c r="A629" s="1219"/>
      <c r="B629" s="1220"/>
      <c r="C629" s="1219"/>
      <c r="D629" s="226">
        <v>2024</v>
      </c>
      <c r="E629" s="484">
        <v>0</v>
      </c>
      <c r="F629" s="484">
        <v>0</v>
      </c>
      <c r="G629" s="484">
        <v>0</v>
      </c>
      <c r="H629" s="484">
        <v>0</v>
      </c>
      <c r="I629" s="484">
        <v>0</v>
      </c>
      <c r="J629" s="1222"/>
      <c r="K629" s="1223"/>
    </row>
    <row r="630" spans="1:11">
      <c r="A630" s="1219"/>
      <c r="B630" s="1220"/>
      <c r="C630" s="1219"/>
      <c r="D630" s="226">
        <v>2025</v>
      </c>
      <c r="E630" s="484">
        <v>0</v>
      </c>
      <c r="F630" s="484">
        <v>0</v>
      </c>
      <c r="G630" s="484">
        <v>0</v>
      </c>
      <c r="H630" s="484">
        <v>0</v>
      </c>
      <c r="I630" s="484">
        <v>0</v>
      </c>
      <c r="J630" s="1222"/>
      <c r="K630" s="1223"/>
    </row>
    <row r="631" spans="1:11">
      <c r="A631" s="1219"/>
      <c r="B631" s="1220"/>
      <c r="C631" s="1219"/>
      <c r="D631" s="226">
        <v>2026</v>
      </c>
      <c r="E631" s="484">
        <v>0</v>
      </c>
      <c r="F631" s="484">
        <v>0</v>
      </c>
      <c r="G631" s="484">
        <v>0</v>
      </c>
      <c r="H631" s="484">
        <v>0</v>
      </c>
      <c r="I631" s="484">
        <v>0</v>
      </c>
      <c r="J631" s="1222"/>
      <c r="K631" s="1223"/>
    </row>
    <row r="632" spans="1:11">
      <c r="A632" s="1219" t="s">
        <v>472</v>
      </c>
      <c r="B632" s="1220" t="s">
        <v>473</v>
      </c>
      <c r="C632" s="1219">
        <v>2021</v>
      </c>
      <c r="D632" s="226" t="s">
        <v>3</v>
      </c>
      <c r="E632" s="484">
        <f t="shared" ref="E632:E692" si="45">SUM(F632:I632)</f>
        <v>50013.516600000003</v>
      </c>
      <c r="F632" s="484">
        <f>SUM(F633:F638)</f>
        <v>47512.840770000003</v>
      </c>
      <c r="G632" s="484">
        <f>SUM(G633:G638)</f>
        <v>0</v>
      </c>
      <c r="H632" s="484">
        <f>SUM(H633:H638)</f>
        <v>2500.6758300000001</v>
      </c>
      <c r="I632" s="484">
        <f>SUM(I633:I638)</f>
        <v>0</v>
      </c>
      <c r="J632" s="1222" t="s">
        <v>474</v>
      </c>
      <c r="K632" s="1223" t="s">
        <v>129</v>
      </c>
    </row>
    <row r="633" spans="1:11">
      <c r="A633" s="1219"/>
      <c r="B633" s="1220"/>
      <c r="C633" s="1219"/>
      <c r="D633" s="226">
        <v>2021</v>
      </c>
      <c r="E633" s="484">
        <f t="shared" si="45"/>
        <v>50013.516600000003</v>
      </c>
      <c r="F633" s="484">
        <v>47512.840770000003</v>
      </c>
      <c r="G633" s="484">
        <v>0</v>
      </c>
      <c r="H633" s="484">
        <f>F633/95*5</f>
        <v>2500.6758300000001</v>
      </c>
      <c r="I633" s="484">
        <v>0</v>
      </c>
      <c r="J633" s="1222"/>
      <c r="K633" s="1223"/>
    </row>
    <row r="634" spans="1:11">
      <c r="A634" s="1219"/>
      <c r="B634" s="1220"/>
      <c r="C634" s="1219"/>
      <c r="D634" s="226">
        <v>2022</v>
      </c>
      <c r="E634" s="484">
        <v>0</v>
      </c>
      <c r="F634" s="484">
        <v>0</v>
      </c>
      <c r="G634" s="484">
        <v>0</v>
      </c>
      <c r="H634" s="484">
        <v>0</v>
      </c>
      <c r="I634" s="484">
        <v>0</v>
      </c>
      <c r="J634" s="1222"/>
      <c r="K634" s="1223"/>
    </row>
    <row r="635" spans="1:11">
      <c r="A635" s="1219"/>
      <c r="B635" s="1220"/>
      <c r="C635" s="1219"/>
      <c r="D635" s="226">
        <v>2023</v>
      </c>
      <c r="E635" s="484">
        <v>0</v>
      </c>
      <c r="F635" s="484">
        <v>0</v>
      </c>
      <c r="G635" s="484">
        <v>0</v>
      </c>
      <c r="H635" s="484">
        <v>0</v>
      </c>
      <c r="I635" s="484">
        <v>0</v>
      </c>
      <c r="J635" s="1222"/>
      <c r="K635" s="1223"/>
    </row>
    <row r="636" spans="1:11">
      <c r="A636" s="1219"/>
      <c r="B636" s="1220"/>
      <c r="C636" s="1219"/>
      <c r="D636" s="226">
        <v>2024</v>
      </c>
      <c r="E636" s="484">
        <v>0</v>
      </c>
      <c r="F636" s="484">
        <v>0</v>
      </c>
      <c r="G636" s="484">
        <v>0</v>
      </c>
      <c r="H636" s="484">
        <v>0</v>
      </c>
      <c r="I636" s="484">
        <v>0</v>
      </c>
      <c r="J636" s="1222"/>
      <c r="K636" s="1223"/>
    </row>
    <row r="637" spans="1:11">
      <c r="A637" s="1219"/>
      <c r="B637" s="1220"/>
      <c r="C637" s="1219"/>
      <c r="D637" s="226">
        <v>2025</v>
      </c>
      <c r="E637" s="484">
        <v>0</v>
      </c>
      <c r="F637" s="484">
        <v>0</v>
      </c>
      <c r="G637" s="484">
        <v>0</v>
      </c>
      <c r="H637" s="484">
        <v>0</v>
      </c>
      <c r="I637" s="484">
        <v>0</v>
      </c>
      <c r="J637" s="1222"/>
      <c r="K637" s="1223"/>
    </row>
    <row r="638" spans="1:11">
      <c r="A638" s="1219"/>
      <c r="B638" s="1220"/>
      <c r="C638" s="1219"/>
      <c r="D638" s="226">
        <v>2026</v>
      </c>
      <c r="E638" s="484">
        <v>0</v>
      </c>
      <c r="F638" s="484">
        <v>0</v>
      </c>
      <c r="G638" s="484">
        <v>0</v>
      </c>
      <c r="H638" s="484">
        <v>0</v>
      </c>
      <c r="I638" s="484">
        <v>0</v>
      </c>
      <c r="J638" s="1222"/>
      <c r="K638" s="1223"/>
    </row>
    <row r="639" spans="1:11">
      <c r="A639" s="1219" t="s">
        <v>475</v>
      </c>
      <c r="B639" s="1220" t="s">
        <v>476</v>
      </c>
      <c r="C639" s="1224">
        <v>2021</v>
      </c>
      <c r="D639" s="226" t="s">
        <v>3</v>
      </c>
      <c r="E639" s="484">
        <f t="shared" si="45"/>
        <v>9928.3460643185299</v>
      </c>
      <c r="F639" s="484">
        <f>SUM(F640:F645)</f>
        <v>6483.2099799999996</v>
      </c>
      <c r="G639" s="484">
        <f>SUM(G640:G645)</f>
        <v>0</v>
      </c>
      <c r="H639" s="484">
        <f>SUM(H640:H645)</f>
        <v>3445.1360843185298</v>
      </c>
      <c r="I639" s="484">
        <f>SUM(I640:I645)</f>
        <v>0</v>
      </c>
      <c r="J639" s="1222" t="s">
        <v>477</v>
      </c>
      <c r="K639" s="1223" t="s">
        <v>129</v>
      </c>
    </row>
    <row r="640" spans="1:11">
      <c r="A640" s="1219"/>
      <c r="B640" s="1220"/>
      <c r="C640" s="1225"/>
      <c r="D640" s="226">
        <v>2021</v>
      </c>
      <c r="E640" s="484">
        <f t="shared" si="45"/>
        <v>9928.3460643185299</v>
      </c>
      <c r="F640" s="484">
        <v>6483.2099799999996</v>
      </c>
      <c r="G640" s="484">
        <v>0</v>
      </c>
      <c r="H640" s="484">
        <f>F640/65.3*34.7</f>
        <v>3445.1360843185298</v>
      </c>
      <c r="I640" s="484">
        <v>0</v>
      </c>
      <c r="J640" s="1222"/>
      <c r="K640" s="1223"/>
    </row>
    <row r="641" spans="1:11">
      <c r="A641" s="1219"/>
      <c r="B641" s="1220"/>
      <c r="C641" s="1225"/>
      <c r="D641" s="226">
        <v>2022</v>
      </c>
      <c r="E641" s="484">
        <v>0</v>
      </c>
      <c r="F641" s="484">
        <v>0</v>
      </c>
      <c r="G641" s="484">
        <v>0</v>
      </c>
      <c r="H641" s="484">
        <v>0</v>
      </c>
      <c r="I641" s="484">
        <v>0</v>
      </c>
      <c r="J641" s="1222"/>
      <c r="K641" s="1223"/>
    </row>
    <row r="642" spans="1:11">
      <c r="A642" s="1219"/>
      <c r="B642" s="1220"/>
      <c r="C642" s="1225"/>
      <c r="D642" s="226">
        <v>2023</v>
      </c>
      <c r="E642" s="484">
        <v>0</v>
      </c>
      <c r="F642" s="484">
        <v>0</v>
      </c>
      <c r="G642" s="484">
        <v>0</v>
      </c>
      <c r="H642" s="484">
        <v>0</v>
      </c>
      <c r="I642" s="484">
        <v>0</v>
      </c>
      <c r="J642" s="1222"/>
      <c r="K642" s="1223"/>
    </row>
    <row r="643" spans="1:11">
      <c r="A643" s="1219"/>
      <c r="B643" s="1220"/>
      <c r="C643" s="1225"/>
      <c r="D643" s="226">
        <v>2024</v>
      </c>
      <c r="E643" s="484">
        <v>0</v>
      </c>
      <c r="F643" s="484">
        <v>0</v>
      </c>
      <c r="G643" s="484">
        <v>0</v>
      </c>
      <c r="H643" s="484">
        <v>0</v>
      </c>
      <c r="I643" s="484">
        <v>0</v>
      </c>
      <c r="J643" s="1222"/>
      <c r="K643" s="1223"/>
    </row>
    <row r="644" spans="1:11">
      <c r="A644" s="1219"/>
      <c r="B644" s="1220"/>
      <c r="C644" s="1225"/>
      <c r="D644" s="226">
        <v>2025</v>
      </c>
      <c r="E644" s="484">
        <v>0</v>
      </c>
      <c r="F644" s="484">
        <v>0</v>
      </c>
      <c r="G644" s="484">
        <v>0</v>
      </c>
      <c r="H644" s="484">
        <v>0</v>
      </c>
      <c r="I644" s="484">
        <v>0</v>
      </c>
      <c r="J644" s="1222"/>
      <c r="K644" s="1223"/>
    </row>
    <row r="645" spans="1:11">
      <c r="A645" s="1219"/>
      <c r="B645" s="1220"/>
      <c r="C645" s="1226"/>
      <c r="D645" s="226">
        <v>2026</v>
      </c>
      <c r="E645" s="484">
        <v>0</v>
      </c>
      <c r="F645" s="484">
        <v>0</v>
      </c>
      <c r="G645" s="484">
        <v>0</v>
      </c>
      <c r="H645" s="484">
        <v>0</v>
      </c>
      <c r="I645" s="484">
        <v>0</v>
      </c>
      <c r="J645" s="1222"/>
      <c r="K645" s="1223"/>
    </row>
    <row r="646" spans="1:11">
      <c r="A646" s="1219" t="s">
        <v>478</v>
      </c>
      <c r="B646" s="1220" t="s">
        <v>479</v>
      </c>
      <c r="C646" s="1219">
        <v>2021</v>
      </c>
      <c r="D646" s="226" t="s">
        <v>3</v>
      </c>
      <c r="E646" s="484">
        <f t="shared" si="45"/>
        <v>0</v>
      </c>
      <c r="F646" s="484">
        <f>SUM(F647:F652)</f>
        <v>0</v>
      </c>
      <c r="G646" s="484">
        <f>SUM(G647:G652)</f>
        <v>0</v>
      </c>
      <c r="H646" s="484">
        <f>SUM(H647:H652)</f>
        <v>0</v>
      </c>
      <c r="I646" s="484">
        <f>SUM(I647:I652)</f>
        <v>0</v>
      </c>
      <c r="J646" s="1222" t="s">
        <v>480</v>
      </c>
      <c r="K646" s="1223" t="s">
        <v>129</v>
      </c>
    </row>
    <row r="647" spans="1:11">
      <c r="A647" s="1219"/>
      <c r="B647" s="1220"/>
      <c r="C647" s="1219"/>
      <c r="D647" s="226">
        <v>2021</v>
      </c>
      <c r="E647" s="484">
        <f t="shared" si="45"/>
        <v>0</v>
      </c>
      <c r="F647" s="484">
        <v>0</v>
      </c>
      <c r="G647" s="484">
        <v>0</v>
      </c>
      <c r="H647" s="484">
        <f>F647/95*5</f>
        <v>0</v>
      </c>
      <c r="I647" s="484">
        <v>0</v>
      </c>
      <c r="J647" s="1222"/>
      <c r="K647" s="1223"/>
    </row>
    <row r="648" spans="1:11">
      <c r="A648" s="1219"/>
      <c r="B648" s="1220"/>
      <c r="C648" s="1219"/>
      <c r="D648" s="226">
        <v>2022</v>
      </c>
      <c r="E648" s="484">
        <v>0</v>
      </c>
      <c r="F648" s="484">
        <v>0</v>
      </c>
      <c r="G648" s="484">
        <v>0</v>
      </c>
      <c r="H648" s="484">
        <v>0</v>
      </c>
      <c r="I648" s="484">
        <v>0</v>
      </c>
      <c r="J648" s="1222"/>
      <c r="K648" s="1223"/>
    </row>
    <row r="649" spans="1:11">
      <c r="A649" s="1219"/>
      <c r="B649" s="1220"/>
      <c r="C649" s="1219"/>
      <c r="D649" s="226">
        <v>2023</v>
      </c>
      <c r="E649" s="484">
        <v>0</v>
      </c>
      <c r="F649" s="484">
        <v>0</v>
      </c>
      <c r="G649" s="484">
        <v>0</v>
      </c>
      <c r="H649" s="484">
        <v>0</v>
      </c>
      <c r="I649" s="484">
        <v>0</v>
      </c>
      <c r="J649" s="1222"/>
      <c r="K649" s="1223"/>
    </row>
    <row r="650" spans="1:11">
      <c r="A650" s="1219"/>
      <c r="B650" s="1220"/>
      <c r="C650" s="1219"/>
      <c r="D650" s="226">
        <v>2024</v>
      </c>
      <c r="E650" s="484">
        <v>0</v>
      </c>
      <c r="F650" s="484">
        <v>0</v>
      </c>
      <c r="G650" s="484">
        <v>0</v>
      </c>
      <c r="H650" s="484">
        <v>0</v>
      </c>
      <c r="I650" s="484">
        <v>0</v>
      </c>
      <c r="J650" s="1222"/>
      <c r="K650" s="1223"/>
    </row>
    <row r="651" spans="1:11">
      <c r="A651" s="1219"/>
      <c r="B651" s="1220"/>
      <c r="C651" s="1219"/>
      <c r="D651" s="226">
        <v>2025</v>
      </c>
      <c r="E651" s="484">
        <v>0</v>
      </c>
      <c r="F651" s="484">
        <v>0</v>
      </c>
      <c r="G651" s="484">
        <v>0</v>
      </c>
      <c r="H651" s="484">
        <v>0</v>
      </c>
      <c r="I651" s="484">
        <v>0</v>
      </c>
      <c r="J651" s="1222"/>
      <c r="K651" s="1223"/>
    </row>
    <row r="652" spans="1:11">
      <c r="A652" s="1219"/>
      <c r="B652" s="1220"/>
      <c r="C652" s="1219"/>
      <c r="D652" s="226">
        <v>2026</v>
      </c>
      <c r="E652" s="484">
        <v>0</v>
      </c>
      <c r="F652" s="484">
        <v>0</v>
      </c>
      <c r="G652" s="484">
        <v>0</v>
      </c>
      <c r="H652" s="484">
        <v>0</v>
      </c>
      <c r="I652" s="484">
        <v>0</v>
      </c>
      <c r="J652" s="1222"/>
      <c r="K652" s="1223"/>
    </row>
    <row r="653" spans="1:11">
      <c r="A653" s="1219" t="s">
        <v>481</v>
      </c>
      <c r="B653" s="1220" t="s">
        <v>482</v>
      </c>
      <c r="C653" s="1219">
        <v>2021</v>
      </c>
      <c r="D653" s="226" t="s">
        <v>3</v>
      </c>
      <c r="E653" s="484">
        <f t="shared" si="45"/>
        <v>28829.676842105262</v>
      </c>
      <c r="F653" s="484">
        <f>SUM(F654:F659)</f>
        <v>27388.192999999999</v>
      </c>
      <c r="G653" s="484">
        <f>SUM(G654:G659)</f>
        <v>0</v>
      </c>
      <c r="H653" s="484">
        <f>SUM(H654:H659)</f>
        <v>1441.483842105263</v>
      </c>
      <c r="I653" s="484">
        <f>SUM(I654:I659)</f>
        <v>0</v>
      </c>
      <c r="J653" s="1222" t="s">
        <v>483</v>
      </c>
      <c r="K653" s="1223" t="s">
        <v>129</v>
      </c>
    </row>
    <row r="654" spans="1:11">
      <c r="A654" s="1219"/>
      <c r="B654" s="1220"/>
      <c r="C654" s="1219"/>
      <c r="D654" s="226">
        <v>2021</v>
      </c>
      <c r="E654" s="484">
        <f t="shared" si="45"/>
        <v>28829.676842105262</v>
      </c>
      <c r="F654" s="484">
        <v>27388.192999999999</v>
      </c>
      <c r="G654" s="484">
        <v>0</v>
      </c>
      <c r="H654" s="484">
        <f>F654/95*5</f>
        <v>1441.483842105263</v>
      </c>
      <c r="I654" s="484">
        <v>0</v>
      </c>
      <c r="J654" s="1222"/>
      <c r="K654" s="1223"/>
    </row>
    <row r="655" spans="1:11">
      <c r="A655" s="1219"/>
      <c r="B655" s="1220"/>
      <c r="C655" s="1219"/>
      <c r="D655" s="226">
        <v>2022</v>
      </c>
      <c r="E655" s="484">
        <v>0</v>
      </c>
      <c r="F655" s="484">
        <v>0</v>
      </c>
      <c r="G655" s="484">
        <v>0</v>
      </c>
      <c r="H655" s="484">
        <v>0</v>
      </c>
      <c r="I655" s="484">
        <v>0</v>
      </c>
      <c r="J655" s="1222"/>
      <c r="K655" s="1223"/>
    </row>
    <row r="656" spans="1:11">
      <c r="A656" s="1219"/>
      <c r="B656" s="1220"/>
      <c r="C656" s="1219"/>
      <c r="D656" s="226">
        <v>2023</v>
      </c>
      <c r="E656" s="484">
        <v>0</v>
      </c>
      <c r="F656" s="484">
        <v>0</v>
      </c>
      <c r="G656" s="484">
        <v>0</v>
      </c>
      <c r="H656" s="484">
        <v>0</v>
      </c>
      <c r="I656" s="484">
        <v>0</v>
      </c>
      <c r="J656" s="1222"/>
      <c r="K656" s="1223"/>
    </row>
    <row r="657" spans="1:11">
      <c r="A657" s="1219"/>
      <c r="B657" s="1220"/>
      <c r="C657" s="1219"/>
      <c r="D657" s="226">
        <v>2024</v>
      </c>
      <c r="E657" s="484">
        <v>0</v>
      </c>
      <c r="F657" s="484">
        <v>0</v>
      </c>
      <c r="G657" s="484">
        <v>0</v>
      </c>
      <c r="H657" s="484">
        <v>0</v>
      </c>
      <c r="I657" s="484">
        <v>0</v>
      </c>
      <c r="J657" s="1222"/>
      <c r="K657" s="1223"/>
    </row>
    <row r="658" spans="1:11">
      <c r="A658" s="1219"/>
      <c r="B658" s="1220"/>
      <c r="C658" s="1219"/>
      <c r="D658" s="226">
        <v>2025</v>
      </c>
      <c r="E658" s="484">
        <v>0</v>
      </c>
      <c r="F658" s="484">
        <v>0</v>
      </c>
      <c r="G658" s="484">
        <v>0</v>
      </c>
      <c r="H658" s="484">
        <v>0</v>
      </c>
      <c r="I658" s="484">
        <v>0</v>
      </c>
      <c r="J658" s="1222"/>
      <c r="K658" s="1223"/>
    </row>
    <row r="659" spans="1:11">
      <c r="A659" s="1219"/>
      <c r="B659" s="1220"/>
      <c r="C659" s="1219"/>
      <c r="D659" s="226">
        <v>2026</v>
      </c>
      <c r="E659" s="484">
        <v>0</v>
      </c>
      <c r="F659" s="484">
        <v>0</v>
      </c>
      <c r="G659" s="484">
        <v>0</v>
      </c>
      <c r="H659" s="484">
        <v>0</v>
      </c>
      <c r="I659" s="484">
        <v>0</v>
      </c>
      <c r="J659" s="1222"/>
      <c r="K659" s="1223"/>
    </row>
    <row r="660" spans="1:11">
      <c r="A660" s="1219" t="s">
        <v>484</v>
      </c>
      <c r="B660" s="1220" t="s">
        <v>485</v>
      </c>
      <c r="C660" s="1219" t="s">
        <v>282</v>
      </c>
      <c r="D660" s="226" t="s">
        <v>3</v>
      </c>
      <c r="E660" s="484">
        <f t="shared" si="45"/>
        <v>4724.9217200000003</v>
      </c>
      <c r="F660" s="484">
        <f>SUM(F661:F666)</f>
        <v>4431.9217200000003</v>
      </c>
      <c r="G660" s="484">
        <f>SUM(G661:G666)</f>
        <v>0</v>
      </c>
      <c r="H660" s="484">
        <f>SUM(H661:H666)</f>
        <v>293</v>
      </c>
      <c r="I660" s="484">
        <f>SUM(I661:I666)</f>
        <v>0</v>
      </c>
      <c r="J660" s="1222" t="s">
        <v>486</v>
      </c>
      <c r="K660" s="1223" t="s">
        <v>129</v>
      </c>
    </row>
    <row r="661" spans="1:11">
      <c r="A661" s="1219"/>
      <c r="B661" s="1220"/>
      <c r="C661" s="1219"/>
      <c r="D661" s="226">
        <v>2021</v>
      </c>
      <c r="E661" s="484">
        <f t="shared" si="45"/>
        <v>2270.6600000000003</v>
      </c>
      <c r="F661" s="484">
        <v>2100.36</v>
      </c>
      <c r="G661" s="484">
        <v>0</v>
      </c>
      <c r="H661" s="484">
        <v>170.3</v>
      </c>
      <c r="I661" s="484">
        <v>0</v>
      </c>
      <c r="J661" s="1222"/>
      <c r="K661" s="1223"/>
    </row>
    <row r="662" spans="1:11">
      <c r="A662" s="1219"/>
      <c r="B662" s="1220"/>
      <c r="C662" s="1219"/>
      <c r="D662" s="226">
        <v>2022</v>
      </c>
      <c r="E662" s="484">
        <f t="shared" si="45"/>
        <v>2454.26172</v>
      </c>
      <c r="F662" s="484">
        <v>2331.5617200000002</v>
      </c>
      <c r="G662" s="484">
        <v>0</v>
      </c>
      <c r="H662" s="484">
        <v>122.7</v>
      </c>
      <c r="I662" s="484">
        <v>0</v>
      </c>
      <c r="J662" s="1222"/>
      <c r="K662" s="1223"/>
    </row>
    <row r="663" spans="1:11">
      <c r="A663" s="1219"/>
      <c r="B663" s="1220"/>
      <c r="C663" s="1219"/>
      <c r="D663" s="226">
        <v>2023</v>
      </c>
      <c r="E663" s="484">
        <f t="shared" si="45"/>
        <v>0</v>
      </c>
      <c r="F663" s="484">
        <v>0</v>
      </c>
      <c r="G663" s="484">
        <v>0</v>
      </c>
      <c r="H663" s="484">
        <v>0</v>
      </c>
      <c r="I663" s="484">
        <v>0</v>
      </c>
      <c r="J663" s="1222"/>
      <c r="K663" s="1223"/>
    </row>
    <row r="664" spans="1:11">
      <c r="A664" s="1219"/>
      <c r="B664" s="1220"/>
      <c r="C664" s="1219"/>
      <c r="D664" s="226">
        <v>2024</v>
      </c>
      <c r="E664" s="484">
        <f t="shared" si="45"/>
        <v>0</v>
      </c>
      <c r="F664" s="484">
        <v>0</v>
      </c>
      <c r="G664" s="484">
        <v>0</v>
      </c>
      <c r="H664" s="484">
        <v>0</v>
      </c>
      <c r="I664" s="484">
        <v>0</v>
      </c>
      <c r="J664" s="1222"/>
      <c r="K664" s="1223"/>
    </row>
    <row r="665" spans="1:11">
      <c r="A665" s="1219"/>
      <c r="B665" s="1220"/>
      <c r="C665" s="1219"/>
      <c r="D665" s="226">
        <v>2025</v>
      </c>
      <c r="E665" s="484">
        <v>0</v>
      </c>
      <c r="F665" s="484">
        <v>0</v>
      </c>
      <c r="G665" s="484">
        <v>0</v>
      </c>
      <c r="H665" s="484">
        <v>0</v>
      </c>
      <c r="I665" s="484">
        <v>0</v>
      </c>
      <c r="J665" s="1222"/>
      <c r="K665" s="1223"/>
    </row>
    <row r="666" spans="1:11">
      <c r="A666" s="1219"/>
      <c r="B666" s="1220"/>
      <c r="C666" s="1219"/>
      <c r="D666" s="226">
        <v>2026</v>
      </c>
      <c r="E666" s="484">
        <f t="shared" si="45"/>
        <v>0</v>
      </c>
      <c r="F666" s="484">
        <v>0</v>
      </c>
      <c r="G666" s="484">
        <v>0</v>
      </c>
      <c r="H666" s="484">
        <v>0</v>
      </c>
      <c r="I666" s="484">
        <v>0</v>
      </c>
      <c r="J666" s="1222"/>
      <c r="K666" s="1223"/>
    </row>
    <row r="667" spans="1:11">
      <c r="A667" s="1219" t="s">
        <v>487</v>
      </c>
      <c r="B667" s="1220" t="s">
        <v>488</v>
      </c>
      <c r="C667" s="1219">
        <v>2021</v>
      </c>
      <c r="D667" s="226" t="s">
        <v>3</v>
      </c>
      <c r="E667" s="484">
        <f t="shared" si="45"/>
        <v>0</v>
      </c>
      <c r="F667" s="484">
        <v>0</v>
      </c>
      <c r="G667" s="484">
        <v>0</v>
      </c>
      <c r="H667" s="484">
        <v>0</v>
      </c>
      <c r="I667" s="484">
        <v>0</v>
      </c>
      <c r="J667" s="1222" t="s">
        <v>489</v>
      </c>
      <c r="K667" s="1223" t="s">
        <v>37</v>
      </c>
    </row>
    <row r="668" spans="1:11">
      <c r="A668" s="1219"/>
      <c r="B668" s="1220"/>
      <c r="C668" s="1219"/>
      <c r="D668" s="226">
        <v>2021</v>
      </c>
      <c r="E668" s="484">
        <f t="shared" si="45"/>
        <v>0</v>
      </c>
      <c r="F668" s="484">
        <v>0</v>
      </c>
      <c r="G668" s="484">
        <v>0</v>
      </c>
      <c r="H668" s="484">
        <v>0</v>
      </c>
      <c r="I668" s="484">
        <v>0</v>
      </c>
      <c r="J668" s="1222"/>
      <c r="K668" s="1223"/>
    </row>
    <row r="669" spans="1:11">
      <c r="A669" s="1219"/>
      <c r="B669" s="1220"/>
      <c r="C669" s="1219"/>
      <c r="D669" s="226">
        <v>2022</v>
      </c>
      <c r="E669" s="484">
        <f t="shared" si="45"/>
        <v>0</v>
      </c>
      <c r="F669" s="484">
        <v>0</v>
      </c>
      <c r="G669" s="484">
        <v>0</v>
      </c>
      <c r="H669" s="484">
        <v>0</v>
      </c>
      <c r="I669" s="484">
        <v>0</v>
      </c>
      <c r="J669" s="1222"/>
      <c r="K669" s="1223"/>
    </row>
    <row r="670" spans="1:11">
      <c r="A670" s="1219"/>
      <c r="B670" s="1220"/>
      <c r="C670" s="1219"/>
      <c r="D670" s="226">
        <v>2023</v>
      </c>
      <c r="E670" s="484">
        <f t="shared" si="45"/>
        <v>0</v>
      </c>
      <c r="F670" s="484">
        <v>0</v>
      </c>
      <c r="G670" s="484">
        <v>0</v>
      </c>
      <c r="H670" s="484">
        <v>0</v>
      </c>
      <c r="I670" s="484">
        <v>0</v>
      </c>
      <c r="J670" s="1222"/>
      <c r="K670" s="1223"/>
    </row>
    <row r="671" spans="1:11">
      <c r="A671" s="1219"/>
      <c r="B671" s="1220"/>
      <c r="C671" s="1219"/>
      <c r="D671" s="226">
        <v>2024</v>
      </c>
      <c r="E671" s="484">
        <f t="shared" si="45"/>
        <v>0</v>
      </c>
      <c r="F671" s="484">
        <v>0</v>
      </c>
      <c r="G671" s="484">
        <v>0</v>
      </c>
      <c r="H671" s="484">
        <v>0</v>
      </c>
      <c r="I671" s="484">
        <v>0</v>
      </c>
      <c r="J671" s="1222"/>
      <c r="K671" s="1223"/>
    </row>
    <row r="672" spans="1:11">
      <c r="A672" s="1219"/>
      <c r="B672" s="1220"/>
      <c r="C672" s="1219"/>
      <c r="D672" s="226">
        <v>2025</v>
      </c>
      <c r="E672" s="484">
        <v>0</v>
      </c>
      <c r="F672" s="484">
        <v>0</v>
      </c>
      <c r="G672" s="484">
        <v>0</v>
      </c>
      <c r="H672" s="484">
        <v>0</v>
      </c>
      <c r="I672" s="484">
        <v>0</v>
      </c>
      <c r="J672" s="1222"/>
      <c r="K672" s="1223"/>
    </row>
    <row r="673" spans="1:11">
      <c r="A673" s="1219"/>
      <c r="B673" s="1220"/>
      <c r="C673" s="1219"/>
      <c r="D673" s="226">
        <v>2026</v>
      </c>
      <c r="E673" s="484">
        <f t="shared" si="45"/>
        <v>0</v>
      </c>
      <c r="F673" s="484">
        <v>0</v>
      </c>
      <c r="G673" s="484">
        <v>0</v>
      </c>
      <c r="H673" s="484">
        <v>0</v>
      </c>
      <c r="I673" s="484">
        <v>0</v>
      </c>
      <c r="J673" s="1222"/>
      <c r="K673" s="1223"/>
    </row>
    <row r="674" spans="1:11">
      <c r="A674" s="1219" t="s">
        <v>490</v>
      </c>
      <c r="B674" s="1220" t="s">
        <v>491</v>
      </c>
      <c r="C674" s="1219">
        <v>2021</v>
      </c>
      <c r="D674" s="226" t="s">
        <v>3</v>
      </c>
      <c r="E674" s="484">
        <f t="shared" si="45"/>
        <v>468.3</v>
      </c>
      <c r="F674" s="484">
        <f>SUM(F675:F680)</f>
        <v>468.3</v>
      </c>
      <c r="G674" s="484">
        <f>SUM(G675:G680)</f>
        <v>0</v>
      </c>
      <c r="H674" s="484">
        <f>SUM(H675:H680)</f>
        <v>0</v>
      </c>
      <c r="I674" s="484">
        <f>SUM(I675:I680)</f>
        <v>0</v>
      </c>
      <c r="J674" s="1222" t="s">
        <v>492</v>
      </c>
      <c r="K674" s="1223" t="s">
        <v>140</v>
      </c>
    </row>
    <row r="675" spans="1:11">
      <c r="A675" s="1219"/>
      <c r="B675" s="1220"/>
      <c r="C675" s="1219"/>
      <c r="D675" s="226">
        <v>2021</v>
      </c>
      <c r="E675" s="484">
        <f t="shared" si="45"/>
        <v>468.3</v>
      </c>
      <c r="F675" s="484">
        <v>468.3</v>
      </c>
      <c r="G675" s="484">
        <v>0</v>
      </c>
      <c r="H675" s="484">
        <v>0</v>
      </c>
      <c r="I675" s="484">
        <v>0</v>
      </c>
      <c r="J675" s="1222"/>
      <c r="K675" s="1223"/>
    </row>
    <row r="676" spans="1:11">
      <c r="A676" s="1219"/>
      <c r="B676" s="1220"/>
      <c r="C676" s="1219"/>
      <c r="D676" s="226">
        <v>2022</v>
      </c>
      <c r="E676" s="484">
        <f t="shared" si="45"/>
        <v>0</v>
      </c>
      <c r="F676" s="484">
        <v>0</v>
      </c>
      <c r="G676" s="484">
        <v>0</v>
      </c>
      <c r="H676" s="484">
        <v>0</v>
      </c>
      <c r="I676" s="484">
        <v>0</v>
      </c>
      <c r="J676" s="1222"/>
      <c r="K676" s="1223"/>
    </row>
    <row r="677" spans="1:11">
      <c r="A677" s="1219"/>
      <c r="B677" s="1220"/>
      <c r="C677" s="1219"/>
      <c r="D677" s="226">
        <v>2023</v>
      </c>
      <c r="E677" s="484">
        <f t="shared" si="45"/>
        <v>0</v>
      </c>
      <c r="F677" s="484">
        <v>0</v>
      </c>
      <c r="G677" s="484">
        <v>0</v>
      </c>
      <c r="H677" s="484">
        <v>0</v>
      </c>
      <c r="I677" s="484">
        <v>0</v>
      </c>
      <c r="J677" s="1222"/>
      <c r="K677" s="1223"/>
    </row>
    <row r="678" spans="1:11">
      <c r="A678" s="1219"/>
      <c r="B678" s="1220"/>
      <c r="C678" s="1219"/>
      <c r="D678" s="226">
        <v>2024</v>
      </c>
      <c r="E678" s="484">
        <f t="shared" si="45"/>
        <v>0</v>
      </c>
      <c r="F678" s="484">
        <v>0</v>
      </c>
      <c r="G678" s="484">
        <v>0</v>
      </c>
      <c r="H678" s="484">
        <v>0</v>
      </c>
      <c r="I678" s="484">
        <v>0</v>
      </c>
      <c r="J678" s="1222"/>
      <c r="K678" s="1223"/>
    </row>
    <row r="679" spans="1:11">
      <c r="A679" s="1219"/>
      <c r="B679" s="1220"/>
      <c r="C679" s="1219"/>
      <c r="D679" s="226">
        <v>2025</v>
      </c>
      <c r="E679" s="484">
        <v>0</v>
      </c>
      <c r="F679" s="484">
        <v>0</v>
      </c>
      <c r="G679" s="484">
        <v>0</v>
      </c>
      <c r="H679" s="484">
        <v>0</v>
      </c>
      <c r="I679" s="484">
        <v>0</v>
      </c>
      <c r="J679" s="1222"/>
      <c r="K679" s="1223"/>
    </row>
    <row r="680" spans="1:11">
      <c r="A680" s="1219"/>
      <c r="B680" s="1220"/>
      <c r="C680" s="1219"/>
      <c r="D680" s="226">
        <v>2026</v>
      </c>
      <c r="E680" s="484">
        <f t="shared" si="45"/>
        <v>0</v>
      </c>
      <c r="F680" s="484">
        <v>0</v>
      </c>
      <c r="G680" s="484">
        <v>0</v>
      </c>
      <c r="H680" s="484">
        <v>0</v>
      </c>
      <c r="I680" s="484">
        <v>0</v>
      </c>
      <c r="J680" s="1222"/>
      <c r="K680" s="1223"/>
    </row>
    <row r="681" spans="1:11">
      <c r="A681" s="1219" t="s">
        <v>493</v>
      </c>
      <c r="B681" s="1220" t="s">
        <v>494</v>
      </c>
      <c r="C681" s="1219">
        <v>2021</v>
      </c>
      <c r="D681" s="226" t="s">
        <v>3</v>
      </c>
      <c r="E681" s="484">
        <f t="shared" si="45"/>
        <v>8226.4694736842102</v>
      </c>
      <c r="F681" s="484">
        <f>SUM(F682:F687)</f>
        <v>7815.1459999999997</v>
      </c>
      <c r="G681" s="484">
        <f>SUM(G682:G687)</f>
        <v>0</v>
      </c>
      <c r="H681" s="484">
        <f>SUM(H682:H687)</f>
        <v>411.32347368421051</v>
      </c>
      <c r="I681" s="484">
        <f>SUM(I682:I687)</f>
        <v>0</v>
      </c>
      <c r="J681" s="1222" t="s">
        <v>495</v>
      </c>
      <c r="K681" s="1223" t="s">
        <v>129</v>
      </c>
    </row>
    <row r="682" spans="1:11">
      <c r="A682" s="1219"/>
      <c r="B682" s="1220"/>
      <c r="C682" s="1219"/>
      <c r="D682" s="226">
        <v>2021</v>
      </c>
      <c r="E682" s="484">
        <f t="shared" si="45"/>
        <v>8226.4694736842102</v>
      </c>
      <c r="F682" s="484">
        <v>7815.1459999999997</v>
      </c>
      <c r="G682" s="484">
        <v>0</v>
      </c>
      <c r="H682" s="484">
        <f t="shared" ref="H682:H683" si="46">F682/95*5</f>
        <v>411.32347368421051</v>
      </c>
      <c r="I682" s="484">
        <v>0</v>
      </c>
      <c r="J682" s="1222"/>
      <c r="K682" s="1223"/>
    </row>
    <row r="683" spans="1:11">
      <c r="A683" s="1219"/>
      <c r="B683" s="1220"/>
      <c r="C683" s="1219"/>
      <c r="D683" s="226">
        <v>2022</v>
      </c>
      <c r="E683" s="484">
        <f t="shared" si="45"/>
        <v>0</v>
      </c>
      <c r="F683" s="484">
        <v>0</v>
      </c>
      <c r="G683" s="484">
        <v>0</v>
      </c>
      <c r="H683" s="484">
        <f t="shared" si="46"/>
        <v>0</v>
      </c>
      <c r="I683" s="484">
        <v>0</v>
      </c>
      <c r="J683" s="1222"/>
      <c r="K683" s="1223"/>
    </row>
    <row r="684" spans="1:11">
      <c r="A684" s="1219"/>
      <c r="B684" s="1220"/>
      <c r="C684" s="1219"/>
      <c r="D684" s="226">
        <v>2023</v>
      </c>
      <c r="E684" s="484">
        <f t="shared" si="45"/>
        <v>0</v>
      </c>
      <c r="F684" s="484">
        <v>0</v>
      </c>
      <c r="G684" s="484">
        <v>0</v>
      </c>
      <c r="H684" s="484">
        <v>0</v>
      </c>
      <c r="I684" s="484">
        <v>0</v>
      </c>
      <c r="J684" s="1222"/>
      <c r="K684" s="1223"/>
    </row>
    <row r="685" spans="1:11">
      <c r="A685" s="1219"/>
      <c r="B685" s="1220"/>
      <c r="C685" s="1219"/>
      <c r="D685" s="226">
        <v>2024</v>
      </c>
      <c r="E685" s="484">
        <f t="shared" si="45"/>
        <v>0</v>
      </c>
      <c r="F685" s="484">
        <v>0</v>
      </c>
      <c r="G685" s="484">
        <v>0</v>
      </c>
      <c r="H685" s="484">
        <v>0</v>
      </c>
      <c r="I685" s="484">
        <v>0</v>
      </c>
      <c r="J685" s="1222"/>
      <c r="K685" s="1223"/>
    </row>
    <row r="686" spans="1:11">
      <c r="A686" s="1219"/>
      <c r="B686" s="1220"/>
      <c r="C686" s="1219"/>
      <c r="D686" s="226">
        <v>2025</v>
      </c>
      <c r="E686" s="484">
        <v>0</v>
      </c>
      <c r="F686" s="484">
        <v>0</v>
      </c>
      <c r="G686" s="484">
        <v>0</v>
      </c>
      <c r="H686" s="484">
        <v>0</v>
      </c>
      <c r="I686" s="484">
        <v>0</v>
      </c>
      <c r="J686" s="1222"/>
      <c r="K686" s="1223"/>
    </row>
    <row r="687" spans="1:11">
      <c r="A687" s="1219"/>
      <c r="B687" s="1220"/>
      <c r="C687" s="1219"/>
      <c r="D687" s="226">
        <v>2026</v>
      </c>
      <c r="E687" s="484">
        <f t="shared" si="45"/>
        <v>0</v>
      </c>
      <c r="F687" s="484">
        <v>0</v>
      </c>
      <c r="G687" s="484">
        <v>0</v>
      </c>
      <c r="H687" s="484">
        <v>0</v>
      </c>
      <c r="I687" s="484">
        <v>0</v>
      </c>
      <c r="J687" s="1222"/>
      <c r="K687" s="1223"/>
    </row>
    <row r="688" spans="1:11">
      <c r="A688" s="1219" t="s">
        <v>496</v>
      </c>
      <c r="B688" s="1220" t="s">
        <v>497</v>
      </c>
      <c r="C688" s="1219">
        <v>2021</v>
      </c>
      <c r="D688" s="226" t="s">
        <v>3</v>
      </c>
      <c r="E688" s="484">
        <f t="shared" si="45"/>
        <v>15056.631578947368</v>
      </c>
      <c r="F688" s="484">
        <f>SUM(F689:F694)</f>
        <v>14303.8</v>
      </c>
      <c r="G688" s="484">
        <f>SUM(G689:G694)</f>
        <v>0</v>
      </c>
      <c r="H688" s="484">
        <f>SUM(H689:H694)</f>
        <v>752.83157894736837</v>
      </c>
      <c r="I688" s="484">
        <v>0</v>
      </c>
      <c r="J688" s="1222" t="s">
        <v>498</v>
      </c>
      <c r="K688" s="1223" t="s">
        <v>129</v>
      </c>
    </row>
    <row r="689" spans="1:11">
      <c r="A689" s="1219"/>
      <c r="B689" s="1220"/>
      <c r="C689" s="1219"/>
      <c r="D689" s="226">
        <v>2021</v>
      </c>
      <c r="E689" s="484">
        <f t="shared" si="45"/>
        <v>15056.631578947368</v>
      </c>
      <c r="F689" s="484">
        <v>14303.8</v>
      </c>
      <c r="G689" s="484">
        <v>0</v>
      </c>
      <c r="H689" s="484">
        <f>F689/95*5</f>
        <v>752.83157894736837</v>
      </c>
      <c r="I689" s="484">
        <v>0</v>
      </c>
      <c r="J689" s="1222"/>
      <c r="K689" s="1223"/>
    </row>
    <row r="690" spans="1:11">
      <c r="A690" s="1219"/>
      <c r="B690" s="1220"/>
      <c r="C690" s="1219"/>
      <c r="D690" s="226">
        <v>2022</v>
      </c>
      <c r="E690" s="484">
        <f t="shared" si="45"/>
        <v>0</v>
      </c>
      <c r="F690" s="484">
        <v>0</v>
      </c>
      <c r="G690" s="484">
        <v>0</v>
      </c>
      <c r="H690" s="484">
        <v>0</v>
      </c>
      <c r="I690" s="484">
        <v>0</v>
      </c>
      <c r="J690" s="1222"/>
      <c r="K690" s="1223"/>
    </row>
    <row r="691" spans="1:11">
      <c r="A691" s="1219"/>
      <c r="B691" s="1220"/>
      <c r="C691" s="1219"/>
      <c r="D691" s="226">
        <v>2023</v>
      </c>
      <c r="E691" s="484">
        <f t="shared" si="45"/>
        <v>0</v>
      </c>
      <c r="F691" s="484">
        <v>0</v>
      </c>
      <c r="G691" s="484">
        <v>0</v>
      </c>
      <c r="H691" s="484">
        <v>0</v>
      </c>
      <c r="I691" s="484">
        <v>0</v>
      </c>
      <c r="J691" s="1222"/>
      <c r="K691" s="1223"/>
    </row>
    <row r="692" spans="1:11">
      <c r="A692" s="1219"/>
      <c r="B692" s="1220"/>
      <c r="C692" s="1219"/>
      <c r="D692" s="226">
        <v>2024</v>
      </c>
      <c r="E692" s="484">
        <f t="shared" si="45"/>
        <v>0</v>
      </c>
      <c r="F692" s="484">
        <v>0</v>
      </c>
      <c r="G692" s="484">
        <v>0</v>
      </c>
      <c r="H692" s="484">
        <v>0</v>
      </c>
      <c r="I692" s="484">
        <v>0</v>
      </c>
      <c r="J692" s="1222"/>
      <c r="K692" s="1223"/>
    </row>
    <row r="693" spans="1:11">
      <c r="A693" s="1219"/>
      <c r="B693" s="1220"/>
      <c r="C693" s="1219"/>
      <c r="D693" s="226">
        <v>2025</v>
      </c>
      <c r="E693" s="484">
        <v>0</v>
      </c>
      <c r="F693" s="484">
        <v>0</v>
      </c>
      <c r="G693" s="484">
        <v>0</v>
      </c>
      <c r="H693" s="484">
        <v>0</v>
      </c>
      <c r="I693" s="484">
        <v>0</v>
      </c>
      <c r="J693" s="1222"/>
      <c r="K693" s="1223"/>
    </row>
    <row r="694" spans="1:11">
      <c r="A694" s="1219"/>
      <c r="B694" s="1220"/>
      <c r="C694" s="1219"/>
      <c r="D694" s="226">
        <v>2026</v>
      </c>
      <c r="E694" s="484">
        <f t="shared" ref="E694:E755" si="47">SUM(F694:I694)</f>
        <v>0</v>
      </c>
      <c r="F694" s="484">
        <v>0</v>
      </c>
      <c r="G694" s="484">
        <v>0</v>
      </c>
      <c r="H694" s="484">
        <v>0</v>
      </c>
      <c r="I694" s="484">
        <v>0</v>
      </c>
      <c r="J694" s="1222"/>
      <c r="K694" s="1223"/>
    </row>
    <row r="695" spans="1:11">
      <c r="A695" s="1219" t="s">
        <v>499</v>
      </c>
      <c r="B695" s="1220" t="s">
        <v>500</v>
      </c>
      <c r="C695" s="1219">
        <v>2022</v>
      </c>
      <c r="D695" s="226" t="s">
        <v>3</v>
      </c>
      <c r="E695" s="484">
        <f t="shared" si="47"/>
        <v>20912.768100000001</v>
      </c>
      <c r="F695" s="484">
        <f>SUM(F696:F701)</f>
        <v>20912.768100000001</v>
      </c>
      <c r="G695" s="484">
        <f>SUM(G696:G701)</f>
        <v>0</v>
      </c>
      <c r="H695" s="484">
        <f>SUM(H696:H701)</f>
        <v>0</v>
      </c>
      <c r="I695" s="484">
        <f>SUM(I696:I701)</f>
        <v>0</v>
      </c>
      <c r="J695" s="1222" t="s">
        <v>501</v>
      </c>
      <c r="K695" s="1223" t="s">
        <v>502</v>
      </c>
    </row>
    <row r="696" spans="1:11">
      <c r="A696" s="1219"/>
      <c r="B696" s="1220"/>
      <c r="C696" s="1219"/>
      <c r="D696" s="226">
        <v>2021</v>
      </c>
      <c r="E696" s="484">
        <f t="shared" si="47"/>
        <v>0</v>
      </c>
      <c r="F696" s="484">
        <v>0</v>
      </c>
      <c r="G696" s="484">
        <v>0</v>
      </c>
      <c r="H696" s="484">
        <v>0</v>
      </c>
      <c r="I696" s="484">
        <v>0</v>
      </c>
      <c r="J696" s="1222"/>
      <c r="K696" s="1223"/>
    </row>
    <row r="697" spans="1:11">
      <c r="A697" s="1219"/>
      <c r="B697" s="1220"/>
      <c r="C697" s="1219"/>
      <c r="D697" s="226">
        <v>2022</v>
      </c>
      <c r="E697" s="484">
        <f t="shared" si="47"/>
        <v>20912.768100000001</v>
      </c>
      <c r="F697" s="484">
        <v>20912.768100000001</v>
      </c>
      <c r="G697" s="484">
        <v>0</v>
      </c>
      <c r="H697" s="484">
        <v>0</v>
      </c>
      <c r="I697" s="484">
        <v>0</v>
      </c>
      <c r="J697" s="1222"/>
      <c r="K697" s="1223"/>
    </row>
    <row r="698" spans="1:11">
      <c r="A698" s="1219"/>
      <c r="B698" s="1220"/>
      <c r="C698" s="1219"/>
      <c r="D698" s="226">
        <v>2023</v>
      </c>
      <c r="E698" s="484">
        <f t="shared" si="47"/>
        <v>0</v>
      </c>
      <c r="F698" s="484">
        <v>0</v>
      </c>
      <c r="G698" s="484">
        <v>0</v>
      </c>
      <c r="H698" s="484">
        <v>0</v>
      </c>
      <c r="I698" s="484">
        <v>0</v>
      </c>
      <c r="J698" s="1222"/>
      <c r="K698" s="1223"/>
    </row>
    <row r="699" spans="1:11">
      <c r="A699" s="1219"/>
      <c r="B699" s="1220"/>
      <c r="C699" s="1219"/>
      <c r="D699" s="226">
        <v>2024</v>
      </c>
      <c r="E699" s="484">
        <f t="shared" si="47"/>
        <v>0</v>
      </c>
      <c r="F699" s="484">
        <v>0</v>
      </c>
      <c r="G699" s="484">
        <v>0</v>
      </c>
      <c r="H699" s="484">
        <v>0</v>
      </c>
      <c r="I699" s="484">
        <v>0</v>
      </c>
      <c r="J699" s="1222"/>
      <c r="K699" s="1223"/>
    </row>
    <row r="700" spans="1:11">
      <c r="A700" s="1219"/>
      <c r="B700" s="1220"/>
      <c r="C700" s="1219"/>
      <c r="D700" s="226">
        <v>2025</v>
      </c>
      <c r="E700" s="484">
        <v>0</v>
      </c>
      <c r="F700" s="484">
        <v>0</v>
      </c>
      <c r="G700" s="484">
        <v>0</v>
      </c>
      <c r="H700" s="484">
        <v>0</v>
      </c>
      <c r="I700" s="484">
        <v>0</v>
      </c>
      <c r="J700" s="1222"/>
      <c r="K700" s="1223"/>
    </row>
    <row r="701" spans="1:11">
      <c r="A701" s="1219"/>
      <c r="B701" s="1220"/>
      <c r="C701" s="1219"/>
      <c r="D701" s="226">
        <v>2026</v>
      </c>
      <c r="E701" s="484">
        <f t="shared" si="47"/>
        <v>0</v>
      </c>
      <c r="F701" s="484">
        <v>0</v>
      </c>
      <c r="G701" s="484">
        <v>0</v>
      </c>
      <c r="H701" s="484">
        <v>0</v>
      </c>
      <c r="I701" s="484">
        <v>0</v>
      </c>
      <c r="J701" s="1222"/>
      <c r="K701" s="1223"/>
    </row>
    <row r="702" spans="1:11">
      <c r="A702" s="1219" t="s">
        <v>503</v>
      </c>
      <c r="B702" s="1220" t="s">
        <v>123</v>
      </c>
      <c r="C702" s="1219" t="s">
        <v>368</v>
      </c>
      <c r="D702" s="226" t="s">
        <v>3</v>
      </c>
      <c r="E702" s="484">
        <f t="shared" si="47"/>
        <v>150000</v>
      </c>
      <c r="F702" s="484">
        <f>SUM(F703:F708)</f>
        <v>142500</v>
      </c>
      <c r="G702" s="484">
        <f>SUM(G703:G708)</f>
        <v>0</v>
      </c>
      <c r="H702" s="484">
        <f>SUM(H703:H708)</f>
        <v>7500</v>
      </c>
      <c r="I702" s="484">
        <f>SUM(I703:I708)</f>
        <v>0</v>
      </c>
      <c r="J702" s="1222" t="s">
        <v>143</v>
      </c>
      <c r="K702" s="1223" t="s">
        <v>129</v>
      </c>
    </row>
    <row r="703" spans="1:11">
      <c r="A703" s="1219"/>
      <c r="B703" s="1220"/>
      <c r="C703" s="1219"/>
      <c r="D703" s="226">
        <v>2021</v>
      </c>
      <c r="E703" s="484">
        <f t="shared" si="47"/>
        <v>0</v>
      </c>
      <c r="F703" s="484">
        <v>0</v>
      </c>
      <c r="G703" s="484">
        <v>0</v>
      </c>
      <c r="H703" s="484">
        <v>0</v>
      </c>
      <c r="I703" s="484">
        <v>0</v>
      </c>
      <c r="J703" s="1222"/>
      <c r="K703" s="1223"/>
    </row>
    <row r="704" spans="1:11">
      <c r="A704" s="1219"/>
      <c r="B704" s="1220"/>
      <c r="C704" s="1219"/>
      <c r="D704" s="226">
        <v>2022</v>
      </c>
      <c r="E704" s="484">
        <f t="shared" si="47"/>
        <v>70000</v>
      </c>
      <c r="F704" s="484">
        <v>66500</v>
      </c>
      <c r="G704" s="484">
        <v>0</v>
      </c>
      <c r="H704" s="484">
        <v>3500</v>
      </c>
      <c r="I704" s="484">
        <v>0</v>
      </c>
      <c r="J704" s="1222"/>
      <c r="K704" s="1223"/>
    </row>
    <row r="705" spans="1:11">
      <c r="A705" s="1219"/>
      <c r="B705" s="1220"/>
      <c r="C705" s="1219"/>
      <c r="D705" s="226">
        <v>2023</v>
      </c>
      <c r="E705" s="484">
        <f t="shared" si="47"/>
        <v>80000</v>
      </c>
      <c r="F705" s="484">
        <v>76000</v>
      </c>
      <c r="G705" s="484">
        <v>0</v>
      </c>
      <c r="H705" s="484">
        <v>4000</v>
      </c>
      <c r="I705" s="484">
        <v>0</v>
      </c>
      <c r="J705" s="1222"/>
      <c r="K705" s="1223"/>
    </row>
    <row r="706" spans="1:11">
      <c r="A706" s="1219"/>
      <c r="B706" s="1220"/>
      <c r="C706" s="1219"/>
      <c r="D706" s="226">
        <v>2024</v>
      </c>
      <c r="E706" s="484">
        <f t="shared" si="47"/>
        <v>0</v>
      </c>
      <c r="F706" s="484">
        <v>0</v>
      </c>
      <c r="G706" s="484">
        <v>0</v>
      </c>
      <c r="H706" s="484">
        <v>0</v>
      </c>
      <c r="I706" s="484">
        <v>0</v>
      </c>
      <c r="J706" s="1222"/>
      <c r="K706" s="1223"/>
    </row>
    <row r="707" spans="1:11">
      <c r="A707" s="1219"/>
      <c r="B707" s="1220"/>
      <c r="C707" s="1219"/>
      <c r="D707" s="226">
        <v>2025</v>
      </c>
      <c r="E707" s="484">
        <v>0</v>
      </c>
      <c r="F707" s="484">
        <v>0</v>
      </c>
      <c r="G707" s="484">
        <v>0</v>
      </c>
      <c r="H707" s="484">
        <v>0</v>
      </c>
      <c r="I707" s="484">
        <v>0</v>
      </c>
      <c r="J707" s="1222"/>
      <c r="K707" s="1223"/>
    </row>
    <row r="708" spans="1:11">
      <c r="A708" s="1219"/>
      <c r="B708" s="1220"/>
      <c r="C708" s="1219"/>
      <c r="D708" s="226">
        <v>2026</v>
      </c>
      <c r="E708" s="484">
        <f t="shared" si="47"/>
        <v>0</v>
      </c>
      <c r="F708" s="484">
        <v>0</v>
      </c>
      <c r="G708" s="484">
        <v>0</v>
      </c>
      <c r="H708" s="484">
        <v>0</v>
      </c>
      <c r="I708" s="484">
        <v>0</v>
      </c>
      <c r="J708" s="1222"/>
      <c r="K708" s="1223"/>
    </row>
    <row r="709" spans="1:11">
      <c r="A709" s="1224" t="s">
        <v>127</v>
      </c>
      <c r="B709" s="1224" t="s">
        <v>124</v>
      </c>
      <c r="C709" s="1224" t="s">
        <v>272</v>
      </c>
      <c r="D709" s="226" t="s">
        <v>3</v>
      </c>
      <c r="E709" s="484">
        <f t="shared" si="47"/>
        <v>18724.569</v>
      </c>
      <c r="F709" s="484">
        <f>SUM(F710:F715)</f>
        <v>18724.569</v>
      </c>
      <c r="G709" s="484">
        <f>SUM(G710:G714)</f>
        <v>0</v>
      </c>
      <c r="H709" s="484">
        <f>SUM(H710:H714)</f>
        <v>0</v>
      </c>
      <c r="I709" s="484">
        <f>SUM(I710:I714)</f>
        <v>0</v>
      </c>
      <c r="J709" s="1227" t="s">
        <v>504</v>
      </c>
      <c r="K709" s="1230" t="s">
        <v>142</v>
      </c>
    </row>
    <row r="710" spans="1:11">
      <c r="A710" s="1225"/>
      <c r="B710" s="1225"/>
      <c r="C710" s="1225"/>
      <c r="D710" s="226">
        <v>2021</v>
      </c>
      <c r="E710" s="484">
        <f t="shared" si="47"/>
        <v>0</v>
      </c>
      <c r="F710" s="484">
        <v>0</v>
      </c>
      <c r="G710" s="484">
        <v>0</v>
      </c>
      <c r="H710" s="484">
        <v>0</v>
      </c>
      <c r="I710" s="484">
        <v>0</v>
      </c>
      <c r="J710" s="1228"/>
      <c r="K710" s="1231"/>
    </row>
    <row r="711" spans="1:11">
      <c r="A711" s="1225"/>
      <c r="B711" s="1225"/>
      <c r="C711" s="1225"/>
      <c r="D711" s="226">
        <v>2022</v>
      </c>
      <c r="E711" s="484">
        <f t="shared" si="47"/>
        <v>4400</v>
      </c>
      <c r="F711" s="484">
        <v>4400</v>
      </c>
      <c r="G711" s="484">
        <v>0</v>
      </c>
      <c r="H711" s="484">
        <v>0</v>
      </c>
      <c r="I711" s="484">
        <v>0</v>
      </c>
      <c r="J711" s="1228"/>
      <c r="K711" s="1231"/>
    </row>
    <row r="712" spans="1:11">
      <c r="A712" s="1225"/>
      <c r="B712" s="1225"/>
      <c r="C712" s="1225"/>
      <c r="D712" s="226">
        <v>2023</v>
      </c>
      <c r="E712" s="484">
        <f t="shared" si="47"/>
        <v>4400</v>
      </c>
      <c r="F712" s="484">
        <v>4400</v>
      </c>
      <c r="G712" s="484">
        <v>0</v>
      </c>
      <c r="H712" s="484">
        <v>0</v>
      </c>
      <c r="I712" s="484">
        <v>0</v>
      </c>
      <c r="J712" s="1228"/>
      <c r="K712" s="1231"/>
    </row>
    <row r="713" spans="1:11">
      <c r="A713" s="1225"/>
      <c r="B713" s="1225"/>
      <c r="C713" s="1225"/>
      <c r="D713" s="226">
        <v>2024</v>
      </c>
      <c r="E713" s="484">
        <f t="shared" si="47"/>
        <v>1124.569</v>
      </c>
      <c r="F713" s="484">
        <f>4400-3275.431</f>
        <v>1124.569</v>
      </c>
      <c r="G713" s="484">
        <v>0</v>
      </c>
      <c r="H713" s="484">
        <v>0</v>
      </c>
      <c r="I713" s="484">
        <v>0</v>
      </c>
      <c r="J713" s="1228"/>
      <c r="K713" s="1231"/>
    </row>
    <row r="714" spans="1:11">
      <c r="A714" s="1225"/>
      <c r="B714" s="1225"/>
      <c r="C714" s="1225"/>
      <c r="D714" s="226">
        <v>2025</v>
      </c>
      <c r="E714" s="484">
        <f t="shared" si="47"/>
        <v>4400</v>
      </c>
      <c r="F714" s="484">
        <v>4400</v>
      </c>
      <c r="G714" s="484">
        <v>0</v>
      </c>
      <c r="H714" s="484">
        <v>0</v>
      </c>
      <c r="I714" s="484">
        <v>0</v>
      </c>
      <c r="J714" s="1228"/>
      <c r="K714" s="1231"/>
    </row>
    <row r="715" spans="1:11">
      <c r="A715" s="1226"/>
      <c r="B715" s="1226"/>
      <c r="C715" s="1226"/>
      <c r="D715" s="226">
        <v>2026</v>
      </c>
      <c r="E715" s="484">
        <f t="shared" si="47"/>
        <v>4400</v>
      </c>
      <c r="F715" s="484">
        <v>4400</v>
      </c>
      <c r="G715" s="484">
        <v>0</v>
      </c>
      <c r="H715" s="484">
        <v>0</v>
      </c>
      <c r="I715" s="484">
        <v>0</v>
      </c>
      <c r="J715" s="1229"/>
      <c r="K715" s="1232"/>
    </row>
    <row r="716" spans="1:11">
      <c r="A716" s="1219" t="s">
        <v>505</v>
      </c>
      <c r="B716" s="1220" t="s">
        <v>506</v>
      </c>
      <c r="C716" s="1219">
        <v>2022</v>
      </c>
      <c r="D716" s="226" t="s">
        <v>3</v>
      </c>
      <c r="E716" s="484">
        <f t="shared" si="47"/>
        <v>65500</v>
      </c>
      <c r="F716" s="484">
        <f>SUM(F717:F722)</f>
        <v>62225</v>
      </c>
      <c r="G716" s="484">
        <f>SUM(G717:G722)</f>
        <v>0</v>
      </c>
      <c r="H716" s="484">
        <f>SUM(H717:H722)</f>
        <v>3275</v>
      </c>
      <c r="I716" s="484">
        <f>SUM(I717:I722)</f>
        <v>0</v>
      </c>
      <c r="J716" s="1222" t="s">
        <v>507</v>
      </c>
      <c r="K716" s="1223" t="s">
        <v>129</v>
      </c>
    </row>
    <row r="717" spans="1:11">
      <c r="A717" s="1219"/>
      <c r="B717" s="1220"/>
      <c r="C717" s="1219"/>
      <c r="D717" s="226">
        <v>2021</v>
      </c>
      <c r="E717" s="484">
        <f t="shared" si="47"/>
        <v>0</v>
      </c>
      <c r="F717" s="484">
        <v>0</v>
      </c>
      <c r="G717" s="484">
        <v>0</v>
      </c>
      <c r="H717" s="484">
        <v>0</v>
      </c>
      <c r="I717" s="484">
        <v>0</v>
      </c>
      <c r="J717" s="1222"/>
      <c r="K717" s="1223"/>
    </row>
    <row r="718" spans="1:11">
      <c r="A718" s="1219"/>
      <c r="B718" s="1220"/>
      <c r="C718" s="1219"/>
      <c r="D718" s="226">
        <v>2022</v>
      </c>
      <c r="E718" s="484">
        <f t="shared" si="47"/>
        <v>65500</v>
      </c>
      <c r="F718" s="484">
        <v>62225</v>
      </c>
      <c r="G718" s="484">
        <v>0</v>
      </c>
      <c r="H718" s="484">
        <v>3275</v>
      </c>
      <c r="I718" s="484">
        <v>0</v>
      </c>
      <c r="J718" s="1222"/>
      <c r="K718" s="1223"/>
    </row>
    <row r="719" spans="1:11">
      <c r="A719" s="1219"/>
      <c r="B719" s="1220"/>
      <c r="C719" s="1219"/>
      <c r="D719" s="226">
        <v>2023</v>
      </c>
      <c r="E719" s="484">
        <f t="shared" si="47"/>
        <v>0</v>
      </c>
      <c r="F719" s="484">
        <v>0</v>
      </c>
      <c r="G719" s="484">
        <v>0</v>
      </c>
      <c r="H719" s="484">
        <v>0</v>
      </c>
      <c r="I719" s="484">
        <v>0</v>
      </c>
      <c r="J719" s="1222"/>
      <c r="K719" s="1223"/>
    </row>
    <row r="720" spans="1:11">
      <c r="A720" s="1219"/>
      <c r="B720" s="1220"/>
      <c r="C720" s="1219"/>
      <c r="D720" s="226">
        <v>2024</v>
      </c>
      <c r="E720" s="484">
        <f t="shared" si="47"/>
        <v>0</v>
      </c>
      <c r="F720" s="484">
        <v>0</v>
      </c>
      <c r="G720" s="484">
        <v>0</v>
      </c>
      <c r="H720" s="484">
        <v>0</v>
      </c>
      <c r="I720" s="484">
        <v>0</v>
      </c>
      <c r="J720" s="1222"/>
      <c r="K720" s="1223"/>
    </row>
    <row r="721" spans="1:11">
      <c r="A721" s="1219"/>
      <c r="B721" s="1220"/>
      <c r="C721" s="1219"/>
      <c r="D721" s="226">
        <v>2025</v>
      </c>
      <c r="E721" s="484">
        <v>0</v>
      </c>
      <c r="F721" s="484">
        <v>0</v>
      </c>
      <c r="G721" s="484">
        <v>0</v>
      </c>
      <c r="H721" s="484">
        <v>0</v>
      </c>
      <c r="I721" s="484">
        <v>0</v>
      </c>
      <c r="J721" s="1222"/>
      <c r="K721" s="1223"/>
    </row>
    <row r="722" spans="1:11">
      <c r="A722" s="1219"/>
      <c r="B722" s="1220"/>
      <c r="C722" s="1219"/>
      <c r="D722" s="226">
        <v>2026</v>
      </c>
      <c r="E722" s="484">
        <f t="shared" si="47"/>
        <v>0</v>
      </c>
      <c r="F722" s="484">
        <v>0</v>
      </c>
      <c r="G722" s="484">
        <v>0</v>
      </c>
      <c r="H722" s="484">
        <v>0</v>
      </c>
      <c r="I722" s="484">
        <v>0</v>
      </c>
      <c r="J722" s="1222"/>
      <c r="K722" s="1223"/>
    </row>
    <row r="723" spans="1:11">
      <c r="A723" s="1219" t="s">
        <v>508</v>
      </c>
      <c r="B723" s="1220" t="s">
        <v>509</v>
      </c>
      <c r="C723" s="1219">
        <v>2022</v>
      </c>
      <c r="D723" s="226" t="s">
        <v>3</v>
      </c>
      <c r="E723" s="484">
        <f t="shared" si="47"/>
        <v>3010.9325454545456</v>
      </c>
      <c r="F723" s="484">
        <f>SUM(F724:F729)</f>
        <v>2980.8232200000002</v>
      </c>
      <c r="G723" s="484">
        <f t="shared" ref="G723:G726" si="48">SUM(G724:G729)</f>
        <v>0</v>
      </c>
      <c r="H723" s="484">
        <f>SUM(H724:H729)</f>
        <v>30.109325454545456</v>
      </c>
      <c r="I723" s="484">
        <f t="shared" ref="I723:I726" si="49">SUM(I724:I729)</f>
        <v>0</v>
      </c>
      <c r="J723" s="1222" t="s">
        <v>510</v>
      </c>
      <c r="K723" s="1223" t="s">
        <v>129</v>
      </c>
    </row>
    <row r="724" spans="1:11">
      <c r="A724" s="1219"/>
      <c r="B724" s="1220"/>
      <c r="C724" s="1219"/>
      <c r="D724" s="226">
        <v>2021</v>
      </c>
      <c r="E724" s="484">
        <f t="shared" si="47"/>
        <v>0</v>
      </c>
      <c r="F724" s="484">
        <v>0</v>
      </c>
      <c r="G724" s="484">
        <f t="shared" si="48"/>
        <v>0</v>
      </c>
      <c r="H724" s="484">
        <v>0</v>
      </c>
      <c r="I724" s="484">
        <f t="shared" si="49"/>
        <v>0</v>
      </c>
      <c r="J724" s="1222"/>
      <c r="K724" s="1223"/>
    </row>
    <row r="725" spans="1:11">
      <c r="A725" s="1219"/>
      <c r="B725" s="1220"/>
      <c r="C725" s="1219"/>
      <c r="D725" s="226">
        <v>2022</v>
      </c>
      <c r="E725" s="484">
        <f t="shared" si="47"/>
        <v>3010.9325454545456</v>
      </c>
      <c r="F725" s="484">
        <v>2980.8232200000002</v>
      </c>
      <c r="G725" s="484">
        <f t="shared" si="48"/>
        <v>0</v>
      </c>
      <c r="H725" s="484">
        <f>F725/99*1</f>
        <v>30.109325454545456</v>
      </c>
      <c r="I725" s="484">
        <f t="shared" si="49"/>
        <v>0</v>
      </c>
      <c r="J725" s="1222"/>
      <c r="K725" s="1223"/>
    </row>
    <row r="726" spans="1:11">
      <c r="A726" s="1219"/>
      <c r="B726" s="1220"/>
      <c r="C726" s="1219"/>
      <c r="D726" s="226">
        <v>2023</v>
      </c>
      <c r="E726" s="484">
        <f t="shared" si="47"/>
        <v>0</v>
      </c>
      <c r="F726" s="484">
        <v>0</v>
      </c>
      <c r="G726" s="484">
        <f t="shared" si="48"/>
        <v>0</v>
      </c>
      <c r="H726" s="484">
        <v>0</v>
      </c>
      <c r="I726" s="484">
        <f t="shared" si="49"/>
        <v>0</v>
      </c>
      <c r="J726" s="1222"/>
      <c r="K726" s="1223"/>
    </row>
    <row r="727" spans="1:11">
      <c r="A727" s="1219"/>
      <c r="B727" s="1220"/>
      <c r="C727" s="1219"/>
      <c r="D727" s="226">
        <v>2024</v>
      </c>
      <c r="E727" s="484">
        <f t="shared" si="47"/>
        <v>0</v>
      </c>
      <c r="F727" s="484">
        <v>0</v>
      </c>
      <c r="G727" s="484">
        <f>SUM(G729:G733)</f>
        <v>0</v>
      </c>
      <c r="H727" s="484">
        <v>0</v>
      </c>
      <c r="I727" s="484">
        <f>SUM(I729:I733)</f>
        <v>0</v>
      </c>
      <c r="J727" s="1222"/>
      <c r="K727" s="1223"/>
    </row>
    <row r="728" spans="1:11">
      <c r="A728" s="1219"/>
      <c r="B728" s="1220"/>
      <c r="C728" s="1219"/>
      <c r="D728" s="226">
        <v>2025</v>
      </c>
      <c r="E728" s="484">
        <v>0</v>
      </c>
      <c r="F728" s="484">
        <v>0</v>
      </c>
      <c r="G728" s="484">
        <v>0</v>
      </c>
      <c r="H728" s="484">
        <v>0</v>
      </c>
      <c r="I728" s="484">
        <v>0</v>
      </c>
      <c r="J728" s="1222"/>
      <c r="K728" s="1223"/>
    </row>
    <row r="729" spans="1:11">
      <c r="A729" s="1219"/>
      <c r="B729" s="1220"/>
      <c r="C729" s="1219"/>
      <c r="D729" s="226">
        <v>2026</v>
      </c>
      <c r="E729" s="484">
        <f t="shared" si="47"/>
        <v>0</v>
      </c>
      <c r="F729" s="484">
        <v>0</v>
      </c>
      <c r="G729" s="484">
        <f>SUM(G730:G734)</f>
        <v>0</v>
      </c>
      <c r="H729" s="484">
        <v>0</v>
      </c>
      <c r="I729" s="484">
        <f>SUM(I730:I734)</f>
        <v>0</v>
      </c>
      <c r="J729" s="1222"/>
      <c r="K729" s="1223"/>
    </row>
    <row r="730" spans="1:11">
      <c r="A730" s="1219" t="s">
        <v>511</v>
      </c>
      <c r="B730" s="1220" t="s">
        <v>512</v>
      </c>
      <c r="C730" s="1219">
        <v>2022</v>
      </c>
      <c r="D730" s="226" t="s">
        <v>3</v>
      </c>
      <c r="E730" s="484">
        <f t="shared" si="47"/>
        <v>9956.0763399999996</v>
      </c>
      <c r="F730" s="484">
        <f>SUM(F731:F736)</f>
        <v>9458.2733399999997</v>
      </c>
      <c r="G730" s="484">
        <f t="shared" ref="G730:G733" si="50">SUM(G731:G736)</f>
        <v>0</v>
      </c>
      <c r="H730" s="484">
        <f>SUM(H731:H736)</f>
        <v>497.803</v>
      </c>
      <c r="I730" s="484">
        <f t="shared" ref="I730:I733" si="51">SUM(I731:I736)</f>
        <v>0</v>
      </c>
      <c r="J730" s="1222" t="s">
        <v>513</v>
      </c>
      <c r="K730" s="1223" t="s">
        <v>129</v>
      </c>
    </row>
    <row r="731" spans="1:11">
      <c r="A731" s="1219"/>
      <c r="B731" s="1220"/>
      <c r="C731" s="1219"/>
      <c r="D731" s="226">
        <v>2021</v>
      </c>
      <c r="E731" s="484">
        <f t="shared" si="47"/>
        <v>0</v>
      </c>
      <c r="F731" s="484">
        <v>0</v>
      </c>
      <c r="G731" s="484">
        <f t="shared" si="50"/>
        <v>0</v>
      </c>
      <c r="H731" s="484">
        <v>0</v>
      </c>
      <c r="I731" s="484">
        <f t="shared" si="51"/>
        <v>0</v>
      </c>
      <c r="J731" s="1222"/>
      <c r="K731" s="1223"/>
    </row>
    <row r="732" spans="1:11">
      <c r="A732" s="1219"/>
      <c r="B732" s="1220"/>
      <c r="C732" s="1219"/>
      <c r="D732" s="226">
        <v>2022</v>
      </c>
      <c r="E732" s="484">
        <f t="shared" si="47"/>
        <v>9956.0763399999996</v>
      </c>
      <c r="F732" s="484">
        <v>9458.2733399999997</v>
      </c>
      <c r="G732" s="484">
        <f t="shared" si="50"/>
        <v>0</v>
      </c>
      <c r="H732" s="484">
        <v>497.803</v>
      </c>
      <c r="I732" s="484">
        <f t="shared" si="51"/>
        <v>0</v>
      </c>
      <c r="J732" s="1222"/>
      <c r="K732" s="1223"/>
    </row>
    <row r="733" spans="1:11">
      <c r="A733" s="1219"/>
      <c r="B733" s="1220"/>
      <c r="C733" s="1219"/>
      <c r="D733" s="226">
        <v>2023</v>
      </c>
      <c r="E733" s="484">
        <f t="shared" si="47"/>
        <v>0</v>
      </c>
      <c r="F733" s="484">
        <v>0</v>
      </c>
      <c r="G733" s="484">
        <f t="shared" si="50"/>
        <v>0</v>
      </c>
      <c r="H733" s="484">
        <v>0</v>
      </c>
      <c r="I733" s="484">
        <f t="shared" si="51"/>
        <v>0</v>
      </c>
      <c r="J733" s="1222"/>
      <c r="K733" s="1223"/>
    </row>
    <row r="734" spans="1:11">
      <c r="A734" s="1219"/>
      <c r="B734" s="1220"/>
      <c r="C734" s="1219"/>
      <c r="D734" s="226">
        <v>2024</v>
      </c>
      <c r="E734" s="484">
        <f t="shared" si="47"/>
        <v>0</v>
      </c>
      <c r="F734" s="484">
        <v>0</v>
      </c>
      <c r="G734" s="484">
        <f>SUM(G736:G740)</f>
        <v>0</v>
      </c>
      <c r="H734" s="484">
        <v>0</v>
      </c>
      <c r="I734" s="484">
        <f>SUM(I736:I740)</f>
        <v>0</v>
      </c>
      <c r="J734" s="1222"/>
      <c r="K734" s="1223"/>
    </row>
    <row r="735" spans="1:11">
      <c r="A735" s="1219"/>
      <c r="B735" s="1220"/>
      <c r="C735" s="1219"/>
      <c r="D735" s="226">
        <v>2025</v>
      </c>
      <c r="E735" s="484">
        <v>0</v>
      </c>
      <c r="F735" s="484">
        <v>0</v>
      </c>
      <c r="G735" s="484">
        <v>0</v>
      </c>
      <c r="H735" s="484">
        <v>0</v>
      </c>
      <c r="I735" s="484">
        <v>0</v>
      </c>
      <c r="J735" s="1222"/>
      <c r="K735" s="1223"/>
    </row>
    <row r="736" spans="1:11">
      <c r="A736" s="1219"/>
      <c r="B736" s="1220"/>
      <c r="C736" s="1219"/>
      <c r="D736" s="226">
        <v>2026</v>
      </c>
      <c r="E736" s="484">
        <f t="shared" si="47"/>
        <v>0</v>
      </c>
      <c r="F736" s="484">
        <v>0</v>
      </c>
      <c r="G736" s="484">
        <f>SUM(G737:G741)</f>
        <v>0</v>
      </c>
      <c r="H736" s="484">
        <v>0</v>
      </c>
      <c r="I736" s="484">
        <f>SUM(I737:I741)</f>
        <v>0</v>
      </c>
      <c r="J736" s="1222"/>
      <c r="K736" s="1223"/>
    </row>
    <row r="737" spans="1:11">
      <c r="A737" s="1219" t="s">
        <v>514</v>
      </c>
      <c r="B737" s="1220" t="s">
        <v>515</v>
      </c>
      <c r="C737" s="1219">
        <v>2022</v>
      </c>
      <c r="D737" s="226" t="s">
        <v>3</v>
      </c>
      <c r="E737" s="484">
        <f t="shared" si="47"/>
        <v>3320.7358421052631</v>
      </c>
      <c r="F737" s="484">
        <f>SUM(F738:F743)</f>
        <v>3154.6990500000002</v>
      </c>
      <c r="G737" s="484">
        <f t="shared" ref="G737:G740" si="52">SUM(G738:G743)</f>
        <v>0</v>
      </c>
      <c r="H737" s="484">
        <f>SUM(H738:H743)</f>
        <v>166.03679210526315</v>
      </c>
      <c r="I737" s="484">
        <f t="shared" ref="I737:I740" si="53">SUM(I738:I743)</f>
        <v>0</v>
      </c>
      <c r="J737" s="1222" t="s">
        <v>516</v>
      </c>
      <c r="K737" s="1223" t="s">
        <v>129</v>
      </c>
    </row>
    <row r="738" spans="1:11">
      <c r="A738" s="1219"/>
      <c r="B738" s="1220"/>
      <c r="C738" s="1219"/>
      <c r="D738" s="226">
        <v>2021</v>
      </c>
      <c r="E738" s="484">
        <f t="shared" si="47"/>
        <v>0</v>
      </c>
      <c r="F738" s="484">
        <v>0</v>
      </c>
      <c r="G738" s="484">
        <f t="shared" si="52"/>
        <v>0</v>
      </c>
      <c r="H738" s="484">
        <v>0</v>
      </c>
      <c r="I738" s="484">
        <f t="shared" si="53"/>
        <v>0</v>
      </c>
      <c r="J738" s="1222"/>
      <c r="K738" s="1223"/>
    </row>
    <row r="739" spans="1:11">
      <c r="A739" s="1219"/>
      <c r="B739" s="1220"/>
      <c r="C739" s="1219"/>
      <c r="D739" s="226">
        <v>2022</v>
      </c>
      <c r="E739" s="484">
        <f t="shared" si="47"/>
        <v>3320.7358421052631</v>
      </c>
      <c r="F739" s="484">
        <v>3154.6990500000002</v>
      </c>
      <c r="G739" s="484">
        <f t="shared" si="52"/>
        <v>0</v>
      </c>
      <c r="H739" s="484">
        <f>F739/95*5</f>
        <v>166.03679210526315</v>
      </c>
      <c r="I739" s="484">
        <f t="shared" si="53"/>
        <v>0</v>
      </c>
      <c r="J739" s="1222"/>
      <c r="K739" s="1223"/>
    </row>
    <row r="740" spans="1:11">
      <c r="A740" s="1219"/>
      <c r="B740" s="1220"/>
      <c r="C740" s="1219"/>
      <c r="D740" s="226">
        <v>2023</v>
      </c>
      <c r="E740" s="484">
        <f t="shared" si="47"/>
        <v>0</v>
      </c>
      <c r="F740" s="484">
        <v>0</v>
      </c>
      <c r="G740" s="484">
        <f t="shared" si="52"/>
        <v>0</v>
      </c>
      <c r="H740" s="484">
        <v>0</v>
      </c>
      <c r="I740" s="484">
        <f t="shared" si="53"/>
        <v>0</v>
      </c>
      <c r="J740" s="1222"/>
      <c r="K740" s="1223"/>
    </row>
    <row r="741" spans="1:11">
      <c r="A741" s="1219"/>
      <c r="B741" s="1220"/>
      <c r="C741" s="1219"/>
      <c r="D741" s="226">
        <v>2024</v>
      </c>
      <c r="E741" s="484">
        <f t="shared" si="47"/>
        <v>0</v>
      </c>
      <c r="F741" s="484">
        <v>0</v>
      </c>
      <c r="G741" s="484">
        <f>SUM(G743:G747)</f>
        <v>0</v>
      </c>
      <c r="H741" s="484">
        <v>0</v>
      </c>
      <c r="I741" s="484">
        <f>SUM(I743:I747)</f>
        <v>0</v>
      </c>
      <c r="J741" s="1222"/>
      <c r="K741" s="1223"/>
    </row>
    <row r="742" spans="1:11">
      <c r="A742" s="1219"/>
      <c r="B742" s="1220"/>
      <c r="C742" s="1219"/>
      <c r="D742" s="226">
        <v>2025</v>
      </c>
      <c r="E742" s="484">
        <v>0</v>
      </c>
      <c r="F742" s="484">
        <v>0</v>
      </c>
      <c r="G742" s="484">
        <v>0</v>
      </c>
      <c r="H742" s="484">
        <v>0</v>
      </c>
      <c r="I742" s="484">
        <v>0</v>
      </c>
      <c r="J742" s="1222"/>
      <c r="K742" s="1223"/>
    </row>
    <row r="743" spans="1:11">
      <c r="A743" s="1219"/>
      <c r="B743" s="1220"/>
      <c r="C743" s="1219"/>
      <c r="D743" s="226">
        <v>2026</v>
      </c>
      <c r="E743" s="484">
        <f t="shared" si="47"/>
        <v>0</v>
      </c>
      <c r="F743" s="484">
        <v>0</v>
      </c>
      <c r="G743" s="484">
        <f>SUM(G744:G748)</f>
        <v>0</v>
      </c>
      <c r="H743" s="484">
        <v>0</v>
      </c>
      <c r="I743" s="484">
        <f>SUM(I744:I748)</f>
        <v>0</v>
      </c>
      <c r="J743" s="1222"/>
      <c r="K743" s="1223"/>
    </row>
    <row r="744" spans="1:11">
      <c r="A744" s="1219" t="s">
        <v>517</v>
      </c>
      <c r="B744" s="1220" t="s">
        <v>518</v>
      </c>
      <c r="C744" s="1219">
        <v>2022</v>
      </c>
      <c r="D744" s="226" t="s">
        <v>3</v>
      </c>
      <c r="E744" s="484">
        <f t="shared" si="47"/>
        <v>17129.317905263157</v>
      </c>
      <c r="F744" s="484">
        <f>SUM(F745:F750)</f>
        <v>16272.852010000001</v>
      </c>
      <c r="G744" s="484">
        <f t="shared" ref="G744:G747" si="54">SUM(G745:G750)</f>
        <v>0</v>
      </c>
      <c r="H744" s="484">
        <f>SUM(H745:H750)</f>
        <v>856.4658952631579</v>
      </c>
      <c r="I744" s="484">
        <f t="shared" ref="I744:I747" si="55">SUM(I745:I750)</f>
        <v>0</v>
      </c>
      <c r="J744" s="1222" t="s">
        <v>519</v>
      </c>
      <c r="K744" s="1223" t="s">
        <v>129</v>
      </c>
    </row>
    <row r="745" spans="1:11">
      <c r="A745" s="1219"/>
      <c r="B745" s="1220"/>
      <c r="C745" s="1219"/>
      <c r="D745" s="226">
        <v>2021</v>
      </c>
      <c r="E745" s="484">
        <f t="shared" si="47"/>
        <v>0</v>
      </c>
      <c r="F745" s="484">
        <v>0</v>
      </c>
      <c r="G745" s="484">
        <f t="shared" si="54"/>
        <v>0</v>
      </c>
      <c r="H745" s="484">
        <v>0</v>
      </c>
      <c r="I745" s="484">
        <f t="shared" si="55"/>
        <v>0</v>
      </c>
      <c r="J745" s="1222"/>
      <c r="K745" s="1223"/>
    </row>
    <row r="746" spans="1:11">
      <c r="A746" s="1219"/>
      <c r="B746" s="1220"/>
      <c r="C746" s="1219"/>
      <c r="D746" s="226">
        <v>2022</v>
      </c>
      <c r="E746" s="484">
        <f t="shared" si="47"/>
        <v>17129.317905263157</v>
      </c>
      <c r="F746" s="484">
        <v>16272.852010000001</v>
      </c>
      <c r="G746" s="484">
        <f t="shared" si="54"/>
        <v>0</v>
      </c>
      <c r="H746" s="484">
        <f>F746/95*5</f>
        <v>856.4658952631579</v>
      </c>
      <c r="I746" s="484">
        <f t="shared" si="55"/>
        <v>0</v>
      </c>
      <c r="J746" s="1222"/>
      <c r="K746" s="1223"/>
    </row>
    <row r="747" spans="1:11">
      <c r="A747" s="1219"/>
      <c r="B747" s="1220"/>
      <c r="C747" s="1219"/>
      <c r="D747" s="226">
        <v>2023</v>
      </c>
      <c r="E747" s="484">
        <f t="shared" si="47"/>
        <v>0</v>
      </c>
      <c r="F747" s="484">
        <v>0</v>
      </c>
      <c r="G747" s="484">
        <f t="shared" si="54"/>
        <v>0</v>
      </c>
      <c r="H747" s="484">
        <v>0</v>
      </c>
      <c r="I747" s="484">
        <f t="shared" si="55"/>
        <v>0</v>
      </c>
      <c r="J747" s="1222"/>
      <c r="K747" s="1223"/>
    </row>
    <row r="748" spans="1:11">
      <c r="A748" s="1219"/>
      <c r="B748" s="1220"/>
      <c r="C748" s="1219"/>
      <c r="D748" s="226">
        <v>2024</v>
      </c>
      <c r="E748" s="484">
        <f t="shared" si="47"/>
        <v>0</v>
      </c>
      <c r="F748" s="484">
        <v>0</v>
      </c>
      <c r="G748" s="484">
        <f>SUM(G750:G754)</f>
        <v>0</v>
      </c>
      <c r="H748" s="484">
        <v>0</v>
      </c>
      <c r="I748" s="484">
        <f>SUM(I750:I754)</f>
        <v>0</v>
      </c>
      <c r="J748" s="1222"/>
      <c r="K748" s="1223"/>
    </row>
    <row r="749" spans="1:11">
      <c r="A749" s="1219"/>
      <c r="B749" s="1220"/>
      <c r="C749" s="1219"/>
      <c r="D749" s="226">
        <v>2025</v>
      </c>
      <c r="E749" s="484">
        <v>0</v>
      </c>
      <c r="F749" s="484">
        <v>0</v>
      </c>
      <c r="G749" s="484">
        <v>0</v>
      </c>
      <c r="H749" s="484">
        <v>0</v>
      </c>
      <c r="I749" s="484">
        <v>0</v>
      </c>
      <c r="J749" s="1222"/>
      <c r="K749" s="1223"/>
    </row>
    <row r="750" spans="1:11">
      <c r="A750" s="1219"/>
      <c r="B750" s="1220"/>
      <c r="C750" s="1219"/>
      <c r="D750" s="226">
        <v>2026</v>
      </c>
      <c r="E750" s="484">
        <f t="shared" si="47"/>
        <v>0</v>
      </c>
      <c r="F750" s="484">
        <v>0</v>
      </c>
      <c r="G750" s="484">
        <f>SUM(G751:G755)</f>
        <v>0</v>
      </c>
      <c r="H750" s="484">
        <v>0</v>
      </c>
      <c r="I750" s="484">
        <f>SUM(I751:I755)</f>
        <v>0</v>
      </c>
      <c r="J750" s="1222"/>
      <c r="K750" s="1223"/>
    </row>
    <row r="751" spans="1:11">
      <c r="A751" s="1219" t="s">
        <v>520</v>
      </c>
      <c r="B751" s="1220" t="s">
        <v>521</v>
      </c>
      <c r="C751" s="1219">
        <v>2022</v>
      </c>
      <c r="D751" s="226" t="s">
        <v>3</v>
      </c>
      <c r="E751" s="484">
        <f t="shared" si="47"/>
        <v>5286.9536799999996</v>
      </c>
      <c r="F751" s="484">
        <f>SUM(F752:F757)</f>
        <v>5022.6066799999999</v>
      </c>
      <c r="G751" s="484">
        <f t="shared" ref="G751:G754" si="56">SUM(G752:G757)</f>
        <v>0</v>
      </c>
      <c r="H751" s="484">
        <f>SUM(H752:H757)</f>
        <v>264.34699999999998</v>
      </c>
      <c r="I751" s="484">
        <f t="shared" ref="I751:I754" si="57">SUM(I752:I757)</f>
        <v>0</v>
      </c>
      <c r="J751" s="1222" t="s">
        <v>522</v>
      </c>
      <c r="K751" s="1223" t="s">
        <v>129</v>
      </c>
    </row>
    <row r="752" spans="1:11">
      <c r="A752" s="1219"/>
      <c r="B752" s="1220"/>
      <c r="C752" s="1219"/>
      <c r="D752" s="226">
        <v>2021</v>
      </c>
      <c r="E752" s="484">
        <f t="shared" si="47"/>
        <v>0</v>
      </c>
      <c r="F752" s="484">
        <v>0</v>
      </c>
      <c r="G752" s="484">
        <f t="shared" si="56"/>
        <v>0</v>
      </c>
      <c r="H752" s="484">
        <v>0</v>
      </c>
      <c r="I752" s="484">
        <f t="shared" si="57"/>
        <v>0</v>
      </c>
      <c r="J752" s="1222"/>
      <c r="K752" s="1223"/>
    </row>
    <row r="753" spans="1:11">
      <c r="A753" s="1219"/>
      <c r="B753" s="1220"/>
      <c r="C753" s="1219"/>
      <c r="D753" s="226">
        <v>2022</v>
      </c>
      <c r="E753" s="484">
        <f t="shared" si="47"/>
        <v>5286.9536799999996</v>
      </c>
      <c r="F753" s="484">
        <v>5022.6066799999999</v>
      </c>
      <c r="G753" s="484">
        <f t="shared" si="56"/>
        <v>0</v>
      </c>
      <c r="H753" s="484">
        <v>264.34699999999998</v>
      </c>
      <c r="I753" s="484">
        <f t="shared" si="57"/>
        <v>0</v>
      </c>
      <c r="J753" s="1222"/>
      <c r="K753" s="1223"/>
    </row>
    <row r="754" spans="1:11">
      <c r="A754" s="1219"/>
      <c r="B754" s="1220"/>
      <c r="C754" s="1219"/>
      <c r="D754" s="226">
        <v>2023</v>
      </c>
      <c r="E754" s="484">
        <f t="shared" si="47"/>
        <v>0</v>
      </c>
      <c r="F754" s="484">
        <v>0</v>
      </c>
      <c r="G754" s="484">
        <f t="shared" si="56"/>
        <v>0</v>
      </c>
      <c r="H754" s="484">
        <v>0</v>
      </c>
      <c r="I754" s="484">
        <f t="shared" si="57"/>
        <v>0</v>
      </c>
      <c r="J754" s="1222"/>
      <c r="K754" s="1223"/>
    </row>
    <row r="755" spans="1:11">
      <c r="A755" s="1219"/>
      <c r="B755" s="1220"/>
      <c r="C755" s="1219"/>
      <c r="D755" s="226">
        <v>2024</v>
      </c>
      <c r="E755" s="484">
        <f t="shared" si="47"/>
        <v>0</v>
      </c>
      <c r="F755" s="484">
        <v>0</v>
      </c>
      <c r="G755" s="484">
        <f>SUM(G757:G761)</f>
        <v>0</v>
      </c>
      <c r="H755" s="484">
        <v>0</v>
      </c>
      <c r="I755" s="484">
        <f>SUM(I757:I761)</f>
        <v>0</v>
      </c>
      <c r="J755" s="1222"/>
      <c r="K755" s="1223"/>
    </row>
    <row r="756" spans="1:11">
      <c r="A756" s="1219"/>
      <c r="B756" s="1220"/>
      <c r="C756" s="1219"/>
      <c r="D756" s="226">
        <v>2025</v>
      </c>
      <c r="E756" s="484">
        <v>0</v>
      </c>
      <c r="F756" s="484">
        <v>0</v>
      </c>
      <c r="G756" s="484">
        <v>0</v>
      </c>
      <c r="H756" s="484">
        <v>0</v>
      </c>
      <c r="I756" s="484">
        <v>0</v>
      </c>
      <c r="J756" s="1222"/>
      <c r="K756" s="1223"/>
    </row>
    <row r="757" spans="1:11">
      <c r="A757" s="1219"/>
      <c r="B757" s="1220"/>
      <c r="C757" s="1219"/>
      <c r="D757" s="226">
        <v>2026</v>
      </c>
      <c r="E757" s="484">
        <f t="shared" ref="E757:F820" si="58">SUM(F757:I757)</f>
        <v>0</v>
      </c>
      <c r="F757" s="484">
        <v>0</v>
      </c>
      <c r="G757" s="484">
        <f>SUM(G758:G762)</f>
        <v>0</v>
      </c>
      <c r="H757" s="484">
        <v>0</v>
      </c>
      <c r="I757" s="484">
        <f>SUM(I758:I762)</f>
        <v>0</v>
      </c>
      <c r="J757" s="1222"/>
      <c r="K757" s="1223"/>
    </row>
    <row r="758" spans="1:11">
      <c r="A758" s="1219" t="s">
        <v>523</v>
      </c>
      <c r="B758" s="1220" t="s">
        <v>524</v>
      </c>
      <c r="C758" s="1219">
        <v>2022</v>
      </c>
      <c r="D758" s="226" t="s">
        <v>3</v>
      </c>
      <c r="E758" s="484">
        <f t="shared" si="58"/>
        <v>2973.9789052631577</v>
      </c>
      <c r="F758" s="484">
        <f>SUM(F759:F764)</f>
        <v>2825.2799599999998</v>
      </c>
      <c r="G758" s="484">
        <f t="shared" ref="G758:G800" si="59">SUM(G759:G764)</f>
        <v>0</v>
      </c>
      <c r="H758" s="484">
        <f>SUM(H759:H764)</f>
        <v>148.69894526315787</v>
      </c>
      <c r="I758" s="484">
        <f>SUM(I759:I764)</f>
        <v>0</v>
      </c>
      <c r="J758" s="1222" t="s">
        <v>525</v>
      </c>
      <c r="K758" s="1223" t="s">
        <v>129</v>
      </c>
    </row>
    <row r="759" spans="1:11">
      <c r="A759" s="1219"/>
      <c r="B759" s="1220"/>
      <c r="C759" s="1219"/>
      <c r="D759" s="226">
        <v>2021</v>
      </c>
      <c r="E759" s="484">
        <f t="shared" si="58"/>
        <v>0</v>
      </c>
      <c r="F759" s="484">
        <v>0</v>
      </c>
      <c r="G759" s="484">
        <f t="shared" si="59"/>
        <v>0</v>
      </c>
      <c r="H759" s="484">
        <v>0</v>
      </c>
      <c r="I759" s="484">
        <v>0</v>
      </c>
      <c r="J759" s="1222"/>
      <c r="K759" s="1223"/>
    </row>
    <row r="760" spans="1:11">
      <c r="A760" s="1219"/>
      <c r="B760" s="1220"/>
      <c r="C760" s="1219"/>
      <c r="D760" s="226">
        <v>2022</v>
      </c>
      <c r="E760" s="484">
        <f t="shared" si="58"/>
        <v>2973.9789052631577</v>
      </c>
      <c r="F760" s="484">
        <v>2825.2799599999998</v>
      </c>
      <c r="G760" s="484">
        <f t="shared" si="59"/>
        <v>0</v>
      </c>
      <c r="H760" s="484">
        <f>F760/95*5</f>
        <v>148.69894526315787</v>
      </c>
      <c r="I760" s="484">
        <v>0</v>
      </c>
      <c r="J760" s="1222"/>
      <c r="K760" s="1223"/>
    </row>
    <row r="761" spans="1:11">
      <c r="A761" s="1219"/>
      <c r="B761" s="1220"/>
      <c r="C761" s="1219"/>
      <c r="D761" s="226">
        <v>2023</v>
      </c>
      <c r="E761" s="484">
        <f t="shared" si="58"/>
        <v>0</v>
      </c>
      <c r="F761" s="484">
        <v>0</v>
      </c>
      <c r="G761" s="484">
        <v>0</v>
      </c>
      <c r="H761" s="484">
        <v>0</v>
      </c>
      <c r="I761" s="484">
        <v>0</v>
      </c>
      <c r="J761" s="1222"/>
      <c r="K761" s="1223"/>
    </row>
    <row r="762" spans="1:11">
      <c r="A762" s="1219"/>
      <c r="B762" s="1220"/>
      <c r="C762" s="1219"/>
      <c r="D762" s="226">
        <v>2024</v>
      </c>
      <c r="E762" s="484">
        <f t="shared" si="58"/>
        <v>0</v>
      </c>
      <c r="F762" s="484">
        <v>0</v>
      </c>
      <c r="G762" s="484">
        <v>0</v>
      </c>
      <c r="H762" s="484">
        <v>0</v>
      </c>
      <c r="I762" s="484">
        <v>0</v>
      </c>
      <c r="J762" s="1222"/>
      <c r="K762" s="1223"/>
    </row>
    <row r="763" spans="1:11">
      <c r="A763" s="1219"/>
      <c r="B763" s="1220"/>
      <c r="C763" s="1219"/>
      <c r="D763" s="226">
        <v>2025</v>
      </c>
      <c r="E763" s="484">
        <v>0</v>
      </c>
      <c r="F763" s="484">
        <v>0</v>
      </c>
      <c r="G763" s="484">
        <v>0</v>
      </c>
      <c r="H763" s="484">
        <v>0</v>
      </c>
      <c r="I763" s="484">
        <v>0</v>
      </c>
      <c r="J763" s="1222"/>
      <c r="K763" s="1223"/>
    </row>
    <row r="764" spans="1:11">
      <c r="A764" s="1219"/>
      <c r="B764" s="1220"/>
      <c r="C764" s="1219"/>
      <c r="D764" s="226">
        <v>2026</v>
      </c>
      <c r="E764" s="484">
        <f t="shared" si="58"/>
        <v>0</v>
      </c>
      <c r="F764" s="484">
        <v>0</v>
      </c>
      <c r="G764" s="484">
        <v>0</v>
      </c>
      <c r="H764" s="484">
        <v>0</v>
      </c>
      <c r="I764" s="484">
        <v>0</v>
      </c>
      <c r="J764" s="1222"/>
      <c r="K764" s="1223"/>
    </row>
    <row r="765" spans="1:11">
      <c r="A765" s="1219" t="s">
        <v>54</v>
      </c>
      <c r="B765" s="1220" t="s">
        <v>125</v>
      </c>
      <c r="C765" s="1219" t="s">
        <v>368</v>
      </c>
      <c r="D765" s="226" t="s">
        <v>3</v>
      </c>
      <c r="E765" s="484">
        <f t="shared" si="58"/>
        <v>26151.575000000001</v>
      </c>
      <c r="F765" s="484">
        <f>SUM(F766:F771)</f>
        <v>24843.99625</v>
      </c>
      <c r="G765" s="484">
        <f t="shared" si="59"/>
        <v>0</v>
      </c>
      <c r="H765" s="484">
        <f>SUM(H766:H771)</f>
        <v>1307.5787500000001</v>
      </c>
      <c r="I765" s="484">
        <f>SUM(I766:I771)</f>
        <v>0</v>
      </c>
      <c r="J765" s="1222" t="s">
        <v>141</v>
      </c>
      <c r="K765" s="1223" t="s">
        <v>129</v>
      </c>
    </row>
    <row r="766" spans="1:11">
      <c r="A766" s="1219"/>
      <c r="B766" s="1220"/>
      <c r="C766" s="1219"/>
      <c r="D766" s="226">
        <v>2021</v>
      </c>
      <c r="E766" s="484">
        <f t="shared" si="58"/>
        <v>0</v>
      </c>
      <c r="F766" s="484">
        <v>0</v>
      </c>
      <c r="G766" s="484">
        <v>0</v>
      </c>
      <c r="H766" s="484">
        <v>0</v>
      </c>
      <c r="I766" s="484">
        <f>SUM(I767:I771)</f>
        <v>0</v>
      </c>
      <c r="J766" s="1222"/>
      <c r="K766" s="1223"/>
    </row>
    <row r="767" spans="1:11">
      <c r="A767" s="1219"/>
      <c r="B767" s="1220"/>
      <c r="C767" s="1219"/>
      <c r="D767" s="226">
        <v>2022</v>
      </c>
      <c r="E767" s="484">
        <f t="shared" si="58"/>
        <v>16151.575000000001</v>
      </c>
      <c r="F767" s="484">
        <v>15343.99625</v>
      </c>
      <c r="G767" s="484">
        <v>0</v>
      </c>
      <c r="H767" s="484">
        <f>F767*5/95</f>
        <v>807.57875000000001</v>
      </c>
      <c r="I767" s="484">
        <f>SUM(I768:I771)</f>
        <v>0</v>
      </c>
      <c r="J767" s="1222"/>
      <c r="K767" s="1223"/>
    </row>
    <row r="768" spans="1:11">
      <c r="A768" s="1219"/>
      <c r="B768" s="1220"/>
      <c r="C768" s="1219"/>
      <c r="D768" s="226">
        <v>2023</v>
      </c>
      <c r="E768" s="484">
        <f t="shared" si="58"/>
        <v>10000</v>
      </c>
      <c r="F768" s="484">
        <v>9500</v>
      </c>
      <c r="G768" s="484">
        <v>0</v>
      </c>
      <c r="H768" s="484">
        <v>500</v>
      </c>
      <c r="I768" s="484">
        <f>SUM(I769:I771)</f>
        <v>0</v>
      </c>
      <c r="J768" s="1222"/>
      <c r="K768" s="1223"/>
    </row>
    <row r="769" spans="1:11">
      <c r="A769" s="1219"/>
      <c r="B769" s="1220"/>
      <c r="C769" s="1219"/>
      <c r="D769" s="226">
        <v>2024</v>
      </c>
      <c r="E769" s="484">
        <f t="shared" si="58"/>
        <v>0</v>
      </c>
      <c r="F769" s="484">
        <v>0</v>
      </c>
      <c r="G769" s="484">
        <v>0</v>
      </c>
      <c r="H769" s="484">
        <v>0</v>
      </c>
      <c r="I769" s="484">
        <v>0</v>
      </c>
      <c r="J769" s="1222"/>
      <c r="K769" s="1223"/>
    </row>
    <row r="770" spans="1:11">
      <c r="A770" s="1219"/>
      <c r="B770" s="1220"/>
      <c r="C770" s="1219"/>
      <c r="D770" s="226">
        <v>2025</v>
      </c>
      <c r="E770" s="484">
        <v>0</v>
      </c>
      <c r="F770" s="484">
        <v>0</v>
      </c>
      <c r="G770" s="484">
        <v>0</v>
      </c>
      <c r="H770" s="484">
        <v>0</v>
      </c>
      <c r="I770" s="484">
        <v>0</v>
      </c>
      <c r="J770" s="1222"/>
      <c r="K770" s="1223"/>
    </row>
    <row r="771" spans="1:11">
      <c r="A771" s="1219"/>
      <c r="B771" s="1220"/>
      <c r="C771" s="1219"/>
      <c r="D771" s="226">
        <v>2026</v>
      </c>
      <c r="E771" s="484">
        <f t="shared" si="58"/>
        <v>0</v>
      </c>
      <c r="F771" s="484">
        <v>0</v>
      </c>
      <c r="G771" s="484">
        <v>0</v>
      </c>
      <c r="H771" s="484">
        <v>0</v>
      </c>
      <c r="I771" s="484">
        <v>0</v>
      </c>
      <c r="J771" s="1222"/>
      <c r="K771" s="1223"/>
    </row>
    <row r="772" spans="1:11">
      <c r="A772" s="1219" t="s">
        <v>526</v>
      </c>
      <c r="B772" s="1220" t="s">
        <v>527</v>
      </c>
      <c r="C772" s="1219" t="s">
        <v>368</v>
      </c>
      <c r="D772" s="226" t="s">
        <v>3</v>
      </c>
      <c r="E772" s="484">
        <f t="shared" si="58"/>
        <v>11451.6183</v>
      </c>
      <c r="F772" s="484">
        <f>SUM(F773:F778)</f>
        <v>11451.6183</v>
      </c>
      <c r="G772" s="484">
        <f t="shared" si="59"/>
        <v>0</v>
      </c>
      <c r="H772" s="484">
        <f>SUM(H773:H778)</f>
        <v>0</v>
      </c>
      <c r="I772" s="484">
        <f>SUM(I773:I778)</f>
        <v>0</v>
      </c>
      <c r="J772" s="1222" t="s">
        <v>528</v>
      </c>
      <c r="K772" s="1223" t="s">
        <v>529</v>
      </c>
    </row>
    <row r="773" spans="1:11">
      <c r="A773" s="1219"/>
      <c r="B773" s="1220"/>
      <c r="C773" s="1219"/>
      <c r="D773" s="226">
        <v>2021</v>
      </c>
      <c r="E773" s="484">
        <f t="shared" si="58"/>
        <v>0</v>
      </c>
      <c r="F773" s="484">
        <v>0</v>
      </c>
      <c r="G773" s="484">
        <v>0</v>
      </c>
      <c r="H773" s="484">
        <v>0</v>
      </c>
      <c r="I773" s="484">
        <v>0</v>
      </c>
      <c r="J773" s="1222"/>
      <c r="K773" s="1223"/>
    </row>
    <row r="774" spans="1:11">
      <c r="A774" s="1219"/>
      <c r="B774" s="1220"/>
      <c r="C774" s="1219"/>
      <c r="D774" s="226">
        <v>2022</v>
      </c>
      <c r="E774" s="484">
        <f t="shared" si="58"/>
        <v>11287.552299999999</v>
      </c>
      <c r="F774" s="484">
        <v>11287.552299999999</v>
      </c>
      <c r="G774" s="484">
        <v>0</v>
      </c>
      <c r="H774" s="484">
        <v>0</v>
      </c>
      <c r="I774" s="484">
        <v>0</v>
      </c>
      <c r="J774" s="1222"/>
      <c r="K774" s="1223"/>
    </row>
    <row r="775" spans="1:11">
      <c r="A775" s="1219"/>
      <c r="B775" s="1220"/>
      <c r="C775" s="1219"/>
      <c r="D775" s="226">
        <v>2023</v>
      </c>
      <c r="E775" s="484">
        <f t="shared" si="58"/>
        <v>164.066</v>
      </c>
      <c r="F775" s="484">
        <v>164.066</v>
      </c>
      <c r="G775" s="484">
        <v>0</v>
      </c>
      <c r="H775" s="484">
        <v>0</v>
      </c>
      <c r="I775" s="484">
        <v>0</v>
      </c>
      <c r="J775" s="1222"/>
      <c r="K775" s="1223"/>
    </row>
    <row r="776" spans="1:11">
      <c r="A776" s="1219"/>
      <c r="B776" s="1220"/>
      <c r="C776" s="1219"/>
      <c r="D776" s="226">
        <v>2024</v>
      </c>
      <c r="E776" s="484">
        <f t="shared" si="58"/>
        <v>0</v>
      </c>
      <c r="F776" s="484">
        <v>0</v>
      </c>
      <c r="G776" s="484">
        <v>0</v>
      </c>
      <c r="H776" s="484">
        <v>0</v>
      </c>
      <c r="I776" s="484">
        <v>0</v>
      </c>
      <c r="J776" s="1222"/>
      <c r="K776" s="1223"/>
    </row>
    <row r="777" spans="1:11">
      <c r="A777" s="1219"/>
      <c r="B777" s="1220"/>
      <c r="C777" s="1219"/>
      <c r="D777" s="226">
        <v>2025</v>
      </c>
      <c r="E777" s="484">
        <v>0</v>
      </c>
      <c r="F777" s="484">
        <v>0</v>
      </c>
      <c r="G777" s="484">
        <v>0</v>
      </c>
      <c r="H777" s="484">
        <v>0</v>
      </c>
      <c r="I777" s="484">
        <v>0</v>
      </c>
      <c r="J777" s="1222"/>
      <c r="K777" s="1223"/>
    </row>
    <row r="778" spans="1:11">
      <c r="A778" s="1219"/>
      <c r="B778" s="1220"/>
      <c r="C778" s="1219"/>
      <c r="D778" s="226">
        <v>2026</v>
      </c>
      <c r="E778" s="484">
        <f t="shared" si="58"/>
        <v>0</v>
      </c>
      <c r="F778" s="484">
        <v>0</v>
      </c>
      <c r="G778" s="484">
        <v>0</v>
      </c>
      <c r="H778" s="484">
        <v>0</v>
      </c>
      <c r="I778" s="484">
        <v>0</v>
      </c>
      <c r="J778" s="1222"/>
      <c r="K778" s="1223"/>
    </row>
    <row r="779" spans="1:11">
      <c r="A779" s="1219" t="s">
        <v>530</v>
      </c>
      <c r="B779" s="1220" t="s">
        <v>531</v>
      </c>
      <c r="C779" s="1219">
        <v>2022</v>
      </c>
      <c r="D779" s="226" t="s">
        <v>3</v>
      </c>
      <c r="E779" s="484">
        <f t="shared" si="58"/>
        <v>2900</v>
      </c>
      <c r="F779" s="484">
        <f>SUM(F780:F785)</f>
        <v>2900</v>
      </c>
      <c r="G779" s="484">
        <f t="shared" si="59"/>
        <v>0</v>
      </c>
      <c r="H779" s="484">
        <f>SUM(H780:H785)</f>
        <v>0</v>
      </c>
      <c r="I779" s="484">
        <f>SUM(I780:I785)</f>
        <v>0</v>
      </c>
      <c r="J779" s="1222" t="s">
        <v>532</v>
      </c>
      <c r="K779" s="1223" t="s">
        <v>140</v>
      </c>
    </row>
    <row r="780" spans="1:11">
      <c r="A780" s="1219"/>
      <c r="B780" s="1220"/>
      <c r="C780" s="1219"/>
      <c r="D780" s="226">
        <v>2021</v>
      </c>
      <c r="E780" s="484">
        <f t="shared" si="58"/>
        <v>0</v>
      </c>
      <c r="F780" s="484">
        <v>0</v>
      </c>
      <c r="G780" s="484">
        <v>0</v>
      </c>
      <c r="H780" s="484">
        <v>0</v>
      </c>
      <c r="I780" s="484">
        <v>0</v>
      </c>
      <c r="J780" s="1222"/>
      <c r="K780" s="1223"/>
    </row>
    <row r="781" spans="1:11">
      <c r="A781" s="1219"/>
      <c r="B781" s="1220"/>
      <c r="C781" s="1219"/>
      <c r="D781" s="226">
        <v>2022</v>
      </c>
      <c r="E781" s="484">
        <f t="shared" si="58"/>
        <v>2900</v>
      </c>
      <c r="F781" s="484">
        <v>2900</v>
      </c>
      <c r="G781" s="484">
        <v>0</v>
      </c>
      <c r="H781" s="484">
        <v>0</v>
      </c>
      <c r="I781" s="484">
        <v>0</v>
      </c>
      <c r="J781" s="1222"/>
      <c r="K781" s="1223"/>
    </row>
    <row r="782" spans="1:11">
      <c r="A782" s="1219"/>
      <c r="B782" s="1220"/>
      <c r="C782" s="1219"/>
      <c r="D782" s="226">
        <v>2023</v>
      </c>
      <c r="E782" s="484">
        <f t="shared" si="58"/>
        <v>0</v>
      </c>
      <c r="F782" s="484">
        <v>0</v>
      </c>
      <c r="G782" s="484">
        <v>0</v>
      </c>
      <c r="H782" s="484">
        <v>0</v>
      </c>
      <c r="I782" s="484">
        <v>0</v>
      </c>
      <c r="J782" s="1222"/>
      <c r="K782" s="1223"/>
    </row>
    <row r="783" spans="1:11">
      <c r="A783" s="1219"/>
      <c r="B783" s="1220"/>
      <c r="C783" s="1219"/>
      <c r="D783" s="226">
        <v>2024</v>
      </c>
      <c r="E783" s="484">
        <f t="shared" si="58"/>
        <v>0</v>
      </c>
      <c r="F783" s="484">
        <v>0</v>
      </c>
      <c r="G783" s="484">
        <v>0</v>
      </c>
      <c r="H783" s="484">
        <v>0</v>
      </c>
      <c r="I783" s="484">
        <v>0</v>
      </c>
      <c r="J783" s="1222"/>
      <c r="K783" s="1223"/>
    </row>
    <row r="784" spans="1:11">
      <c r="A784" s="1219"/>
      <c r="B784" s="1220"/>
      <c r="C784" s="1219"/>
      <c r="D784" s="226">
        <v>2025</v>
      </c>
      <c r="E784" s="484">
        <v>0</v>
      </c>
      <c r="F784" s="484">
        <v>0</v>
      </c>
      <c r="G784" s="484">
        <v>0</v>
      </c>
      <c r="H784" s="484">
        <v>0</v>
      </c>
      <c r="I784" s="484">
        <v>0</v>
      </c>
      <c r="J784" s="1222"/>
      <c r="K784" s="1223"/>
    </row>
    <row r="785" spans="1:11">
      <c r="A785" s="1219"/>
      <c r="B785" s="1220"/>
      <c r="C785" s="1219"/>
      <c r="D785" s="226">
        <v>2026</v>
      </c>
      <c r="E785" s="484">
        <f t="shared" si="58"/>
        <v>0</v>
      </c>
      <c r="F785" s="484">
        <v>0</v>
      </c>
      <c r="G785" s="484">
        <v>0</v>
      </c>
      <c r="H785" s="484">
        <v>0</v>
      </c>
      <c r="I785" s="484">
        <v>0</v>
      </c>
      <c r="J785" s="1222"/>
      <c r="K785" s="1223"/>
    </row>
    <row r="786" spans="1:11">
      <c r="A786" s="1219" t="s">
        <v>533</v>
      </c>
      <c r="B786" s="1220" t="s">
        <v>534</v>
      </c>
      <c r="C786" s="1219">
        <v>2022</v>
      </c>
      <c r="D786" s="226" t="s">
        <v>3</v>
      </c>
      <c r="E786" s="484">
        <f t="shared" si="58"/>
        <v>0</v>
      </c>
      <c r="F786" s="484">
        <f>SUM(F787:F792)</f>
        <v>0</v>
      </c>
      <c r="G786" s="484">
        <f t="shared" si="59"/>
        <v>0</v>
      </c>
      <c r="H786" s="484">
        <f>SUM(H787:H792)</f>
        <v>0</v>
      </c>
      <c r="I786" s="484">
        <f>SUM(I787:I792)</f>
        <v>0</v>
      </c>
      <c r="J786" s="1222" t="s">
        <v>535</v>
      </c>
      <c r="K786" s="1223" t="s">
        <v>140</v>
      </c>
    </row>
    <row r="787" spans="1:11">
      <c r="A787" s="1219"/>
      <c r="B787" s="1220"/>
      <c r="C787" s="1219"/>
      <c r="D787" s="226">
        <v>2021</v>
      </c>
      <c r="E787" s="484">
        <f t="shared" si="58"/>
        <v>0</v>
      </c>
      <c r="F787" s="484">
        <v>0</v>
      </c>
      <c r="G787" s="484">
        <v>0</v>
      </c>
      <c r="H787" s="484">
        <v>0</v>
      </c>
      <c r="I787" s="484">
        <v>0</v>
      </c>
      <c r="J787" s="1222"/>
      <c r="K787" s="1223"/>
    </row>
    <row r="788" spans="1:11">
      <c r="A788" s="1219"/>
      <c r="B788" s="1220"/>
      <c r="C788" s="1219"/>
      <c r="D788" s="226">
        <v>2022</v>
      </c>
      <c r="E788" s="484">
        <f t="shared" si="58"/>
        <v>0</v>
      </c>
      <c r="F788" s="484">
        <v>0</v>
      </c>
      <c r="G788" s="484">
        <v>0</v>
      </c>
      <c r="H788" s="484">
        <v>0</v>
      </c>
      <c r="I788" s="484">
        <v>0</v>
      </c>
      <c r="J788" s="1222"/>
      <c r="K788" s="1223"/>
    </row>
    <row r="789" spans="1:11">
      <c r="A789" s="1219"/>
      <c r="B789" s="1220"/>
      <c r="C789" s="1219"/>
      <c r="D789" s="226">
        <v>2023</v>
      </c>
      <c r="E789" s="484">
        <f t="shared" si="58"/>
        <v>0</v>
      </c>
      <c r="F789" s="484">
        <v>0</v>
      </c>
      <c r="G789" s="484">
        <v>0</v>
      </c>
      <c r="H789" s="484">
        <v>0</v>
      </c>
      <c r="I789" s="484">
        <v>0</v>
      </c>
      <c r="J789" s="1222"/>
      <c r="K789" s="1223"/>
    </row>
    <row r="790" spans="1:11">
      <c r="A790" s="1219"/>
      <c r="B790" s="1220"/>
      <c r="C790" s="1219"/>
      <c r="D790" s="226">
        <v>2024</v>
      </c>
      <c r="E790" s="484">
        <f t="shared" si="58"/>
        <v>0</v>
      </c>
      <c r="F790" s="484">
        <v>0</v>
      </c>
      <c r="G790" s="484">
        <v>0</v>
      </c>
      <c r="H790" s="484">
        <v>0</v>
      </c>
      <c r="I790" s="484">
        <v>0</v>
      </c>
      <c r="J790" s="1222"/>
      <c r="K790" s="1223"/>
    </row>
    <row r="791" spans="1:11">
      <c r="A791" s="1219"/>
      <c r="B791" s="1220"/>
      <c r="C791" s="1219"/>
      <c r="D791" s="226">
        <v>2025</v>
      </c>
      <c r="E791" s="484">
        <v>0</v>
      </c>
      <c r="F791" s="484">
        <v>0</v>
      </c>
      <c r="G791" s="484">
        <v>0</v>
      </c>
      <c r="H791" s="484">
        <v>0</v>
      </c>
      <c r="I791" s="484">
        <v>0</v>
      </c>
      <c r="J791" s="1222"/>
      <c r="K791" s="1223"/>
    </row>
    <row r="792" spans="1:11">
      <c r="A792" s="1219"/>
      <c r="B792" s="1220"/>
      <c r="C792" s="1219"/>
      <c r="D792" s="226">
        <v>2026</v>
      </c>
      <c r="E792" s="484">
        <f t="shared" si="58"/>
        <v>0</v>
      </c>
      <c r="F792" s="484">
        <v>0</v>
      </c>
      <c r="G792" s="484">
        <v>0</v>
      </c>
      <c r="H792" s="484">
        <v>0</v>
      </c>
      <c r="I792" s="484">
        <v>0</v>
      </c>
      <c r="J792" s="1222"/>
      <c r="K792" s="1223"/>
    </row>
    <row r="793" spans="1:11">
      <c r="A793" s="1219" t="s">
        <v>536</v>
      </c>
      <c r="B793" s="1220" t="s">
        <v>537</v>
      </c>
      <c r="C793" s="1219">
        <v>2022</v>
      </c>
      <c r="D793" s="226" t="s">
        <v>3</v>
      </c>
      <c r="E793" s="484">
        <f t="shared" si="58"/>
        <v>964.12733015494632</v>
      </c>
      <c r="F793" s="484">
        <f>SUM(F794:F799)</f>
        <v>808.90282999999999</v>
      </c>
      <c r="G793" s="484">
        <f t="shared" si="59"/>
        <v>0</v>
      </c>
      <c r="H793" s="484">
        <f>SUM(H794:H799)</f>
        <v>155.22450015494636</v>
      </c>
      <c r="I793" s="484">
        <f>SUM(I794:I799)</f>
        <v>0</v>
      </c>
      <c r="J793" s="1222" t="s">
        <v>538</v>
      </c>
      <c r="K793" s="1223" t="s">
        <v>139</v>
      </c>
    </row>
    <row r="794" spans="1:11">
      <c r="A794" s="1219"/>
      <c r="B794" s="1220"/>
      <c r="C794" s="1219"/>
      <c r="D794" s="226">
        <v>2021</v>
      </c>
      <c r="E794" s="484">
        <f t="shared" si="58"/>
        <v>0</v>
      </c>
      <c r="F794" s="484">
        <v>0</v>
      </c>
      <c r="G794" s="484">
        <v>0</v>
      </c>
      <c r="H794" s="484">
        <v>0</v>
      </c>
      <c r="I794" s="484">
        <v>0</v>
      </c>
      <c r="J794" s="1222"/>
      <c r="K794" s="1223"/>
    </row>
    <row r="795" spans="1:11">
      <c r="A795" s="1219"/>
      <c r="B795" s="1220"/>
      <c r="C795" s="1219"/>
      <c r="D795" s="226">
        <v>2022</v>
      </c>
      <c r="E795" s="484">
        <f t="shared" si="58"/>
        <v>964.12733015494632</v>
      </c>
      <c r="F795" s="484">
        <f>808.944-0.04117</f>
        <v>808.90282999999999</v>
      </c>
      <c r="G795" s="484">
        <v>0</v>
      </c>
      <c r="H795" s="484">
        <f>F795*16.1/83.9</f>
        <v>155.22450015494636</v>
      </c>
      <c r="I795" s="484">
        <v>0</v>
      </c>
      <c r="J795" s="1222"/>
      <c r="K795" s="1223"/>
    </row>
    <row r="796" spans="1:11">
      <c r="A796" s="1219"/>
      <c r="B796" s="1220"/>
      <c r="C796" s="1219"/>
      <c r="D796" s="226">
        <v>2023</v>
      </c>
      <c r="E796" s="484">
        <f t="shared" si="58"/>
        <v>0</v>
      </c>
      <c r="F796" s="484">
        <v>0</v>
      </c>
      <c r="G796" s="484">
        <v>0</v>
      </c>
      <c r="H796" s="484">
        <v>0</v>
      </c>
      <c r="I796" s="484">
        <v>0</v>
      </c>
      <c r="J796" s="1222"/>
      <c r="K796" s="1223"/>
    </row>
    <row r="797" spans="1:11">
      <c r="A797" s="1219"/>
      <c r="B797" s="1220"/>
      <c r="C797" s="1219"/>
      <c r="D797" s="226">
        <v>2024</v>
      </c>
      <c r="E797" s="484">
        <f t="shared" si="58"/>
        <v>0</v>
      </c>
      <c r="F797" s="484">
        <v>0</v>
      </c>
      <c r="G797" s="484">
        <v>0</v>
      </c>
      <c r="H797" s="484">
        <v>0</v>
      </c>
      <c r="I797" s="484">
        <v>0</v>
      </c>
      <c r="J797" s="1222"/>
      <c r="K797" s="1223"/>
    </row>
    <row r="798" spans="1:11">
      <c r="A798" s="1219"/>
      <c r="B798" s="1220"/>
      <c r="C798" s="1219"/>
      <c r="D798" s="226">
        <v>2025</v>
      </c>
      <c r="E798" s="484">
        <v>0</v>
      </c>
      <c r="F798" s="484">
        <v>0</v>
      </c>
      <c r="G798" s="484">
        <v>0</v>
      </c>
      <c r="H798" s="484">
        <v>0</v>
      </c>
      <c r="I798" s="484">
        <v>0</v>
      </c>
      <c r="J798" s="1222"/>
      <c r="K798" s="1223"/>
    </row>
    <row r="799" spans="1:11">
      <c r="A799" s="1219"/>
      <c r="B799" s="1220"/>
      <c r="C799" s="1219"/>
      <c r="D799" s="226">
        <v>2026</v>
      </c>
      <c r="E799" s="484">
        <f t="shared" si="58"/>
        <v>0</v>
      </c>
      <c r="F799" s="484">
        <v>0</v>
      </c>
      <c r="G799" s="484">
        <v>0</v>
      </c>
      <c r="H799" s="484">
        <v>0</v>
      </c>
      <c r="I799" s="484">
        <v>0</v>
      </c>
      <c r="J799" s="1222"/>
      <c r="K799" s="1223"/>
    </row>
    <row r="800" spans="1:11">
      <c r="A800" s="1219" t="s">
        <v>539</v>
      </c>
      <c r="B800" s="1220" t="s">
        <v>540</v>
      </c>
      <c r="C800" s="1219">
        <v>2022</v>
      </c>
      <c r="D800" s="226" t="s">
        <v>3</v>
      </c>
      <c r="E800" s="484">
        <f t="shared" si="58"/>
        <v>5088.3444576877237</v>
      </c>
      <c r="F800" s="484">
        <f>SUM(F801:F806)</f>
        <v>4269.1210000000001</v>
      </c>
      <c r="G800" s="484">
        <f t="shared" si="59"/>
        <v>0</v>
      </c>
      <c r="H800" s="484">
        <f>SUM(H801:H806)</f>
        <v>819.22345768772345</v>
      </c>
      <c r="I800" s="484">
        <f>SUM(I801:I806)</f>
        <v>0</v>
      </c>
      <c r="J800" s="1227" t="s">
        <v>541</v>
      </c>
      <c r="K800" s="1223" t="s">
        <v>139</v>
      </c>
    </row>
    <row r="801" spans="1:11">
      <c r="A801" s="1219"/>
      <c r="B801" s="1220"/>
      <c r="C801" s="1219"/>
      <c r="D801" s="226">
        <v>2021</v>
      </c>
      <c r="E801" s="484">
        <f t="shared" si="58"/>
        <v>0</v>
      </c>
      <c r="F801" s="484">
        <v>0</v>
      </c>
      <c r="G801" s="484">
        <v>0</v>
      </c>
      <c r="H801" s="484">
        <v>0</v>
      </c>
      <c r="I801" s="484">
        <v>0</v>
      </c>
      <c r="J801" s="1228"/>
      <c r="K801" s="1223"/>
    </row>
    <row r="802" spans="1:11">
      <c r="A802" s="1219"/>
      <c r="B802" s="1220"/>
      <c r="C802" s="1219"/>
      <c r="D802" s="226">
        <v>2022</v>
      </c>
      <c r="E802" s="484">
        <f t="shared" si="58"/>
        <v>5088.3444576877237</v>
      </c>
      <c r="F802" s="484">
        <f>4677.411-408.29</f>
        <v>4269.1210000000001</v>
      </c>
      <c r="G802" s="484">
        <v>0</v>
      </c>
      <c r="H802" s="484">
        <f>F802*16.1/83.9</f>
        <v>819.22345768772345</v>
      </c>
      <c r="I802" s="484">
        <v>0</v>
      </c>
      <c r="J802" s="1228"/>
      <c r="K802" s="1223"/>
    </row>
    <row r="803" spans="1:11">
      <c r="A803" s="1219"/>
      <c r="B803" s="1220"/>
      <c r="C803" s="1219"/>
      <c r="D803" s="226">
        <v>2023</v>
      </c>
      <c r="E803" s="484">
        <f t="shared" si="58"/>
        <v>0</v>
      </c>
      <c r="F803" s="484">
        <v>0</v>
      </c>
      <c r="G803" s="484">
        <v>0</v>
      </c>
      <c r="H803" s="484">
        <v>0</v>
      </c>
      <c r="I803" s="484">
        <v>0</v>
      </c>
      <c r="J803" s="1228"/>
      <c r="K803" s="1223"/>
    </row>
    <row r="804" spans="1:11">
      <c r="A804" s="1219"/>
      <c r="B804" s="1220"/>
      <c r="C804" s="1219"/>
      <c r="D804" s="226">
        <v>2024</v>
      </c>
      <c r="E804" s="484">
        <f t="shared" si="58"/>
        <v>0</v>
      </c>
      <c r="F804" s="484">
        <v>0</v>
      </c>
      <c r="G804" s="484">
        <v>0</v>
      </c>
      <c r="H804" s="484">
        <v>0</v>
      </c>
      <c r="I804" s="484">
        <v>0</v>
      </c>
      <c r="J804" s="1228"/>
      <c r="K804" s="1223"/>
    </row>
    <row r="805" spans="1:11">
      <c r="A805" s="1219"/>
      <c r="B805" s="1220"/>
      <c r="C805" s="1219"/>
      <c r="D805" s="226">
        <v>2025</v>
      </c>
      <c r="E805" s="484">
        <v>0</v>
      </c>
      <c r="F805" s="484">
        <v>0</v>
      </c>
      <c r="G805" s="484">
        <v>0</v>
      </c>
      <c r="H805" s="484">
        <v>0</v>
      </c>
      <c r="I805" s="484">
        <v>0</v>
      </c>
      <c r="J805" s="1228"/>
      <c r="K805" s="1223"/>
    </row>
    <row r="806" spans="1:11">
      <c r="A806" s="1219"/>
      <c r="B806" s="1220"/>
      <c r="C806" s="1219"/>
      <c r="D806" s="226">
        <v>2026</v>
      </c>
      <c r="E806" s="484">
        <f t="shared" si="58"/>
        <v>0</v>
      </c>
      <c r="F806" s="484">
        <v>0</v>
      </c>
      <c r="G806" s="484">
        <v>0</v>
      </c>
      <c r="H806" s="484">
        <v>0</v>
      </c>
      <c r="I806" s="484">
        <v>0</v>
      </c>
      <c r="J806" s="1229"/>
      <c r="K806" s="1223"/>
    </row>
    <row r="807" spans="1:11">
      <c r="A807" s="1219" t="s">
        <v>542</v>
      </c>
      <c r="B807" s="1220" t="s">
        <v>543</v>
      </c>
      <c r="C807" s="1219">
        <v>2022</v>
      </c>
      <c r="D807" s="226" t="s">
        <v>3</v>
      </c>
      <c r="E807" s="484">
        <f t="shared" si="58"/>
        <v>35550</v>
      </c>
      <c r="F807" s="484">
        <f>SUM(F808:F813)</f>
        <v>33772.5</v>
      </c>
      <c r="G807" s="484">
        <v>0</v>
      </c>
      <c r="H807" s="484">
        <f>SUM(H808:H813)</f>
        <v>1777.5</v>
      </c>
      <c r="I807" s="484">
        <v>0</v>
      </c>
      <c r="J807" s="1222" t="s">
        <v>544</v>
      </c>
      <c r="K807" s="1223" t="s">
        <v>545</v>
      </c>
    </row>
    <row r="808" spans="1:11">
      <c r="A808" s="1219"/>
      <c r="B808" s="1220"/>
      <c r="C808" s="1219"/>
      <c r="D808" s="226">
        <v>2021</v>
      </c>
      <c r="E808" s="484">
        <f t="shared" si="58"/>
        <v>0</v>
      </c>
      <c r="F808" s="484">
        <v>0</v>
      </c>
      <c r="G808" s="484">
        <v>0</v>
      </c>
      <c r="H808" s="484">
        <v>0</v>
      </c>
      <c r="I808" s="484">
        <v>0</v>
      </c>
      <c r="J808" s="1222"/>
      <c r="K808" s="1223"/>
    </row>
    <row r="809" spans="1:11">
      <c r="A809" s="1219"/>
      <c r="B809" s="1220"/>
      <c r="C809" s="1219"/>
      <c r="D809" s="226">
        <v>2022</v>
      </c>
      <c r="E809" s="484">
        <f t="shared" si="58"/>
        <v>35550</v>
      </c>
      <c r="F809" s="484">
        <v>33772.5</v>
      </c>
      <c r="G809" s="484">
        <v>0</v>
      </c>
      <c r="H809" s="484">
        <f>F809*5/95</f>
        <v>1777.5</v>
      </c>
      <c r="I809" s="484">
        <v>0</v>
      </c>
      <c r="J809" s="1222"/>
      <c r="K809" s="1223"/>
    </row>
    <row r="810" spans="1:11">
      <c r="A810" s="1219"/>
      <c r="B810" s="1220"/>
      <c r="C810" s="1219"/>
      <c r="D810" s="226">
        <v>2023</v>
      </c>
      <c r="E810" s="484">
        <f t="shared" si="58"/>
        <v>0</v>
      </c>
      <c r="F810" s="484">
        <v>0</v>
      </c>
      <c r="G810" s="484">
        <v>0</v>
      </c>
      <c r="H810" s="484">
        <v>0</v>
      </c>
      <c r="I810" s="484">
        <v>0</v>
      </c>
      <c r="J810" s="1222"/>
      <c r="K810" s="1223"/>
    </row>
    <row r="811" spans="1:11">
      <c r="A811" s="1219"/>
      <c r="B811" s="1220"/>
      <c r="C811" s="1219"/>
      <c r="D811" s="226">
        <v>2024</v>
      </c>
      <c r="E811" s="484">
        <f t="shared" si="58"/>
        <v>0</v>
      </c>
      <c r="F811" s="484">
        <v>0</v>
      </c>
      <c r="G811" s="484">
        <v>0</v>
      </c>
      <c r="H811" s="484">
        <v>0</v>
      </c>
      <c r="I811" s="484">
        <v>0</v>
      </c>
      <c r="J811" s="1222"/>
      <c r="K811" s="1223"/>
    </row>
    <row r="812" spans="1:11">
      <c r="A812" s="1219"/>
      <c r="B812" s="1220"/>
      <c r="C812" s="1219"/>
      <c r="D812" s="226">
        <v>2025</v>
      </c>
      <c r="E812" s="484">
        <v>0</v>
      </c>
      <c r="F812" s="484">
        <v>0</v>
      </c>
      <c r="G812" s="484">
        <v>0</v>
      </c>
      <c r="H812" s="484">
        <v>0</v>
      </c>
      <c r="I812" s="484">
        <v>0</v>
      </c>
      <c r="J812" s="1222"/>
      <c r="K812" s="1223"/>
    </row>
    <row r="813" spans="1:11">
      <c r="A813" s="1219"/>
      <c r="B813" s="1220"/>
      <c r="C813" s="1219"/>
      <c r="D813" s="226">
        <v>2026</v>
      </c>
      <c r="E813" s="484">
        <f t="shared" si="58"/>
        <v>0</v>
      </c>
      <c r="F813" s="484">
        <v>0</v>
      </c>
      <c r="G813" s="484">
        <v>0</v>
      </c>
      <c r="H813" s="484">
        <v>0</v>
      </c>
      <c r="I813" s="484">
        <v>0</v>
      </c>
      <c r="J813" s="1222"/>
      <c r="K813" s="1223"/>
    </row>
    <row r="814" spans="1:11">
      <c r="A814" s="1219" t="s">
        <v>546</v>
      </c>
      <c r="B814" s="1220" t="s">
        <v>547</v>
      </c>
      <c r="C814" s="1219">
        <v>2022</v>
      </c>
      <c r="D814" s="226" t="s">
        <v>3</v>
      </c>
      <c r="E814" s="484">
        <f t="shared" si="58"/>
        <v>15871.72</v>
      </c>
      <c r="F814" s="484">
        <f>SUM(F815:F820)</f>
        <v>15078.134</v>
      </c>
      <c r="G814" s="484">
        <v>0</v>
      </c>
      <c r="H814" s="484">
        <f>SUM(H815:H820)</f>
        <v>793.58600000000001</v>
      </c>
      <c r="I814" s="484">
        <v>0</v>
      </c>
      <c r="J814" s="1222" t="s">
        <v>548</v>
      </c>
      <c r="K814" s="1223" t="s">
        <v>545</v>
      </c>
    </row>
    <row r="815" spans="1:11">
      <c r="A815" s="1219"/>
      <c r="B815" s="1220"/>
      <c r="C815" s="1219"/>
      <c r="D815" s="226">
        <v>2021</v>
      </c>
      <c r="E815" s="484">
        <f t="shared" si="58"/>
        <v>0</v>
      </c>
      <c r="F815" s="484">
        <f>SUM(G815:J815)</f>
        <v>0</v>
      </c>
      <c r="G815" s="484">
        <v>0</v>
      </c>
      <c r="H815" s="484">
        <v>0</v>
      </c>
      <c r="I815" s="484">
        <v>0</v>
      </c>
      <c r="J815" s="1222"/>
      <c r="K815" s="1223"/>
    </row>
    <row r="816" spans="1:11">
      <c r="A816" s="1219"/>
      <c r="B816" s="1220"/>
      <c r="C816" s="1219"/>
      <c r="D816" s="226">
        <v>2022</v>
      </c>
      <c r="E816" s="484">
        <f t="shared" si="58"/>
        <v>15871.72</v>
      </c>
      <c r="F816" s="484">
        <v>15078.134</v>
      </c>
      <c r="G816" s="484">
        <v>0</v>
      </c>
      <c r="H816" s="484">
        <f>F816*5/95</f>
        <v>793.58600000000001</v>
      </c>
      <c r="I816" s="484">
        <v>0</v>
      </c>
      <c r="J816" s="1222"/>
      <c r="K816" s="1223"/>
    </row>
    <row r="817" spans="1:11">
      <c r="A817" s="1219"/>
      <c r="B817" s="1220"/>
      <c r="C817" s="1219"/>
      <c r="D817" s="226">
        <v>2023</v>
      </c>
      <c r="E817" s="484">
        <f t="shared" si="58"/>
        <v>0</v>
      </c>
      <c r="F817" s="484">
        <f t="shared" si="58"/>
        <v>0</v>
      </c>
      <c r="G817" s="484">
        <v>0</v>
      </c>
      <c r="H817" s="484">
        <v>0</v>
      </c>
      <c r="I817" s="484">
        <v>0</v>
      </c>
      <c r="J817" s="1222"/>
      <c r="K817" s="1223"/>
    </row>
    <row r="818" spans="1:11">
      <c r="A818" s="1219"/>
      <c r="B818" s="1220"/>
      <c r="C818" s="1219"/>
      <c r="D818" s="226">
        <v>2024</v>
      </c>
      <c r="E818" s="484">
        <f t="shared" si="58"/>
        <v>0</v>
      </c>
      <c r="F818" s="484">
        <f t="shared" si="58"/>
        <v>0</v>
      </c>
      <c r="G818" s="484">
        <v>0</v>
      </c>
      <c r="H818" s="484">
        <v>0</v>
      </c>
      <c r="I818" s="484">
        <v>0</v>
      </c>
      <c r="J818" s="1222"/>
      <c r="K818" s="1223"/>
    </row>
    <row r="819" spans="1:11">
      <c r="A819" s="1219"/>
      <c r="B819" s="1220"/>
      <c r="C819" s="1219"/>
      <c r="D819" s="226">
        <v>2025</v>
      </c>
      <c r="E819" s="484">
        <v>0</v>
      </c>
      <c r="F819" s="484">
        <v>0</v>
      </c>
      <c r="G819" s="484">
        <v>0</v>
      </c>
      <c r="H819" s="484">
        <v>0</v>
      </c>
      <c r="I819" s="484">
        <v>0</v>
      </c>
      <c r="J819" s="1222"/>
      <c r="K819" s="1223"/>
    </row>
    <row r="820" spans="1:11">
      <c r="A820" s="1219"/>
      <c r="B820" s="1220"/>
      <c r="C820" s="1219"/>
      <c r="D820" s="226">
        <v>2026</v>
      </c>
      <c r="E820" s="484">
        <f t="shared" si="58"/>
        <v>0</v>
      </c>
      <c r="F820" s="484">
        <f t="shared" si="58"/>
        <v>0</v>
      </c>
      <c r="G820" s="484">
        <v>0</v>
      </c>
      <c r="H820" s="484">
        <v>0</v>
      </c>
      <c r="I820" s="484">
        <v>0</v>
      </c>
      <c r="J820" s="1222"/>
      <c r="K820" s="1223"/>
    </row>
    <row r="821" spans="1:11">
      <c r="A821" s="1249" t="s">
        <v>549</v>
      </c>
      <c r="B821" s="1224" t="s">
        <v>550</v>
      </c>
      <c r="C821" s="1224" t="s">
        <v>551</v>
      </c>
      <c r="D821" s="226" t="s">
        <v>3</v>
      </c>
      <c r="E821" s="484">
        <f t="shared" ref="E821" si="60">SUM(F821:I821)</f>
        <v>106415.1</v>
      </c>
      <c r="F821" s="484">
        <f>SUM(F822:F827)</f>
        <v>106415.1</v>
      </c>
      <c r="G821" s="484">
        <v>0</v>
      </c>
      <c r="H821" s="484">
        <v>0</v>
      </c>
      <c r="I821" s="484">
        <v>0</v>
      </c>
      <c r="J821" s="1227" t="s">
        <v>552</v>
      </c>
      <c r="K821" s="1230" t="s">
        <v>553</v>
      </c>
    </row>
    <row r="822" spans="1:11">
      <c r="A822" s="1225"/>
      <c r="B822" s="1225"/>
      <c r="C822" s="1225"/>
      <c r="D822" s="226">
        <v>2021</v>
      </c>
      <c r="E822" s="484">
        <v>0</v>
      </c>
      <c r="F822" s="484">
        <v>0</v>
      </c>
      <c r="G822" s="484">
        <v>0</v>
      </c>
      <c r="H822" s="484">
        <v>0</v>
      </c>
      <c r="I822" s="484">
        <v>0</v>
      </c>
      <c r="J822" s="1228"/>
      <c r="K822" s="1231"/>
    </row>
    <row r="823" spans="1:11">
      <c r="A823" s="1225"/>
      <c r="B823" s="1225"/>
      <c r="C823" s="1225"/>
      <c r="D823" s="226">
        <v>2022</v>
      </c>
      <c r="E823" s="484">
        <v>0</v>
      </c>
      <c r="F823" s="484">
        <v>0</v>
      </c>
      <c r="G823" s="484">
        <v>0</v>
      </c>
      <c r="H823" s="484">
        <v>0</v>
      </c>
      <c r="I823" s="484">
        <v>0</v>
      </c>
      <c r="J823" s="1228"/>
      <c r="K823" s="1231"/>
    </row>
    <row r="824" spans="1:11">
      <c r="A824" s="1225"/>
      <c r="B824" s="1225"/>
      <c r="C824" s="1225"/>
      <c r="D824" s="226">
        <v>2023</v>
      </c>
      <c r="E824" s="484">
        <v>0</v>
      </c>
      <c r="F824" s="484">
        <v>0</v>
      </c>
      <c r="G824" s="484">
        <v>0</v>
      </c>
      <c r="H824" s="484">
        <v>0</v>
      </c>
      <c r="I824" s="484">
        <v>0</v>
      </c>
      <c r="J824" s="1228"/>
      <c r="K824" s="1231"/>
    </row>
    <row r="825" spans="1:11">
      <c r="A825" s="1225"/>
      <c r="B825" s="1225"/>
      <c r="C825" s="1225"/>
      <c r="D825" s="226">
        <v>2024</v>
      </c>
      <c r="E825" s="484">
        <v>0</v>
      </c>
      <c r="F825" s="484">
        <v>0</v>
      </c>
      <c r="G825" s="484">
        <v>0</v>
      </c>
      <c r="H825" s="484">
        <v>0</v>
      </c>
      <c r="I825" s="484">
        <v>0</v>
      </c>
      <c r="J825" s="1228"/>
      <c r="K825" s="1231"/>
    </row>
    <row r="826" spans="1:11">
      <c r="A826" s="1225"/>
      <c r="B826" s="1225"/>
      <c r="C826" s="1225"/>
      <c r="D826" s="226">
        <v>2025</v>
      </c>
      <c r="E826" s="484">
        <v>0</v>
      </c>
      <c r="F826" s="484">
        <v>0</v>
      </c>
      <c r="G826" s="484">
        <v>0</v>
      </c>
      <c r="H826" s="484">
        <v>0</v>
      </c>
      <c r="I826" s="484">
        <v>0</v>
      </c>
      <c r="J826" s="1228"/>
      <c r="K826" s="1231"/>
    </row>
    <row r="827" spans="1:11">
      <c r="A827" s="1226"/>
      <c r="B827" s="1226"/>
      <c r="C827" s="1226"/>
      <c r="D827" s="226">
        <v>2026</v>
      </c>
      <c r="E827" s="484">
        <f>F827+G827+H827+I827</f>
        <v>106415.1</v>
      </c>
      <c r="F827" s="484">
        <v>106415.1</v>
      </c>
      <c r="G827" s="484">
        <v>0</v>
      </c>
      <c r="H827" s="484">
        <v>0</v>
      </c>
      <c r="I827" s="484">
        <v>0</v>
      </c>
      <c r="J827" s="1229"/>
      <c r="K827" s="1232"/>
    </row>
    <row r="828" spans="1:11">
      <c r="A828" s="1249" t="s">
        <v>554</v>
      </c>
      <c r="B828" s="1224" t="s">
        <v>555</v>
      </c>
      <c r="C828" s="1224" t="s">
        <v>551</v>
      </c>
      <c r="D828" s="226" t="s">
        <v>3</v>
      </c>
      <c r="E828" s="484">
        <f>SUM(F828:I828)</f>
        <v>267656.2</v>
      </c>
      <c r="F828" s="484">
        <f>SUM(F829:F834)</f>
        <v>267656.2</v>
      </c>
      <c r="G828" s="484">
        <v>0</v>
      </c>
      <c r="H828" s="484">
        <v>0</v>
      </c>
      <c r="I828" s="484">
        <v>0</v>
      </c>
      <c r="J828" s="1227" t="s">
        <v>552</v>
      </c>
      <c r="K828" s="1230" t="s">
        <v>553</v>
      </c>
    </row>
    <row r="829" spans="1:11">
      <c r="A829" s="1225"/>
      <c r="B829" s="1225"/>
      <c r="C829" s="1225"/>
      <c r="D829" s="226">
        <v>2021</v>
      </c>
      <c r="E829" s="484">
        <v>0</v>
      </c>
      <c r="F829" s="484">
        <v>0</v>
      </c>
      <c r="G829" s="484">
        <v>0</v>
      </c>
      <c r="H829" s="484">
        <v>0</v>
      </c>
      <c r="I829" s="484">
        <v>0</v>
      </c>
      <c r="J829" s="1228"/>
      <c r="K829" s="1231"/>
    </row>
    <row r="830" spans="1:11">
      <c r="A830" s="1225"/>
      <c r="B830" s="1225"/>
      <c r="C830" s="1225"/>
      <c r="D830" s="226">
        <v>2022</v>
      </c>
      <c r="E830" s="484">
        <v>0</v>
      </c>
      <c r="F830" s="484">
        <v>0</v>
      </c>
      <c r="G830" s="484">
        <v>0</v>
      </c>
      <c r="H830" s="484">
        <v>0</v>
      </c>
      <c r="I830" s="484">
        <v>0</v>
      </c>
      <c r="J830" s="1228"/>
      <c r="K830" s="1231"/>
    </row>
    <row r="831" spans="1:11">
      <c r="A831" s="1225"/>
      <c r="B831" s="1225"/>
      <c r="C831" s="1225"/>
      <c r="D831" s="226">
        <v>2023</v>
      </c>
      <c r="E831" s="484">
        <v>0</v>
      </c>
      <c r="F831" s="484">
        <v>0</v>
      </c>
      <c r="G831" s="484">
        <v>0</v>
      </c>
      <c r="H831" s="484">
        <v>0</v>
      </c>
      <c r="I831" s="484">
        <v>0</v>
      </c>
      <c r="J831" s="1228"/>
      <c r="K831" s="1231"/>
    </row>
    <row r="832" spans="1:11">
      <c r="A832" s="1225"/>
      <c r="B832" s="1225"/>
      <c r="C832" s="1225"/>
      <c r="D832" s="226">
        <v>2024</v>
      </c>
      <c r="E832" s="484">
        <v>0</v>
      </c>
      <c r="F832" s="484">
        <v>0</v>
      </c>
      <c r="G832" s="484">
        <v>0</v>
      </c>
      <c r="H832" s="484">
        <v>0</v>
      </c>
      <c r="I832" s="484">
        <v>0</v>
      </c>
      <c r="J832" s="1228"/>
      <c r="K832" s="1231"/>
    </row>
    <row r="833" spans="1:11">
      <c r="A833" s="1225"/>
      <c r="B833" s="1225"/>
      <c r="C833" s="1225"/>
      <c r="D833" s="226">
        <v>2025</v>
      </c>
      <c r="E833" s="484">
        <v>0</v>
      </c>
      <c r="F833" s="484">
        <v>0</v>
      </c>
      <c r="G833" s="484">
        <v>0</v>
      </c>
      <c r="H833" s="484">
        <v>0</v>
      </c>
      <c r="I833" s="484">
        <v>0</v>
      </c>
      <c r="J833" s="1228"/>
      <c r="K833" s="1231"/>
    </row>
    <row r="834" spans="1:11">
      <c r="A834" s="1226"/>
      <c r="B834" s="1226"/>
      <c r="C834" s="1226"/>
      <c r="D834" s="226">
        <v>2026</v>
      </c>
      <c r="E834" s="484">
        <f>F834+G834+H834+I834</f>
        <v>267656.2</v>
      </c>
      <c r="F834" s="484">
        <v>267656.2</v>
      </c>
      <c r="G834" s="484">
        <v>0</v>
      </c>
      <c r="H834" s="484">
        <v>0</v>
      </c>
      <c r="I834" s="484">
        <v>0</v>
      </c>
      <c r="J834" s="1229"/>
      <c r="K834" s="1232"/>
    </row>
    <row r="835" spans="1:11" s="228" customFormat="1">
      <c r="A835" s="1250" t="s">
        <v>699</v>
      </c>
      <c r="B835" s="1251" t="s">
        <v>700</v>
      </c>
      <c r="C835" s="1230" t="s">
        <v>696</v>
      </c>
      <c r="D835" s="227" t="s">
        <v>3</v>
      </c>
      <c r="E835" s="484">
        <f t="shared" ref="E835:E883" si="61">SUM(F835:I835)</f>
        <v>36376.880109999998</v>
      </c>
      <c r="F835" s="484">
        <f>SUM(F836:F841)</f>
        <v>36376.880109999998</v>
      </c>
      <c r="G835" s="484">
        <f t="shared" ref="G835:G842" si="62">SUM(G836:G841)</f>
        <v>0</v>
      </c>
      <c r="H835" s="484">
        <f>SUM(H836:H841)</f>
        <v>0</v>
      </c>
      <c r="I835" s="484">
        <f>SUM(I836:I841)</f>
        <v>0</v>
      </c>
      <c r="J835" s="1253" t="s">
        <v>701</v>
      </c>
      <c r="K835" s="1256" t="s">
        <v>452</v>
      </c>
    </row>
    <row r="836" spans="1:11" s="228" customFormat="1">
      <c r="A836" s="1250"/>
      <c r="B836" s="1252"/>
      <c r="C836" s="1231"/>
      <c r="D836" s="227">
        <v>2021</v>
      </c>
      <c r="E836" s="484">
        <f t="shared" si="61"/>
        <v>0</v>
      </c>
      <c r="F836" s="484">
        <v>0</v>
      </c>
      <c r="G836" s="484">
        <v>0</v>
      </c>
      <c r="H836" s="484">
        <v>0</v>
      </c>
      <c r="I836" s="484">
        <v>0</v>
      </c>
      <c r="J836" s="1254"/>
      <c r="K836" s="1231"/>
    </row>
    <row r="837" spans="1:11" s="228" customFormat="1">
      <c r="A837" s="1250"/>
      <c r="B837" s="1252"/>
      <c r="C837" s="1231"/>
      <c r="D837" s="227">
        <v>2022</v>
      </c>
      <c r="E837" s="484">
        <f t="shared" si="61"/>
        <v>0</v>
      </c>
      <c r="F837" s="484">
        <v>0</v>
      </c>
      <c r="G837" s="484">
        <v>0</v>
      </c>
      <c r="H837" s="484">
        <v>0</v>
      </c>
      <c r="I837" s="484">
        <v>0</v>
      </c>
      <c r="J837" s="1254"/>
      <c r="K837" s="1231"/>
    </row>
    <row r="838" spans="1:11" s="228" customFormat="1">
      <c r="A838" s="1250"/>
      <c r="B838" s="1252"/>
      <c r="C838" s="1231"/>
      <c r="D838" s="227">
        <v>2023</v>
      </c>
      <c r="E838" s="484">
        <f t="shared" si="61"/>
        <v>0</v>
      </c>
      <c r="F838" s="484">
        <v>0</v>
      </c>
      <c r="G838" s="484">
        <v>0</v>
      </c>
      <c r="H838" s="484">
        <v>0</v>
      </c>
      <c r="I838" s="484">
        <v>0</v>
      </c>
      <c r="J838" s="1254"/>
      <c r="K838" s="1231"/>
    </row>
    <row r="839" spans="1:11" s="228" customFormat="1">
      <c r="A839" s="1250"/>
      <c r="B839" s="1252"/>
      <c r="C839" s="1231"/>
      <c r="D839" s="227">
        <v>2024</v>
      </c>
      <c r="E839" s="484">
        <f t="shared" si="61"/>
        <v>10913.080109999997</v>
      </c>
      <c r="F839" s="484">
        <v>10913.080109999997</v>
      </c>
      <c r="G839" s="484">
        <v>0</v>
      </c>
      <c r="H839" s="484">
        <v>0</v>
      </c>
      <c r="I839" s="484">
        <v>0</v>
      </c>
      <c r="J839" s="1254"/>
      <c r="K839" s="1231"/>
    </row>
    <row r="840" spans="1:11" s="228" customFormat="1">
      <c r="A840" s="1250"/>
      <c r="B840" s="1252"/>
      <c r="C840" s="1231"/>
      <c r="D840" s="227">
        <v>2025</v>
      </c>
      <c r="E840" s="484">
        <f t="shared" si="61"/>
        <v>25463.8</v>
      </c>
      <c r="F840" s="484">
        <v>25463.8</v>
      </c>
      <c r="G840" s="484">
        <v>0</v>
      </c>
      <c r="H840" s="484">
        <v>0</v>
      </c>
      <c r="I840" s="484">
        <v>0</v>
      </c>
      <c r="J840" s="1254"/>
      <c r="K840" s="1231"/>
    </row>
    <row r="841" spans="1:11" s="228" customFormat="1">
      <c r="A841" s="1250"/>
      <c r="B841" s="1252"/>
      <c r="C841" s="1232"/>
      <c r="D841" s="227">
        <v>2026</v>
      </c>
      <c r="E841" s="484">
        <f t="shared" si="61"/>
        <v>0</v>
      </c>
      <c r="F841" s="484">
        <v>0</v>
      </c>
      <c r="G841" s="484">
        <v>0</v>
      </c>
      <c r="H841" s="484">
        <v>0</v>
      </c>
      <c r="I841" s="484">
        <v>0</v>
      </c>
      <c r="J841" s="1255"/>
      <c r="K841" s="1231"/>
    </row>
    <row r="842" spans="1:11">
      <c r="A842" s="1224" t="s">
        <v>556</v>
      </c>
      <c r="B842" s="1224" t="s">
        <v>557</v>
      </c>
      <c r="C842" s="1224" t="s">
        <v>272</v>
      </c>
      <c r="D842" s="226" t="s">
        <v>3</v>
      </c>
      <c r="E842" s="484">
        <f t="shared" si="61"/>
        <v>350181.47516999999</v>
      </c>
      <c r="F842" s="484">
        <f>SUM(F843:F848)</f>
        <v>106110.38217000001</v>
      </c>
      <c r="G842" s="484">
        <f t="shared" si="62"/>
        <v>244071.09299999999</v>
      </c>
      <c r="H842" s="484">
        <f>SUM(H843:H847)</f>
        <v>0</v>
      </c>
      <c r="I842" s="484">
        <f>SUM(I843:I847)</f>
        <v>0</v>
      </c>
      <c r="J842" s="1227" t="s">
        <v>81</v>
      </c>
      <c r="K842" s="1230" t="s">
        <v>140</v>
      </c>
    </row>
    <row r="843" spans="1:11">
      <c r="A843" s="1225"/>
      <c r="B843" s="1225"/>
      <c r="C843" s="1225"/>
      <c r="D843" s="226">
        <v>2021</v>
      </c>
      <c r="E843" s="484">
        <f t="shared" si="61"/>
        <v>0</v>
      </c>
      <c r="F843" s="484">
        <f t="shared" ref="F843:I847" si="63">F850</f>
        <v>0</v>
      </c>
      <c r="G843" s="484">
        <f t="shared" si="63"/>
        <v>0</v>
      </c>
      <c r="H843" s="484">
        <f t="shared" si="63"/>
        <v>0</v>
      </c>
      <c r="I843" s="484">
        <f t="shared" si="63"/>
        <v>0</v>
      </c>
      <c r="J843" s="1228"/>
      <c r="K843" s="1231"/>
    </row>
    <row r="844" spans="1:11">
      <c r="A844" s="1225"/>
      <c r="B844" s="1225"/>
      <c r="C844" s="1225"/>
      <c r="D844" s="226">
        <v>2022</v>
      </c>
      <c r="E844" s="484">
        <f t="shared" si="61"/>
        <v>67438.159</v>
      </c>
      <c r="F844" s="484">
        <f t="shared" si="63"/>
        <v>19557.065999999999</v>
      </c>
      <c r="G844" s="484">
        <f t="shared" si="63"/>
        <v>47881.093000000001</v>
      </c>
      <c r="H844" s="484">
        <f t="shared" si="63"/>
        <v>0</v>
      </c>
      <c r="I844" s="484">
        <f t="shared" si="63"/>
        <v>0</v>
      </c>
      <c r="J844" s="1228"/>
      <c r="K844" s="1231"/>
    </row>
    <row r="845" spans="1:11">
      <c r="A845" s="1225"/>
      <c r="B845" s="1225"/>
      <c r="C845" s="1225"/>
      <c r="D845" s="226">
        <v>2023</v>
      </c>
      <c r="E845" s="484">
        <f t="shared" si="61"/>
        <v>0</v>
      </c>
      <c r="F845" s="484">
        <f t="shared" si="63"/>
        <v>0</v>
      </c>
      <c r="G845" s="484">
        <f t="shared" si="63"/>
        <v>0</v>
      </c>
      <c r="H845" s="484">
        <f t="shared" si="63"/>
        <v>0</v>
      </c>
      <c r="I845" s="484">
        <f t="shared" si="63"/>
        <v>0</v>
      </c>
      <c r="J845" s="1228"/>
      <c r="K845" s="1231"/>
    </row>
    <row r="846" spans="1:11">
      <c r="A846" s="1225"/>
      <c r="B846" s="1225"/>
      <c r="C846" s="1225"/>
      <c r="D846" s="226">
        <v>2024</v>
      </c>
      <c r="E846" s="484">
        <f t="shared" si="61"/>
        <v>99630.567459999991</v>
      </c>
      <c r="F846" s="484">
        <f t="shared" si="63"/>
        <v>29440.567459999998</v>
      </c>
      <c r="G846" s="484">
        <f t="shared" si="63"/>
        <v>70190</v>
      </c>
      <c r="H846" s="484">
        <f t="shared" si="63"/>
        <v>0</v>
      </c>
      <c r="I846" s="484">
        <f t="shared" si="63"/>
        <v>0</v>
      </c>
      <c r="J846" s="1228"/>
      <c r="K846" s="1231"/>
    </row>
    <row r="847" spans="1:11">
      <c r="A847" s="1225"/>
      <c r="B847" s="1225"/>
      <c r="C847" s="1225"/>
      <c r="D847" s="226">
        <v>2025</v>
      </c>
      <c r="E847" s="484">
        <f t="shared" si="61"/>
        <v>130434.78260999999</v>
      </c>
      <c r="F847" s="484">
        <f t="shared" si="63"/>
        <v>40434.782610000002</v>
      </c>
      <c r="G847" s="484">
        <f t="shared" si="63"/>
        <v>90000</v>
      </c>
      <c r="H847" s="484">
        <f t="shared" si="63"/>
        <v>0</v>
      </c>
      <c r="I847" s="484">
        <f t="shared" si="63"/>
        <v>0</v>
      </c>
      <c r="J847" s="1228"/>
      <c r="K847" s="1231"/>
    </row>
    <row r="848" spans="1:11">
      <c r="A848" s="1226"/>
      <c r="B848" s="1226"/>
      <c r="C848" s="1226"/>
      <c r="D848" s="226">
        <v>2026</v>
      </c>
      <c r="E848" s="484">
        <f t="shared" si="61"/>
        <v>52677.966100000005</v>
      </c>
      <c r="F848" s="484">
        <f>SUM(F855)</f>
        <v>16677.966100000001</v>
      </c>
      <c r="G848" s="484">
        <f>SUM(G855)</f>
        <v>36000</v>
      </c>
      <c r="H848" s="484">
        <f>SUM(H855)</f>
        <v>0</v>
      </c>
      <c r="I848" s="484">
        <f>SUM(I855)</f>
        <v>0</v>
      </c>
      <c r="J848" s="1229"/>
      <c r="K848" s="1232"/>
    </row>
    <row r="849" spans="1:13">
      <c r="A849" s="1224" t="s">
        <v>558</v>
      </c>
      <c r="B849" s="1224" t="s">
        <v>559</v>
      </c>
      <c r="C849" s="1224" t="s">
        <v>272</v>
      </c>
      <c r="D849" s="226" t="s">
        <v>3</v>
      </c>
      <c r="E849" s="484">
        <f t="shared" si="61"/>
        <v>350181.47516999999</v>
      </c>
      <c r="F849" s="484">
        <f>SUM(F850:F855)</f>
        <v>106110.38217000001</v>
      </c>
      <c r="G849" s="484">
        <f>SUM(G850:G855)</f>
        <v>244071.09299999999</v>
      </c>
      <c r="H849" s="484">
        <f>SUM(H850:H854)</f>
        <v>0</v>
      </c>
      <c r="I849" s="484">
        <f>SUM(I850:I854)</f>
        <v>0</v>
      </c>
      <c r="J849" s="1227" t="s">
        <v>560</v>
      </c>
      <c r="K849" s="1230" t="s">
        <v>140</v>
      </c>
    </row>
    <row r="850" spans="1:13">
      <c r="A850" s="1225"/>
      <c r="B850" s="1225"/>
      <c r="C850" s="1225"/>
      <c r="D850" s="226">
        <v>2021</v>
      </c>
      <c r="E850" s="484">
        <f t="shared" si="61"/>
        <v>0</v>
      </c>
      <c r="F850" s="484">
        <v>0</v>
      </c>
      <c r="G850" s="484">
        <v>0</v>
      </c>
      <c r="H850" s="484">
        <v>0</v>
      </c>
      <c r="I850" s="484">
        <v>0</v>
      </c>
      <c r="J850" s="1228"/>
      <c r="K850" s="1231"/>
    </row>
    <row r="851" spans="1:13">
      <c r="A851" s="1225"/>
      <c r="B851" s="1225"/>
      <c r="C851" s="1225"/>
      <c r="D851" s="226">
        <v>2022</v>
      </c>
      <c r="E851" s="484">
        <f t="shared" si="61"/>
        <v>67438.159</v>
      </c>
      <c r="F851" s="484">
        <v>19557.065999999999</v>
      </c>
      <c r="G851" s="484">
        <v>47881.093000000001</v>
      </c>
      <c r="H851" s="484">
        <v>0</v>
      </c>
      <c r="I851" s="484">
        <v>0</v>
      </c>
      <c r="J851" s="1228"/>
      <c r="K851" s="1231"/>
    </row>
    <row r="852" spans="1:13">
      <c r="A852" s="1225"/>
      <c r="B852" s="1225"/>
      <c r="C852" s="1225"/>
      <c r="D852" s="226">
        <v>2023</v>
      </c>
      <c r="E852" s="484">
        <f t="shared" si="61"/>
        <v>0</v>
      </c>
      <c r="F852" s="484">
        <v>0</v>
      </c>
      <c r="G852" s="484">
        <v>0</v>
      </c>
      <c r="H852" s="484">
        <v>0</v>
      </c>
      <c r="I852" s="484">
        <v>0</v>
      </c>
      <c r="J852" s="1228"/>
      <c r="K852" s="1231"/>
    </row>
    <row r="853" spans="1:13">
      <c r="A853" s="1225"/>
      <c r="B853" s="1225"/>
      <c r="C853" s="1225"/>
      <c r="D853" s="226">
        <v>2024</v>
      </c>
      <c r="E853" s="484">
        <f t="shared" si="61"/>
        <v>99630.567459999991</v>
      </c>
      <c r="F853" s="484">
        <f>31859.15493+3691.96553-3691.965-2300-118.588</f>
        <v>29440.567459999998</v>
      </c>
      <c r="G853" s="484">
        <f>78000-7810</f>
        <v>70190</v>
      </c>
      <c r="H853" s="484">
        <v>0</v>
      </c>
      <c r="I853" s="484">
        <v>0</v>
      </c>
      <c r="J853" s="1228"/>
      <c r="K853" s="1231"/>
    </row>
    <row r="854" spans="1:13">
      <c r="A854" s="1225"/>
      <c r="B854" s="1225"/>
      <c r="C854" s="1225"/>
      <c r="D854" s="226">
        <v>2025</v>
      </c>
      <c r="E854" s="484">
        <f t="shared" si="61"/>
        <v>130434.78260999999</v>
      </c>
      <c r="F854" s="484">
        <v>40434.782610000002</v>
      </c>
      <c r="G854" s="484">
        <v>90000</v>
      </c>
      <c r="H854" s="484">
        <f>SUM(I847:L847)</f>
        <v>0</v>
      </c>
      <c r="I854" s="484">
        <f>SUM(J847:L847)</f>
        <v>0</v>
      </c>
      <c r="J854" s="1228"/>
      <c r="K854" s="1231"/>
      <c r="M854" s="229" t="s">
        <v>702</v>
      </c>
    </row>
    <row r="855" spans="1:13">
      <c r="A855" s="1226"/>
      <c r="B855" s="1226"/>
      <c r="C855" s="1226"/>
      <c r="D855" s="226">
        <v>2026</v>
      </c>
      <c r="E855" s="484">
        <f t="shared" si="61"/>
        <v>52677.966100000005</v>
      </c>
      <c r="F855" s="484">
        <v>16677.966100000001</v>
      </c>
      <c r="G855" s="484">
        <v>36000</v>
      </c>
      <c r="H855" s="484"/>
      <c r="I855" s="484"/>
      <c r="J855" s="1229"/>
      <c r="K855" s="1232"/>
      <c r="M855" s="223" t="s">
        <v>703</v>
      </c>
    </row>
    <row r="856" spans="1:13">
      <c r="A856" s="1224" t="s">
        <v>138</v>
      </c>
      <c r="B856" s="1224" t="s">
        <v>137</v>
      </c>
      <c r="C856" s="1224" t="s">
        <v>286</v>
      </c>
      <c r="D856" s="226" t="s">
        <v>3</v>
      </c>
      <c r="E856" s="484">
        <f t="shared" si="61"/>
        <v>2227910.9537800001</v>
      </c>
      <c r="F856" s="484">
        <f>SUM(F857:F862)</f>
        <v>1375970.31378</v>
      </c>
      <c r="G856" s="484">
        <f>SUM(G857:G862)</f>
        <v>851940.6399999999</v>
      </c>
      <c r="H856" s="484">
        <f>SUM(H857:H862)</f>
        <v>0</v>
      </c>
      <c r="I856" s="484">
        <f>SUM(I857:I862)</f>
        <v>0</v>
      </c>
      <c r="J856" s="1227" t="s">
        <v>561</v>
      </c>
      <c r="K856" s="1230" t="s">
        <v>562</v>
      </c>
    </row>
    <row r="857" spans="1:13">
      <c r="A857" s="1225"/>
      <c r="B857" s="1225"/>
      <c r="C857" s="1225"/>
      <c r="D857" s="226">
        <v>2021</v>
      </c>
      <c r="E857" s="484">
        <f t="shared" si="61"/>
        <v>0</v>
      </c>
      <c r="F857" s="484">
        <f t="shared" ref="F857:I862" si="64">F864+F871+F878</f>
        <v>0</v>
      </c>
      <c r="G857" s="484">
        <f t="shared" si="64"/>
        <v>0</v>
      </c>
      <c r="H857" s="484">
        <f t="shared" si="64"/>
        <v>0</v>
      </c>
      <c r="I857" s="484">
        <f t="shared" si="64"/>
        <v>0</v>
      </c>
      <c r="J857" s="1228"/>
      <c r="K857" s="1231"/>
    </row>
    <row r="858" spans="1:13">
      <c r="A858" s="1225"/>
      <c r="B858" s="1225"/>
      <c r="C858" s="1225"/>
      <c r="D858" s="226">
        <v>2022</v>
      </c>
      <c r="E858" s="484">
        <f t="shared" si="61"/>
        <v>0</v>
      </c>
      <c r="F858" s="484">
        <f t="shared" si="64"/>
        <v>0</v>
      </c>
      <c r="G858" s="484">
        <f t="shared" si="64"/>
        <v>0</v>
      </c>
      <c r="H858" s="484">
        <f t="shared" si="64"/>
        <v>0</v>
      </c>
      <c r="I858" s="484">
        <f t="shared" si="64"/>
        <v>0</v>
      </c>
      <c r="J858" s="1228"/>
      <c r="K858" s="1231"/>
    </row>
    <row r="859" spans="1:13">
      <c r="A859" s="1225"/>
      <c r="B859" s="1225"/>
      <c r="C859" s="1225"/>
      <c r="D859" s="226">
        <v>2023</v>
      </c>
      <c r="E859" s="484">
        <f t="shared" si="61"/>
        <v>381844.82530999999</v>
      </c>
      <c r="F859" s="484">
        <f t="shared" si="64"/>
        <v>84525.085309999995</v>
      </c>
      <c r="G859" s="484">
        <f t="shared" si="64"/>
        <v>297319.74</v>
      </c>
      <c r="H859" s="484">
        <f t="shared" si="64"/>
        <v>0</v>
      </c>
      <c r="I859" s="484">
        <f t="shared" si="64"/>
        <v>0</v>
      </c>
      <c r="J859" s="1228"/>
      <c r="K859" s="1231"/>
    </row>
    <row r="860" spans="1:13">
      <c r="A860" s="1225"/>
      <c r="B860" s="1225"/>
      <c r="C860" s="1225"/>
      <c r="D860" s="226">
        <v>2024</v>
      </c>
      <c r="E860" s="484">
        <f t="shared" si="61"/>
        <v>987968.1484699999</v>
      </c>
      <c r="F860" s="484">
        <f>F867+F874+F881</f>
        <v>433347.24846999999</v>
      </c>
      <c r="G860" s="484">
        <f t="shared" si="64"/>
        <v>554620.89999999991</v>
      </c>
      <c r="H860" s="484">
        <f t="shared" si="64"/>
        <v>0</v>
      </c>
      <c r="I860" s="484">
        <f t="shared" si="64"/>
        <v>0</v>
      </c>
      <c r="J860" s="1228"/>
      <c r="K860" s="1231"/>
    </row>
    <row r="861" spans="1:13">
      <c r="A861" s="1225"/>
      <c r="B861" s="1225"/>
      <c r="C861" s="1225"/>
      <c r="D861" s="226">
        <v>2025</v>
      </c>
      <c r="E861" s="484">
        <f t="shared" si="61"/>
        <v>858097.98</v>
      </c>
      <c r="F861" s="484">
        <f t="shared" si="64"/>
        <v>858097.98</v>
      </c>
      <c r="G861" s="484">
        <f t="shared" si="64"/>
        <v>0</v>
      </c>
      <c r="H861" s="484">
        <f t="shared" si="64"/>
        <v>0</v>
      </c>
      <c r="I861" s="484">
        <f t="shared" si="64"/>
        <v>0</v>
      </c>
      <c r="J861" s="1228"/>
      <c r="K861" s="1231"/>
    </row>
    <row r="862" spans="1:13">
      <c r="A862" s="1226"/>
      <c r="B862" s="1226"/>
      <c r="C862" s="1226"/>
      <c r="D862" s="226">
        <v>2026</v>
      </c>
      <c r="E862" s="484">
        <f t="shared" si="61"/>
        <v>0</v>
      </c>
      <c r="F862" s="484">
        <f t="shared" si="64"/>
        <v>0</v>
      </c>
      <c r="G862" s="484">
        <f t="shared" si="64"/>
        <v>0</v>
      </c>
      <c r="H862" s="484">
        <f t="shared" si="64"/>
        <v>0</v>
      </c>
      <c r="I862" s="484">
        <f t="shared" si="64"/>
        <v>0</v>
      </c>
      <c r="J862" s="1229"/>
      <c r="K862" s="1232"/>
    </row>
    <row r="863" spans="1:13" s="228" customFormat="1">
      <c r="A863" s="1230" t="s">
        <v>61</v>
      </c>
      <c r="B863" s="1230" t="s">
        <v>82</v>
      </c>
      <c r="C863" s="1230" t="s">
        <v>291</v>
      </c>
      <c r="D863" s="227" t="s">
        <v>3</v>
      </c>
      <c r="E863" s="484">
        <f t="shared" si="61"/>
        <v>1146727.84378</v>
      </c>
      <c r="F863" s="484">
        <f>SUM(F864:F869)</f>
        <v>596142.61378000001</v>
      </c>
      <c r="G863" s="484">
        <f>SUM(G864:G869)</f>
        <v>550585.23</v>
      </c>
      <c r="H863" s="484">
        <f>SUM(H864:H869)</f>
        <v>0</v>
      </c>
      <c r="I863" s="484">
        <f>SUM(I864:I869)</f>
        <v>0</v>
      </c>
      <c r="J863" s="1257" t="s">
        <v>564</v>
      </c>
      <c r="K863" s="1230" t="s">
        <v>135</v>
      </c>
    </row>
    <row r="864" spans="1:13" s="228" customFormat="1">
      <c r="A864" s="1231"/>
      <c r="B864" s="1231"/>
      <c r="C864" s="1231"/>
      <c r="D864" s="227">
        <v>2021</v>
      </c>
      <c r="E864" s="484">
        <f t="shared" si="61"/>
        <v>0</v>
      </c>
      <c r="F864" s="484">
        <v>0</v>
      </c>
      <c r="G864" s="484">
        <v>0</v>
      </c>
      <c r="H864" s="484">
        <v>0</v>
      </c>
      <c r="I864" s="484">
        <v>0</v>
      </c>
      <c r="J864" s="1254"/>
      <c r="K864" s="1231"/>
    </row>
    <row r="865" spans="1:13" s="228" customFormat="1">
      <c r="A865" s="1231"/>
      <c r="B865" s="1231"/>
      <c r="C865" s="1231"/>
      <c r="D865" s="227">
        <v>2022</v>
      </c>
      <c r="E865" s="484">
        <f t="shared" si="61"/>
        <v>0</v>
      </c>
      <c r="F865" s="484">
        <v>0</v>
      </c>
      <c r="G865" s="484">
        <v>0</v>
      </c>
      <c r="H865" s="484">
        <v>0</v>
      </c>
      <c r="I865" s="484">
        <v>0</v>
      </c>
      <c r="J865" s="1254"/>
      <c r="K865" s="1231"/>
    </row>
    <row r="866" spans="1:13" s="228" customFormat="1">
      <c r="A866" s="1231"/>
      <c r="B866" s="1231"/>
      <c r="C866" s="1231"/>
      <c r="D866" s="227">
        <v>2023</v>
      </c>
      <c r="E866" s="484">
        <f t="shared" si="61"/>
        <v>265001.71531</v>
      </c>
      <c r="F866" s="484">
        <v>84525.085309999995</v>
      </c>
      <c r="G866" s="484">
        <v>180476.63</v>
      </c>
      <c r="H866" s="484">
        <v>0</v>
      </c>
      <c r="I866" s="484">
        <v>0</v>
      </c>
      <c r="J866" s="1254"/>
      <c r="K866" s="1231"/>
    </row>
    <row r="867" spans="1:13" s="228" customFormat="1">
      <c r="A867" s="1231"/>
      <c r="B867" s="1231"/>
      <c r="C867" s="1231"/>
      <c r="D867" s="227">
        <v>2024</v>
      </c>
      <c r="E867" s="484">
        <f t="shared" si="61"/>
        <v>635921.6484699999</v>
      </c>
      <c r="F867" s="484">
        <f>277313.04847-11500</f>
        <v>265813.04846999998</v>
      </c>
      <c r="G867" s="484">
        <v>370108.6</v>
      </c>
      <c r="H867" s="484">
        <v>0</v>
      </c>
      <c r="I867" s="484">
        <v>0</v>
      </c>
      <c r="J867" s="1254"/>
      <c r="K867" s="1231"/>
      <c r="M867" s="230"/>
    </row>
    <row r="868" spans="1:13" s="228" customFormat="1">
      <c r="A868" s="1231"/>
      <c r="B868" s="1231"/>
      <c r="C868" s="1231"/>
      <c r="D868" s="227">
        <v>2025</v>
      </c>
      <c r="E868" s="484">
        <f t="shared" si="61"/>
        <v>245804.48</v>
      </c>
      <c r="F868" s="484">
        <v>245804.48</v>
      </c>
      <c r="G868" s="484">
        <v>0</v>
      </c>
      <c r="H868" s="484">
        <v>0</v>
      </c>
      <c r="I868" s="484">
        <v>0</v>
      </c>
      <c r="J868" s="1254"/>
      <c r="K868" s="1231"/>
    </row>
    <row r="869" spans="1:13" s="228" customFormat="1">
      <c r="A869" s="1232"/>
      <c r="B869" s="1232"/>
      <c r="C869" s="1232"/>
      <c r="D869" s="227">
        <v>2026</v>
      </c>
      <c r="E869" s="484">
        <f t="shared" si="61"/>
        <v>0</v>
      </c>
      <c r="F869" s="484">
        <v>0</v>
      </c>
      <c r="G869" s="484">
        <v>0</v>
      </c>
      <c r="H869" s="484">
        <v>0</v>
      </c>
      <c r="I869" s="484">
        <v>0</v>
      </c>
      <c r="J869" s="1255"/>
      <c r="K869" s="1232"/>
    </row>
    <row r="870" spans="1:13" s="228" customFormat="1">
      <c r="A870" s="1230" t="s">
        <v>62</v>
      </c>
      <c r="B870" s="1230" t="s">
        <v>563</v>
      </c>
      <c r="C870" s="1230" t="s">
        <v>286</v>
      </c>
      <c r="D870" s="227" t="s">
        <v>3</v>
      </c>
      <c r="E870" s="484">
        <f t="shared" si="61"/>
        <v>249780</v>
      </c>
      <c r="F870" s="484">
        <f>SUM(F871:F876)</f>
        <v>184340</v>
      </c>
      <c r="G870" s="484">
        <f>SUM(G871:G876)</f>
        <v>65440</v>
      </c>
      <c r="H870" s="484">
        <f>SUM(H871:H876)</f>
        <v>0</v>
      </c>
      <c r="I870" s="484">
        <f>SUM(I871:I876)</f>
        <v>0</v>
      </c>
      <c r="J870" s="1257" t="s">
        <v>564</v>
      </c>
      <c r="K870" s="1230" t="s">
        <v>565</v>
      </c>
    </row>
    <row r="871" spans="1:13">
      <c r="A871" s="1225"/>
      <c r="B871" s="1225"/>
      <c r="C871" s="1225"/>
      <c r="D871" s="226">
        <v>2021</v>
      </c>
      <c r="E871" s="484">
        <f t="shared" si="61"/>
        <v>0</v>
      </c>
      <c r="F871" s="484">
        <v>0</v>
      </c>
      <c r="G871" s="484">
        <v>0</v>
      </c>
      <c r="H871" s="484">
        <v>0</v>
      </c>
      <c r="I871" s="484">
        <v>0</v>
      </c>
      <c r="J871" s="1228"/>
      <c r="K871" s="1231"/>
    </row>
    <row r="872" spans="1:13">
      <c r="A872" s="1225"/>
      <c r="B872" s="1225"/>
      <c r="C872" s="1225"/>
      <c r="D872" s="226">
        <v>2022</v>
      </c>
      <c r="E872" s="484">
        <f t="shared" si="61"/>
        <v>0</v>
      </c>
      <c r="F872" s="484">
        <v>0</v>
      </c>
      <c r="G872" s="484">
        <v>0</v>
      </c>
      <c r="H872" s="484">
        <v>0</v>
      </c>
      <c r="I872" s="484">
        <v>0</v>
      </c>
      <c r="J872" s="1228"/>
      <c r="K872" s="1231"/>
    </row>
    <row r="873" spans="1:13">
      <c r="A873" s="1225"/>
      <c r="B873" s="1225"/>
      <c r="C873" s="1225"/>
      <c r="D873" s="226">
        <v>2023</v>
      </c>
      <c r="E873" s="484">
        <f t="shared" si="61"/>
        <v>65440</v>
      </c>
      <c r="F873" s="484">
        <v>0</v>
      </c>
      <c r="G873" s="484">
        <v>65440</v>
      </c>
      <c r="H873" s="484">
        <v>0</v>
      </c>
      <c r="I873" s="484">
        <v>0</v>
      </c>
      <c r="J873" s="1228"/>
      <c r="K873" s="1231"/>
    </row>
    <row r="874" spans="1:13">
      <c r="A874" s="1225"/>
      <c r="B874" s="1225"/>
      <c r="C874" s="1225"/>
      <c r="D874" s="226">
        <v>2024</v>
      </c>
      <c r="E874" s="484">
        <f t="shared" si="61"/>
        <v>92170</v>
      </c>
      <c r="F874" s="484">
        <v>92170</v>
      </c>
      <c r="G874" s="484">
        <v>0</v>
      </c>
      <c r="H874" s="484">
        <v>0</v>
      </c>
      <c r="I874" s="484">
        <v>0</v>
      </c>
      <c r="J874" s="1228"/>
      <c r="K874" s="1231"/>
    </row>
    <row r="875" spans="1:13">
      <c r="A875" s="1225"/>
      <c r="B875" s="1225"/>
      <c r="C875" s="1225"/>
      <c r="D875" s="226">
        <v>2025</v>
      </c>
      <c r="E875" s="484">
        <f t="shared" si="61"/>
        <v>92170</v>
      </c>
      <c r="F875" s="484">
        <v>92170</v>
      </c>
      <c r="G875" s="484">
        <v>0</v>
      </c>
      <c r="H875" s="484">
        <v>0</v>
      </c>
      <c r="I875" s="484">
        <v>0</v>
      </c>
      <c r="J875" s="1228"/>
      <c r="K875" s="1231"/>
    </row>
    <row r="876" spans="1:13">
      <c r="A876" s="1226"/>
      <c r="B876" s="1226"/>
      <c r="C876" s="1226"/>
      <c r="D876" s="226">
        <v>2026</v>
      </c>
      <c r="E876" s="484">
        <f t="shared" si="61"/>
        <v>0</v>
      </c>
      <c r="F876" s="484">
        <v>0</v>
      </c>
      <c r="G876" s="484">
        <v>0</v>
      </c>
      <c r="H876" s="484">
        <v>0</v>
      </c>
      <c r="I876" s="484">
        <v>0</v>
      </c>
      <c r="J876" s="1229"/>
      <c r="K876" s="1232"/>
    </row>
    <row r="877" spans="1:13">
      <c r="A877" s="1224" t="s">
        <v>56</v>
      </c>
      <c r="B877" s="1224" t="s">
        <v>566</v>
      </c>
      <c r="C877" s="1224" t="s">
        <v>286</v>
      </c>
      <c r="D877" s="226" t="s">
        <v>3</v>
      </c>
      <c r="E877" s="484">
        <f t="shared" si="61"/>
        <v>831403.10999999987</v>
      </c>
      <c r="F877" s="484">
        <f>SUM(F878:F883)</f>
        <v>595487.69999999995</v>
      </c>
      <c r="G877" s="484">
        <f>SUM(G878:G883)</f>
        <v>235915.40999999997</v>
      </c>
      <c r="H877" s="484">
        <f>SUM(H878:H883)</f>
        <v>0</v>
      </c>
      <c r="I877" s="484">
        <f>SUM(I878:I883)</f>
        <v>0</v>
      </c>
      <c r="J877" s="1227" t="s">
        <v>564</v>
      </c>
      <c r="K877" s="1230" t="s">
        <v>565</v>
      </c>
    </row>
    <row r="878" spans="1:13">
      <c r="A878" s="1225"/>
      <c r="B878" s="1225"/>
      <c r="C878" s="1225"/>
      <c r="D878" s="226">
        <v>2021</v>
      </c>
      <c r="E878" s="484">
        <f t="shared" si="61"/>
        <v>0</v>
      </c>
      <c r="F878" s="484">
        <v>0</v>
      </c>
      <c r="G878" s="484">
        <v>0</v>
      </c>
      <c r="H878" s="484">
        <v>0</v>
      </c>
      <c r="I878" s="484">
        <v>0</v>
      </c>
      <c r="J878" s="1228"/>
      <c r="K878" s="1231"/>
    </row>
    <row r="879" spans="1:13">
      <c r="A879" s="1225"/>
      <c r="B879" s="1225"/>
      <c r="C879" s="1225"/>
      <c r="D879" s="226">
        <v>2022</v>
      </c>
      <c r="E879" s="484">
        <f t="shared" si="61"/>
        <v>0</v>
      </c>
      <c r="F879" s="484">
        <v>0</v>
      </c>
      <c r="G879" s="484">
        <v>0</v>
      </c>
      <c r="H879" s="484">
        <v>0</v>
      </c>
      <c r="I879" s="484">
        <v>0</v>
      </c>
      <c r="J879" s="1228"/>
      <c r="K879" s="1231"/>
    </row>
    <row r="880" spans="1:13">
      <c r="A880" s="1225"/>
      <c r="B880" s="1225"/>
      <c r="C880" s="1225"/>
      <c r="D880" s="226">
        <v>2023</v>
      </c>
      <c r="E880" s="484">
        <f t="shared" si="61"/>
        <v>51403.11</v>
      </c>
      <c r="F880" s="484">
        <v>0</v>
      </c>
      <c r="G880" s="484">
        <v>51403.11</v>
      </c>
      <c r="H880" s="484">
        <v>0</v>
      </c>
      <c r="I880" s="484">
        <v>0</v>
      </c>
      <c r="J880" s="1228"/>
      <c r="K880" s="1231"/>
    </row>
    <row r="881" spans="1:13">
      <c r="A881" s="1225"/>
      <c r="B881" s="1225"/>
      <c r="C881" s="1225"/>
      <c r="D881" s="226">
        <v>2024</v>
      </c>
      <c r="E881" s="484">
        <f t="shared" si="61"/>
        <v>259876.5</v>
      </c>
      <c r="F881" s="486">
        <v>75364.2</v>
      </c>
      <c r="G881" s="486">
        <v>184512.3</v>
      </c>
      <c r="H881" s="484">
        <v>0</v>
      </c>
      <c r="I881" s="484">
        <v>0</v>
      </c>
      <c r="J881" s="1228"/>
      <c r="K881" s="1231"/>
    </row>
    <row r="882" spans="1:13">
      <c r="A882" s="1225"/>
      <c r="B882" s="1225"/>
      <c r="C882" s="1225"/>
      <c r="D882" s="226">
        <v>2025</v>
      </c>
      <c r="E882" s="484">
        <f t="shared" si="61"/>
        <v>520123.5</v>
      </c>
      <c r="F882" s="484">
        <f>390000+390000-259876.5</f>
        <v>520123.5</v>
      </c>
      <c r="G882" s="484">
        <v>0</v>
      </c>
      <c r="H882" s="484">
        <v>0</v>
      </c>
      <c r="I882" s="484">
        <v>0</v>
      </c>
      <c r="J882" s="1228"/>
      <c r="K882" s="1231"/>
    </row>
    <row r="883" spans="1:13">
      <c r="A883" s="1226"/>
      <c r="B883" s="1226"/>
      <c r="C883" s="1226"/>
      <c r="D883" s="226">
        <v>2026</v>
      </c>
      <c r="E883" s="484">
        <f t="shared" si="61"/>
        <v>0</v>
      </c>
      <c r="F883" s="484">
        <v>0</v>
      </c>
      <c r="G883" s="484">
        <v>0</v>
      </c>
      <c r="H883" s="484">
        <v>0</v>
      </c>
      <c r="I883" s="484">
        <v>0</v>
      </c>
      <c r="J883" s="1229"/>
      <c r="K883" s="1232"/>
    </row>
    <row r="884" spans="1:13">
      <c r="A884" s="1224" t="s">
        <v>567</v>
      </c>
      <c r="B884" s="1224" t="s">
        <v>568</v>
      </c>
      <c r="C884" s="1224" t="s">
        <v>286</v>
      </c>
      <c r="D884" s="226" t="s">
        <v>3</v>
      </c>
      <c r="E884" s="484">
        <f t="shared" ref="E884:I889" si="65">SUM(E891,E898)</f>
        <v>187892.8</v>
      </c>
      <c r="F884" s="484">
        <f t="shared" si="65"/>
        <v>186006.66899999999</v>
      </c>
      <c r="G884" s="484">
        <f t="shared" si="65"/>
        <v>0</v>
      </c>
      <c r="H884" s="484">
        <f t="shared" si="65"/>
        <v>1886.1310000000001</v>
      </c>
      <c r="I884" s="484">
        <f t="shared" si="65"/>
        <v>0</v>
      </c>
      <c r="J884" s="1227" t="s">
        <v>569</v>
      </c>
      <c r="K884" s="1230" t="s">
        <v>570</v>
      </c>
    </row>
    <row r="885" spans="1:13">
      <c r="A885" s="1225"/>
      <c r="B885" s="1225"/>
      <c r="C885" s="1225"/>
      <c r="D885" s="226">
        <v>2021</v>
      </c>
      <c r="E885" s="484">
        <f t="shared" si="65"/>
        <v>0</v>
      </c>
      <c r="F885" s="484">
        <f t="shared" si="65"/>
        <v>0</v>
      </c>
      <c r="G885" s="484">
        <f t="shared" si="65"/>
        <v>0</v>
      </c>
      <c r="H885" s="484">
        <f t="shared" si="65"/>
        <v>0</v>
      </c>
      <c r="I885" s="484">
        <f t="shared" si="65"/>
        <v>0</v>
      </c>
      <c r="J885" s="1228"/>
      <c r="K885" s="1231"/>
    </row>
    <row r="886" spans="1:13">
      <c r="A886" s="1225"/>
      <c r="B886" s="1225"/>
      <c r="C886" s="1225"/>
      <c r="D886" s="226">
        <v>2022</v>
      </c>
      <c r="E886" s="484">
        <f t="shared" si="65"/>
        <v>0</v>
      </c>
      <c r="F886" s="484">
        <f t="shared" si="65"/>
        <v>0</v>
      </c>
      <c r="G886" s="484">
        <f t="shared" si="65"/>
        <v>0</v>
      </c>
      <c r="H886" s="484">
        <f t="shared" si="65"/>
        <v>0</v>
      </c>
      <c r="I886" s="484">
        <f t="shared" si="65"/>
        <v>0</v>
      </c>
      <c r="J886" s="1228"/>
      <c r="K886" s="1231"/>
    </row>
    <row r="887" spans="1:13">
      <c r="A887" s="1225"/>
      <c r="B887" s="1225"/>
      <c r="C887" s="1225"/>
      <c r="D887" s="226">
        <v>2023</v>
      </c>
      <c r="E887" s="484">
        <f t="shared" si="65"/>
        <v>28290</v>
      </c>
      <c r="F887" s="484">
        <f t="shared" si="65"/>
        <v>28000</v>
      </c>
      <c r="G887" s="484">
        <f t="shared" si="65"/>
        <v>0</v>
      </c>
      <c r="H887" s="484">
        <f t="shared" si="65"/>
        <v>290</v>
      </c>
      <c r="I887" s="484">
        <f t="shared" si="65"/>
        <v>0</v>
      </c>
      <c r="J887" s="1228"/>
      <c r="K887" s="1231"/>
    </row>
    <row r="888" spans="1:13">
      <c r="A888" s="1225"/>
      <c r="B888" s="1225"/>
      <c r="C888" s="1225"/>
      <c r="D888" s="226">
        <v>2024</v>
      </c>
      <c r="E888" s="484">
        <f t="shared" si="65"/>
        <v>80355</v>
      </c>
      <c r="F888" s="484">
        <f t="shared" si="65"/>
        <v>79551.453999999998</v>
      </c>
      <c r="G888" s="484">
        <f t="shared" si="65"/>
        <v>0</v>
      </c>
      <c r="H888" s="484">
        <f t="shared" si="65"/>
        <v>803.54600000000005</v>
      </c>
      <c r="I888" s="484">
        <f t="shared" si="65"/>
        <v>0</v>
      </c>
      <c r="J888" s="1228"/>
      <c r="K888" s="1231"/>
    </row>
    <row r="889" spans="1:13">
      <c r="A889" s="1225"/>
      <c r="B889" s="1225"/>
      <c r="C889" s="1225"/>
      <c r="D889" s="226">
        <v>2025</v>
      </c>
      <c r="E889" s="484">
        <f t="shared" si="65"/>
        <v>79247.8</v>
      </c>
      <c r="F889" s="484">
        <f t="shared" si="65"/>
        <v>78455.214999999997</v>
      </c>
      <c r="G889" s="484">
        <f t="shared" si="65"/>
        <v>0</v>
      </c>
      <c r="H889" s="484">
        <f t="shared" si="65"/>
        <v>792.58500000000004</v>
      </c>
      <c r="I889" s="484">
        <f t="shared" si="65"/>
        <v>0</v>
      </c>
      <c r="J889" s="1228"/>
      <c r="K889" s="1231"/>
    </row>
    <row r="890" spans="1:13">
      <c r="A890" s="1226"/>
      <c r="B890" s="1226"/>
      <c r="C890" s="1226"/>
      <c r="D890" s="226">
        <v>2026</v>
      </c>
      <c r="E890" s="484">
        <v>0</v>
      </c>
      <c r="F890" s="484">
        <v>0</v>
      </c>
      <c r="G890" s="484">
        <v>0</v>
      </c>
      <c r="H890" s="484">
        <v>0</v>
      </c>
      <c r="I890" s="484">
        <v>0</v>
      </c>
      <c r="J890" s="1229"/>
      <c r="K890" s="1232"/>
    </row>
    <row r="891" spans="1:13">
      <c r="A891" s="1224" t="s">
        <v>571</v>
      </c>
      <c r="B891" s="1224" t="s">
        <v>572</v>
      </c>
      <c r="C891" s="1224" t="s">
        <v>286</v>
      </c>
      <c r="D891" s="226" t="s">
        <v>3</v>
      </c>
      <c r="E891" s="484">
        <f>[5]НОВЫЙ_МИНСТРОЙ!E791</f>
        <v>138499.6</v>
      </c>
      <c r="F891" s="484">
        <f>[5]НОВЫЙ_МИНСТРОЙ!F791</f>
        <v>137107.46900000001</v>
      </c>
      <c r="G891" s="484">
        <f>[5]НОВЫЙ_МИНСТРОЙ!G791</f>
        <v>0</v>
      </c>
      <c r="H891" s="484">
        <f>[5]НОВЫЙ_МИНСТРОЙ!H791</f>
        <v>1392.1310000000001</v>
      </c>
      <c r="I891" s="484">
        <f>[5]НОВЫЙ_МИНСТРОЙ!I791</f>
        <v>0</v>
      </c>
      <c r="J891" s="1227" t="s">
        <v>573</v>
      </c>
      <c r="K891" s="1230" t="s">
        <v>574</v>
      </c>
    </row>
    <row r="892" spans="1:13">
      <c r="A892" s="1225"/>
      <c r="B892" s="1225"/>
      <c r="C892" s="1225"/>
      <c r="D892" s="226">
        <v>2021</v>
      </c>
      <c r="E892" s="484">
        <f>[5]НОВЫЙ_МИНСТРОЙ!E792</f>
        <v>0</v>
      </c>
      <c r="F892" s="484">
        <f>[5]НОВЫЙ_МИНСТРОЙ!F792</f>
        <v>0</v>
      </c>
      <c r="G892" s="484">
        <f>[5]НОВЫЙ_МИНСТРОЙ!G792</f>
        <v>0</v>
      </c>
      <c r="H892" s="484">
        <f>[5]НОВЫЙ_МИНСТРОЙ!H792</f>
        <v>0</v>
      </c>
      <c r="I892" s="484">
        <f>[5]НОВЫЙ_МИНСТРОЙ!I792</f>
        <v>0</v>
      </c>
      <c r="J892" s="1228"/>
      <c r="K892" s="1231"/>
      <c r="M892" s="223">
        <f>SUM(E891,E898)</f>
        <v>187892.8</v>
      </c>
    </row>
    <row r="893" spans="1:13">
      <c r="A893" s="1225"/>
      <c r="B893" s="1225"/>
      <c r="C893" s="1225"/>
      <c r="D893" s="226">
        <v>2022</v>
      </c>
      <c r="E893" s="484">
        <f>[5]НОВЫЙ_МИНСТРОЙ!E793</f>
        <v>0</v>
      </c>
      <c r="F893" s="484">
        <f>[5]НОВЫЙ_МИНСТРОЙ!F793</f>
        <v>0</v>
      </c>
      <c r="G893" s="484">
        <f>[5]НОВЫЙ_МИНСТРОЙ!G793</f>
        <v>0</v>
      </c>
      <c r="H893" s="484">
        <f>[5]НОВЫЙ_МИНСТРОЙ!H793</f>
        <v>0</v>
      </c>
      <c r="I893" s="484">
        <f>[5]НОВЫЙ_МИНСТРОЙ!I793</f>
        <v>0</v>
      </c>
      <c r="J893" s="1228"/>
      <c r="K893" s="1231"/>
    </row>
    <row r="894" spans="1:13">
      <c r="A894" s="1225"/>
      <c r="B894" s="1225"/>
      <c r="C894" s="1225"/>
      <c r="D894" s="226">
        <v>2023</v>
      </c>
      <c r="E894" s="484">
        <f>[5]НОВЫЙ_МИНСТРОЙ!E794</f>
        <v>20666.5</v>
      </c>
      <c r="F894" s="484">
        <f>[5]НОВЫЙ_МИНСТРОЙ!F794</f>
        <v>20452.7</v>
      </c>
      <c r="G894" s="484">
        <f>[5]НОВЫЙ_МИНСТРОЙ!G794</f>
        <v>0</v>
      </c>
      <c r="H894" s="484">
        <f>[5]НОВЫЙ_МИНСТРОЙ!H794</f>
        <v>213.8</v>
      </c>
      <c r="I894" s="484">
        <f>[5]НОВЫЙ_МИНСТРОЙ!I794</f>
        <v>0</v>
      </c>
      <c r="J894" s="1228"/>
      <c r="K894" s="1231"/>
    </row>
    <row r="895" spans="1:13">
      <c r="A895" s="1225"/>
      <c r="B895" s="1225"/>
      <c r="C895" s="1225"/>
      <c r="D895" s="226">
        <v>2024</v>
      </c>
      <c r="E895" s="484">
        <f>[5]НОВЫЙ_МИНСТРОЙ!E795</f>
        <v>59324.6</v>
      </c>
      <c r="F895" s="484">
        <f>[5]НОВЫЙ_МИНСТРОЙ!F795</f>
        <v>58731.353999999999</v>
      </c>
      <c r="G895" s="484">
        <f>[5]НОВЫЙ_МИНСТРОЙ!G795</f>
        <v>0</v>
      </c>
      <c r="H895" s="484">
        <f>[5]НОВЫЙ_МИНСТРОЙ!H795</f>
        <v>593.24599999999998</v>
      </c>
      <c r="I895" s="484">
        <f>[5]НОВЫЙ_МИНСТРОЙ!I795</f>
        <v>0</v>
      </c>
      <c r="J895" s="1228"/>
      <c r="K895" s="1231"/>
    </row>
    <row r="896" spans="1:13">
      <c r="A896" s="1225"/>
      <c r="B896" s="1225"/>
      <c r="C896" s="1225"/>
      <c r="D896" s="226">
        <v>2025</v>
      </c>
      <c r="E896" s="484">
        <f>[5]НОВЫЙ_МИНСТРОЙ!E796</f>
        <v>58508.5</v>
      </c>
      <c r="F896" s="484">
        <f>[5]НОВЫЙ_МИНСТРОЙ!F796</f>
        <v>57923.415000000001</v>
      </c>
      <c r="G896" s="484">
        <f>[5]НОВЫЙ_МИНСТРОЙ!G796</f>
        <v>0</v>
      </c>
      <c r="H896" s="484">
        <f>[5]НОВЫЙ_МИНСТРОЙ!H796</f>
        <v>585.08500000000004</v>
      </c>
      <c r="I896" s="484">
        <f>[5]НОВЫЙ_МИНСТРОЙ!I796</f>
        <v>0</v>
      </c>
      <c r="J896" s="1228"/>
      <c r="K896" s="1231"/>
    </row>
    <row r="897" spans="1:13">
      <c r="A897" s="1226"/>
      <c r="B897" s="1226"/>
      <c r="C897" s="1226"/>
      <c r="D897" s="226">
        <v>2026</v>
      </c>
      <c r="E897" s="484">
        <v>0</v>
      </c>
      <c r="F897" s="484">
        <v>0</v>
      </c>
      <c r="G897" s="484">
        <v>0</v>
      </c>
      <c r="H897" s="484">
        <v>0</v>
      </c>
      <c r="I897" s="484">
        <v>0</v>
      </c>
      <c r="J897" s="1229"/>
      <c r="K897" s="1232"/>
    </row>
    <row r="898" spans="1:13">
      <c r="A898" s="1224" t="s">
        <v>575</v>
      </c>
      <c r="B898" s="1224" t="s">
        <v>576</v>
      </c>
      <c r="C898" s="1224" t="s">
        <v>286</v>
      </c>
      <c r="D898" s="226" t="s">
        <v>3</v>
      </c>
      <c r="E898" s="484">
        <f t="shared" ref="E898:E917" si="66">SUM(F898:I898)</f>
        <v>49393.2</v>
      </c>
      <c r="F898" s="484">
        <f>SUM(F899:F903)</f>
        <v>48899.199999999997</v>
      </c>
      <c r="G898" s="484">
        <f>SUM(G899:G903)</f>
        <v>0</v>
      </c>
      <c r="H898" s="484">
        <f>SUM(H899:H903)</f>
        <v>494</v>
      </c>
      <c r="I898" s="484">
        <f>SUM(I899:I903)</f>
        <v>0</v>
      </c>
      <c r="J898" s="1227" t="s">
        <v>573</v>
      </c>
      <c r="K898" s="1230" t="s">
        <v>574</v>
      </c>
    </row>
    <row r="899" spans="1:13">
      <c r="A899" s="1225"/>
      <c r="B899" s="1225"/>
      <c r="C899" s="1225"/>
      <c r="D899" s="226">
        <v>2021</v>
      </c>
      <c r="E899" s="484">
        <f t="shared" si="66"/>
        <v>0</v>
      </c>
      <c r="F899" s="484">
        <v>0</v>
      </c>
      <c r="G899" s="484">
        <v>0</v>
      </c>
      <c r="H899" s="484">
        <v>0</v>
      </c>
      <c r="I899" s="484">
        <v>0</v>
      </c>
      <c r="J899" s="1228"/>
      <c r="K899" s="1231"/>
    </row>
    <row r="900" spans="1:13">
      <c r="A900" s="1225"/>
      <c r="B900" s="1225"/>
      <c r="C900" s="1225"/>
      <c r="D900" s="226">
        <v>2022</v>
      </c>
      <c r="E900" s="484">
        <f t="shared" si="66"/>
        <v>0</v>
      </c>
      <c r="F900" s="484">
        <v>0</v>
      </c>
      <c r="G900" s="484">
        <v>0</v>
      </c>
      <c r="H900" s="484">
        <v>0</v>
      </c>
      <c r="I900" s="484">
        <v>0</v>
      </c>
      <c r="J900" s="1228"/>
      <c r="K900" s="1231"/>
      <c r="M900" s="223">
        <f>SUM(F901,F894)</f>
        <v>28000</v>
      </c>
    </row>
    <row r="901" spans="1:13">
      <c r="A901" s="1225"/>
      <c r="B901" s="1225"/>
      <c r="C901" s="1225"/>
      <c r="D901" s="226">
        <v>2023</v>
      </c>
      <c r="E901" s="484">
        <f t="shared" si="66"/>
        <v>7623.5</v>
      </c>
      <c r="F901" s="484">
        <v>7547.3</v>
      </c>
      <c r="G901" s="484">
        <v>0</v>
      </c>
      <c r="H901" s="484">
        <v>76.2</v>
      </c>
      <c r="I901" s="484">
        <v>0</v>
      </c>
      <c r="J901" s="1228"/>
      <c r="K901" s="1231"/>
    </row>
    <row r="902" spans="1:13">
      <c r="A902" s="1225"/>
      <c r="B902" s="1225"/>
      <c r="C902" s="1225"/>
      <c r="D902" s="226">
        <v>2024</v>
      </c>
      <c r="E902" s="484">
        <f t="shared" si="66"/>
        <v>21030.399999999998</v>
      </c>
      <c r="F902" s="484">
        <v>20820.099999999999</v>
      </c>
      <c r="G902" s="484">
        <v>0</v>
      </c>
      <c r="H902" s="484">
        <v>210.3</v>
      </c>
      <c r="I902" s="484">
        <v>0</v>
      </c>
      <c r="J902" s="1228"/>
      <c r="K902" s="1231"/>
    </row>
    <row r="903" spans="1:13">
      <c r="A903" s="1225"/>
      <c r="B903" s="1225"/>
      <c r="C903" s="1225"/>
      <c r="D903" s="226">
        <v>2025</v>
      </c>
      <c r="E903" s="484">
        <f t="shared" si="66"/>
        <v>20739.3</v>
      </c>
      <c r="F903" s="484">
        <v>20531.8</v>
      </c>
      <c r="G903" s="484">
        <v>0</v>
      </c>
      <c r="H903" s="484">
        <v>207.5</v>
      </c>
      <c r="I903" s="484">
        <v>0</v>
      </c>
      <c r="J903" s="1228"/>
      <c r="K903" s="1231"/>
    </row>
    <row r="904" spans="1:13">
      <c r="A904" s="1226"/>
      <c r="B904" s="1226"/>
      <c r="C904" s="1226"/>
      <c r="D904" s="226">
        <v>2026</v>
      </c>
      <c r="E904" s="484">
        <v>0</v>
      </c>
      <c r="F904" s="484">
        <v>0</v>
      </c>
      <c r="G904" s="484">
        <v>0</v>
      </c>
      <c r="H904" s="484">
        <v>0</v>
      </c>
      <c r="I904" s="484">
        <v>0</v>
      </c>
      <c r="J904" s="1229"/>
      <c r="K904" s="1232"/>
    </row>
    <row r="905" spans="1:13">
      <c r="A905" s="1224" t="s">
        <v>100</v>
      </c>
      <c r="B905" s="1224" t="s">
        <v>55</v>
      </c>
      <c r="C905" s="1224" t="s">
        <v>235</v>
      </c>
      <c r="D905" s="226" t="s">
        <v>3</v>
      </c>
      <c r="E905" s="484">
        <f t="shared" si="66"/>
        <v>1332523.3980899998</v>
      </c>
      <c r="F905" s="484">
        <f>SUM(F906:F911)</f>
        <v>739465.16107999999</v>
      </c>
      <c r="G905" s="484">
        <f>SUM(G906:G910)</f>
        <v>562487.59899999993</v>
      </c>
      <c r="H905" s="484">
        <f>SUM(H906:H910)</f>
        <v>30570.638009999973</v>
      </c>
      <c r="I905" s="484">
        <f>SUM(I906:I910)</f>
        <v>0</v>
      </c>
      <c r="J905" s="1227" t="s">
        <v>81</v>
      </c>
      <c r="K905" s="1230" t="s">
        <v>577</v>
      </c>
    </row>
    <row r="906" spans="1:13">
      <c r="A906" s="1225"/>
      <c r="B906" s="1225"/>
      <c r="C906" s="1225"/>
      <c r="D906" s="226">
        <v>2021</v>
      </c>
      <c r="E906" s="484">
        <f t="shared" si="66"/>
        <v>277483.179</v>
      </c>
      <c r="F906" s="484">
        <f t="shared" ref="F906:I910" si="67">F913+F920+F927+F934</f>
        <v>19160.86</v>
      </c>
      <c r="G906" s="484">
        <f t="shared" si="67"/>
        <v>257488.69899999999</v>
      </c>
      <c r="H906" s="484">
        <f t="shared" si="67"/>
        <v>833.61999999999989</v>
      </c>
      <c r="I906" s="484">
        <f t="shared" si="67"/>
        <v>0</v>
      </c>
      <c r="J906" s="1228"/>
      <c r="K906" s="1231"/>
    </row>
    <row r="907" spans="1:13">
      <c r="A907" s="1225"/>
      <c r="B907" s="1225"/>
      <c r="C907" s="1225"/>
      <c r="D907" s="226">
        <v>2022</v>
      </c>
      <c r="E907" s="484">
        <f t="shared" si="66"/>
        <v>684506.5541999999</v>
      </c>
      <c r="F907" s="484">
        <f t="shared" si="67"/>
        <v>488280.63192999997</v>
      </c>
      <c r="G907" s="484">
        <f t="shared" si="67"/>
        <v>177607.9</v>
      </c>
      <c r="H907" s="484">
        <f t="shared" si="67"/>
        <v>18618.022270000001</v>
      </c>
      <c r="I907" s="484">
        <f t="shared" si="67"/>
        <v>0</v>
      </c>
      <c r="J907" s="1228"/>
      <c r="K907" s="1231"/>
    </row>
    <row r="908" spans="1:13">
      <c r="A908" s="1225"/>
      <c r="B908" s="1225"/>
      <c r="C908" s="1225"/>
      <c r="D908" s="226">
        <v>2023</v>
      </c>
      <c r="E908" s="484">
        <f t="shared" si="66"/>
        <v>139473.16488999996</v>
      </c>
      <c r="F908" s="484">
        <f t="shared" si="67"/>
        <v>11675.569150000007</v>
      </c>
      <c r="G908" s="484">
        <f t="shared" si="67"/>
        <v>127391</v>
      </c>
      <c r="H908" s="484">
        <f t="shared" si="67"/>
        <v>406.59573999997519</v>
      </c>
      <c r="I908" s="484">
        <f t="shared" si="67"/>
        <v>0</v>
      </c>
      <c r="J908" s="1228"/>
      <c r="K908" s="1231"/>
    </row>
    <row r="909" spans="1:13">
      <c r="A909" s="1225"/>
      <c r="B909" s="1225"/>
      <c r="C909" s="1225"/>
      <c r="D909" s="226">
        <v>2024</v>
      </c>
      <c r="E909" s="484">
        <f t="shared" si="66"/>
        <v>218560.5</v>
      </c>
      <c r="F909" s="484">
        <f t="shared" si="67"/>
        <v>207848.1</v>
      </c>
      <c r="G909" s="484">
        <f t="shared" si="67"/>
        <v>0</v>
      </c>
      <c r="H909" s="484">
        <f t="shared" si="67"/>
        <v>10712.4</v>
      </c>
      <c r="I909" s="484">
        <f t="shared" si="67"/>
        <v>0</v>
      </c>
      <c r="J909" s="1228"/>
      <c r="K909" s="1231"/>
    </row>
    <row r="910" spans="1:13">
      <c r="A910" s="1225"/>
      <c r="B910" s="1225"/>
      <c r="C910" s="1225"/>
      <c r="D910" s="226">
        <v>2025</v>
      </c>
      <c r="E910" s="484">
        <f t="shared" si="66"/>
        <v>6250</v>
      </c>
      <c r="F910" s="484">
        <f t="shared" si="67"/>
        <v>6250</v>
      </c>
      <c r="G910" s="484">
        <f t="shared" si="67"/>
        <v>0</v>
      </c>
      <c r="H910" s="484">
        <f t="shared" si="67"/>
        <v>0</v>
      </c>
      <c r="I910" s="484">
        <f t="shared" si="67"/>
        <v>0</v>
      </c>
      <c r="J910" s="1228"/>
      <c r="K910" s="1231"/>
    </row>
    <row r="911" spans="1:13">
      <c r="A911" s="1226"/>
      <c r="B911" s="1226"/>
      <c r="C911" s="1226"/>
      <c r="D911" s="226">
        <v>2026</v>
      </c>
      <c r="E911" s="484">
        <f t="shared" si="66"/>
        <v>6250</v>
      </c>
      <c r="F911" s="484">
        <f>SUM(F918)</f>
        <v>6250</v>
      </c>
      <c r="G911" s="484">
        <f>SUM(G918)</f>
        <v>0</v>
      </c>
      <c r="H911" s="484">
        <f>SUM(H918)</f>
        <v>0</v>
      </c>
      <c r="I911" s="484">
        <f>SUM(I918)</f>
        <v>0</v>
      </c>
      <c r="J911" s="1229"/>
      <c r="K911" s="1232"/>
    </row>
    <row r="912" spans="1:13">
      <c r="A912" s="1224" t="s">
        <v>578</v>
      </c>
      <c r="B912" s="1224" t="s">
        <v>44</v>
      </c>
      <c r="C912" s="1224" t="s">
        <v>235</v>
      </c>
      <c r="D912" s="226" t="s">
        <v>3</v>
      </c>
      <c r="E912" s="484">
        <f t="shared" si="66"/>
        <v>30058.75</v>
      </c>
      <c r="F912" s="484">
        <f>SUM(F913:F918)</f>
        <v>30058.75</v>
      </c>
      <c r="G912" s="484">
        <f>SUM(G913:G917)</f>
        <v>0</v>
      </c>
      <c r="H912" s="484">
        <f>SUM(H913:H917)</f>
        <v>0</v>
      </c>
      <c r="I912" s="484">
        <f>SUM(I913:I917)</f>
        <v>0</v>
      </c>
      <c r="J912" s="1236" t="s">
        <v>579</v>
      </c>
      <c r="K912" s="1230" t="s">
        <v>65</v>
      </c>
      <c r="L912" s="1233" t="s">
        <v>580</v>
      </c>
    </row>
    <row r="913" spans="1:12">
      <c r="A913" s="1225"/>
      <c r="B913" s="1225"/>
      <c r="C913" s="1225"/>
      <c r="D913" s="226">
        <v>2021</v>
      </c>
      <c r="E913" s="484">
        <f t="shared" si="66"/>
        <v>3320.7</v>
      </c>
      <c r="F913" s="484">
        <v>3320.7</v>
      </c>
      <c r="G913" s="484">
        <v>0</v>
      </c>
      <c r="H913" s="484">
        <v>0</v>
      </c>
      <c r="I913" s="484">
        <v>0</v>
      </c>
      <c r="J913" s="1237"/>
      <c r="K913" s="1231"/>
      <c r="L913" s="1233"/>
    </row>
    <row r="914" spans="1:12">
      <c r="A914" s="1225"/>
      <c r="B914" s="1225"/>
      <c r="C914" s="1225"/>
      <c r="D914" s="226">
        <v>2022</v>
      </c>
      <c r="E914" s="484">
        <f t="shared" si="66"/>
        <v>5975.3</v>
      </c>
      <c r="F914" s="484">
        <v>5975.3</v>
      </c>
      <c r="G914" s="484">
        <v>0</v>
      </c>
      <c r="H914" s="484">
        <v>0</v>
      </c>
      <c r="I914" s="484">
        <v>0</v>
      </c>
      <c r="J914" s="1237"/>
      <c r="K914" s="1231"/>
      <c r="L914" s="1233"/>
    </row>
    <row r="915" spans="1:12">
      <c r="A915" s="1225"/>
      <c r="B915" s="1225"/>
      <c r="C915" s="1225"/>
      <c r="D915" s="226">
        <v>2023</v>
      </c>
      <c r="E915" s="484">
        <f t="shared" si="66"/>
        <v>3950.25</v>
      </c>
      <c r="F915" s="484">
        <f>6250-2299.75</f>
        <v>3950.25</v>
      </c>
      <c r="G915" s="484">
        <v>0</v>
      </c>
      <c r="H915" s="484">
        <v>0</v>
      </c>
      <c r="I915" s="484">
        <v>0</v>
      </c>
      <c r="J915" s="1237"/>
      <c r="K915" s="1231"/>
      <c r="L915" s="1233"/>
    </row>
    <row r="916" spans="1:12">
      <c r="A916" s="1225"/>
      <c r="B916" s="1225"/>
      <c r="C916" s="1225"/>
      <c r="D916" s="226">
        <v>2024</v>
      </c>
      <c r="E916" s="484">
        <f t="shared" si="66"/>
        <v>4312.5</v>
      </c>
      <c r="F916" s="484">
        <f>6250-1937.5</f>
        <v>4312.5</v>
      </c>
      <c r="G916" s="484">
        <v>0</v>
      </c>
      <c r="H916" s="484">
        <v>0</v>
      </c>
      <c r="I916" s="484">
        <v>0</v>
      </c>
      <c r="J916" s="1237"/>
      <c r="K916" s="1231"/>
      <c r="L916" s="1233"/>
    </row>
    <row r="917" spans="1:12">
      <c r="A917" s="1225"/>
      <c r="B917" s="1225"/>
      <c r="C917" s="1225"/>
      <c r="D917" s="226">
        <v>2025</v>
      </c>
      <c r="E917" s="484">
        <f t="shared" si="66"/>
        <v>6250</v>
      </c>
      <c r="F917" s="484">
        <v>6250</v>
      </c>
      <c r="G917" s="484">
        <v>0</v>
      </c>
      <c r="H917" s="484">
        <v>0</v>
      </c>
      <c r="I917" s="484">
        <v>0</v>
      </c>
      <c r="J917" s="1237"/>
      <c r="K917" s="1231"/>
      <c r="L917" s="1233"/>
    </row>
    <row r="918" spans="1:12">
      <c r="A918" s="1226"/>
      <c r="B918" s="1226"/>
      <c r="C918" s="1226"/>
      <c r="D918" s="226">
        <v>2026</v>
      </c>
      <c r="E918" s="484">
        <f>F918+G918+H918+I918</f>
        <v>6250</v>
      </c>
      <c r="F918" s="484">
        <v>6250</v>
      </c>
      <c r="G918" s="484">
        <v>0</v>
      </c>
      <c r="H918" s="484">
        <v>0</v>
      </c>
      <c r="I918" s="484">
        <v>0</v>
      </c>
      <c r="J918" s="1238"/>
      <c r="K918" s="1232"/>
    </row>
    <row r="919" spans="1:12">
      <c r="A919" s="1224" t="s">
        <v>581</v>
      </c>
      <c r="B919" s="1224" t="s">
        <v>582</v>
      </c>
      <c r="C919" s="1224" t="s">
        <v>282</v>
      </c>
      <c r="D919" s="226" t="s">
        <v>3</v>
      </c>
      <c r="E919" s="484">
        <f t="shared" ref="E919:E959" si="68">SUM(F919:I919)</f>
        <v>447152.68754999997</v>
      </c>
      <c r="F919" s="484">
        <f>SUM(F920:F924)</f>
        <v>316032.67813999997</v>
      </c>
      <c r="G919" s="484">
        <f>SUM(G920:G924)</f>
        <v>121253.24804000001</v>
      </c>
      <c r="H919" s="484">
        <f>SUM(H920:H924)</f>
        <v>9866.7613700000002</v>
      </c>
      <c r="I919" s="484">
        <f>SUM(I920:I924)</f>
        <v>0</v>
      </c>
      <c r="J919" s="1227" t="s">
        <v>583</v>
      </c>
      <c r="K919" s="1230" t="s">
        <v>129</v>
      </c>
      <c r="L919" s="1233"/>
    </row>
    <row r="920" spans="1:12">
      <c r="A920" s="1225"/>
      <c r="B920" s="1225"/>
      <c r="C920" s="1225"/>
      <c r="D920" s="226">
        <v>2021</v>
      </c>
      <c r="E920" s="484">
        <f t="shared" si="68"/>
        <v>94469.148000000001</v>
      </c>
      <c r="F920" s="484">
        <v>5458.1030000000001</v>
      </c>
      <c r="G920" s="484">
        <v>88723.845000000001</v>
      </c>
      <c r="H920" s="484">
        <v>287.2</v>
      </c>
      <c r="I920" s="484">
        <v>0</v>
      </c>
      <c r="J920" s="1228"/>
      <c r="K920" s="1231"/>
      <c r="L920" s="1233"/>
    </row>
    <row r="921" spans="1:12">
      <c r="A921" s="1225"/>
      <c r="B921" s="1225"/>
      <c r="C921" s="1225"/>
      <c r="D921" s="226">
        <v>2022</v>
      </c>
      <c r="E921" s="484">
        <f t="shared" si="68"/>
        <v>352683.53954999999</v>
      </c>
      <c r="F921" s="484">
        <v>310574.57513999997</v>
      </c>
      <c r="G921" s="484">
        <v>32529.403040000001</v>
      </c>
      <c r="H921" s="484">
        <v>9579.5613699999994</v>
      </c>
      <c r="I921" s="484">
        <v>0</v>
      </c>
      <c r="J921" s="1228"/>
      <c r="K921" s="1231"/>
      <c r="L921" s="1233"/>
    </row>
    <row r="922" spans="1:12">
      <c r="A922" s="1225"/>
      <c r="B922" s="1225"/>
      <c r="C922" s="1225"/>
      <c r="D922" s="226">
        <v>2023</v>
      </c>
      <c r="E922" s="484">
        <f t="shared" si="68"/>
        <v>0</v>
      </c>
      <c r="F922" s="484">
        <v>0</v>
      </c>
      <c r="G922" s="484">
        <v>0</v>
      </c>
      <c r="H922" s="484">
        <v>0</v>
      </c>
      <c r="I922" s="484">
        <v>0</v>
      </c>
      <c r="J922" s="1228"/>
      <c r="K922" s="1231"/>
      <c r="L922" s="1233"/>
    </row>
    <row r="923" spans="1:12">
      <c r="A923" s="1225"/>
      <c r="B923" s="1225"/>
      <c r="C923" s="1225"/>
      <c r="D923" s="226">
        <v>2024</v>
      </c>
      <c r="E923" s="484">
        <f t="shared" si="68"/>
        <v>0</v>
      </c>
      <c r="F923" s="484">
        <v>0</v>
      </c>
      <c r="G923" s="484">
        <v>0</v>
      </c>
      <c r="H923" s="484">
        <v>0</v>
      </c>
      <c r="I923" s="484">
        <v>0</v>
      </c>
      <c r="J923" s="1228"/>
      <c r="K923" s="1231"/>
      <c r="L923" s="1233"/>
    </row>
    <row r="924" spans="1:12">
      <c r="A924" s="1225"/>
      <c r="B924" s="1225"/>
      <c r="C924" s="1225"/>
      <c r="D924" s="226">
        <v>2025</v>
      </c>
      <c r="E924" s="484">
        <f t="shared" si="68"/>
        <v>0</v>
      </c>
      <c r="F924" s="484">
        <v>0</v>
      </c>
      <c r="G924" s="484">
        <v>0</v>
      </c>
      <c r="H924" s="484">
        <v>0</v>
      </c>
      <c r="I924" s="484">
        <v>0</v>
      </c>
      <c r="J924" s="1228"/>
      <c r="K924" s="1231"/>
      <c r="L924" s="1233"/>
    </row>
    <row r="925" spans="1:12">
      <c r="A925" s="1226"/>
      <c r="B925" s="1226"/>
      <c r="C925" s="1226"/>
      <c r="D925" s="226">
        <v>2026</v>
      </c>
      <c r="E925" s="484">
        <v>0</v>
      </c>
      <c r="F925" s="484">
        <v>0</v>
      </c>
      <c r="G925" s="484">
        <v>0</v>
      </c>
      <c r="H925" s="484">
        <v>0</v>
      </c>
      <c r="I925" s="484">
        <v>0</v>
      </c>
      <c r="J925" s="1229"/>
      <c r="K925" s="1232"/>
    </row>
    <row r="926" spans="1:12">
      <c r="A926" s="1224" t="s">
        <v>584</v>
      </c>
      <c r="B926" s="1224" t="s">
        <v>585</v>
      </c>
      <c r="C926" s="1224" t="s">
        <v>282</v>
      </c>
      <c r="D926" s="226" t="s">
        <v>3</v>
      </c>
      <c r="E926" s="484">
        <f t="shared" si="68"/>
        <v>508717.68395999999</v>
      </c>
      <c r="F926" s="484">
        <v>242209.413</v>
      </c>
      <c r="G926" s="484">
        <v>253746.75095999998</v>
      </c>
      <c r="H926" s="484">
        <v>12761.52</v>
      </c>
      <c r="I926" s="484">
        <f>SUM(I927:I931)</f>
        <v>0</v>
      </c>
      <c r="J926" s="1227" t="s">
        <v>586</v>
      </c>
      <c r="K926" s="1230" t="s">
        <v>129</v>
      </c>
    </row>
    <row r="927" spans="1:12">
      <c r="A927" s="1225"/>
      <c r="B927" s="1225"/>
      <c r="C927" s="1225"/>
      <c r="D927" s="226">
        <v>2021</v>
      </c>
      <c r="E927" s="484">
        <f t="shared" si="68"/>
        <v>179693.33100000001</v>
      </c>
      <c r="F927" s="484">
        <v>10382.057000000001</v>
      </c>
      <c r="G927" s="484">
        <v>168764.85399999999</v>
      </c>
      <c r="H927" s="484">
        <v>546.41999999999996</v>
      </c>
      <c r="I927" s="484">
        <v>0</v>
      </c>
      <c r="J927" s="1228"/>
      <c r="K927" s="1231"/>
    </row>
    <row r="928" spans="1:12">
      <c r="A928" s="1225"/>
      <c r="B928" s="1225"/>
      <c r="C928" s="1225"/>
      <c r="D928" s="226">
        <v>2022</v>
      </c>
      <c r="E928" s="484">
        <f t="shared" si="68"/>
        <v>325847.71465000004</v>
      </c>
      <c r="F928" s="484">
        <v>171730.75679000001</v>
      </c>
      <c r="G928" s="484">
        <v>145078.49695999999</v>
      </c>
      <c r="H928" s="484">
        <v>9038.4609</v>
      </c>
      <c r="I928" s="484">
        <v>0</v>
      </c>
      <c r="J928" s="1228"/>
      <c r="K928" s="1231"/>
    </row>
    <row r="929" spans="1:11">
      <c r="A929" s="1225"/>
      <c r="B929" s="1225"/>
      <c r="C929" s="1225"/>
      <c r="D929" s="226">
        <v>2023</v>
      </c>
      <c r="E929" s="484">
        <f t="shared" si="68"/>
        <v>0</v>
      </c>
      <c r="F929" s="484">
        <v>0</v>
      </c>
      <c r="G929" s="484">
        <v>0</v>
      </c>
      <c r="H929" s="484">
        <v>0</v>
      </c>
      <c r="I929" s="484">
        <v>0</v>
      </c>
      <c r="J929" s="1228"/>
      <c r="K929" s="1231"/>
    </row>
    <row r="930" spans="1:11">
      <c r="A930" s="1225"/>
      <c r="B930" s="1225"/>
      <c r="C930" s="1225"/>
      <c r="D930" s="226">
        <v>2024</v>
      </c>
      <c r="E930" s="484">
        <f t="shared" si="68"/>
        <v>0</v>
      </c>
      <c r="F930" s="484">
        <v>0</v>
      </c>
      <c r="G930" s="484">
        <v>0</v>
      </c>
      <c r="H930" s="484">
        <v>0</v>
      </c>
      <c r="I930" s="484">
        <v>0</v>
      </c>
      <c r="J930" s="1228"/>
      <c r="K930" s="1231"/>
    </row>
    <row r="931" spans="1:11">
      <c r="A931" s="1225"/>
      <c r="B931" s="1225"/>
      <c r="C931" s="1225"/>
      <c r="D931" s="226">
        <v>2025</v>
      </c>
      <c r="E931" s="484">
        <f t="shared" si="68"/>
        <v>0</v>
      </c>
      <c r="F931" s="484">
        <v>0</v>
      </c>
      <c r="G931" s="484">
        <v>0</v>
      </c>
      <c r="H931" s="484">
        <v>0</v>
      </c>
      <c r="I931" s="484">
        <v>0</v>
      </c>
      <c r="J931" s="1228"/>
      <c r="K931" s="1231"/>
    </row>
    <row r="932" spans="1:11">
      <c r="A932" s="1226"/>
      <c r="B932" s="1226"/>
      <c r="C932" s="1226"/>
      <c r="D932" s="226">
        <v>2026</v>
      </c>
      <c r="E932" s="484">
        <v>0</v>
      </c>
      <c r="F932" s="484">
        <v>0</v>
      </c>
      <c r="G932" s="484">
        <v>0</v>
      </c>
      <c r="H932" s="484">
        <v>0</v>
      </c>
      <c r="I932" s="484">
        <v>0</v>
      </c>
      <c r="J932" s="1229"/>
      <c r="K932" s="1232"/>
    </row>
    <row r="933" spans="1:11">
      <c r="A933" s="1224" t="s">
        <v>587</v>
      </c>
      <c r="B933" s="1224" t="s">
        <v>131</v>
      </c>
      <c r="C933" s="1224" t="s">
        <v>588</v>
      </c>
      <c r="D933" s="226" t="s">
        <v>3</v>
      </c>
      <c r="E933" s="484">
        <f t="shared" si="68"/>
        <v>349770.91488999996</v>
      </c>
      <c r="F933" s="484">
        <f>SUM(F934:F938)</f>
        <v>211260.91915</v>
      </c>
      <c r="G933" s="484">
        <f>SUM(G934:G938)</f>
        <v>127391</v>
      </c>
      <c r="H933" s="484">
        <f>SUM(H934:H938)</f>
        <v>11118.995739999975</v>
      </c>
      <c r="I933" s="484">
        <f>SUM(I934:I938)</f>
        <v>0</v>
      </c>
      <c r="J933" s="1236" t="s">
        <v>589</v>
      </c>
      <c r="K933" s="1230" t="s">
        <v>129</v>
      </c>
    </row>
    <row r="934" spans="1:11">
      <c r="A934" s="1225"/>
      <c r="B934" s="1225"/>
      <c r="C934" s="1225"/>
      <c r="D934" s="226">
        <v>2021</v>
      </c>
      <c r="E934" s="484">
        <f t="shared" si="68"/>
        <v>0</v>
      </c>
      <c r="F934" s="484">
        <v>0</v>
      </c>
      <c r="G934" s="484">
        <v>0</v>
      </c>
      <c r="H934" s="484">
        <v>0</v>
      </c>
      <c r="I934" s="484">
        <v>0</v>
      </c>
      <c r="J934" s="1237"/>
      <c r="K934" s="1231"/>
    </row>
    <row r="935" spans="1:11">
      <c r="A935" s="1225"/>
      <c r="B935" s="1225"/>
      <c r="C935" s="1225"/>
      <c r="D935" s="226">
        <v>2022</v>
      </c>
      <c r="E935" s="484">
        <f t="shared" si="68"/>
        <v>0</v>
      </c>
      <c r="F935" s="484">
        <v>0</v>
      </c>
      <c r="G935" s="484">
        <v>0</v>
      </c>
      <c r="H935" s="484">
        <v>0</v>
      </c>
      <c r="I935" s="484">
        <v>0</v>
      </c>
      <c r="J935" s="1237"/>
      <c r="K935" s="1231"/>
    </row>
    <row r="936" spans="1:11">
      <c r="A936" s="1225"/>
      <c r="B936" s="1225"/>
      <c r="C936" s="1225"/>
      <c r="D936" s="226">
        <v>2023</v>
      </c>
      <c r="E936" s="484">
        <f t="shared" si="68"/>
        <v>135522.91488999996</v>
      </c>
      <c r="F936" s="484">
        <f>(135116319.15-127391000)/1000</f>
        <v>7725.3191500000057</v>
      </c>
      <c r="G936" s="484">
        <v>127391</v>
      </c>
      <c r="H936" s="484">
        <f>135522914.89/1000-F936-G936</f>
        <v>406.59573999997519</v>
      </c>
      <c r="I936" s="484">
        <v>0</v>
      </c>
      <c r="J936" s="1237"/>
      <c r="K936" s="1231"/>
    </row>
    <row r="937" spans="1:11">
      <c r="A937" s="1225"/>
      <c r="B937" s="1225"/>
      <c r="C937" s="1225"/>
      <c r="D937" s="226">
        <v>2024</v>
      </c>
      <c r="E937" s="484">
        <f t="shared" si="68"/>
        <v>214248</v>
      </c>
      <c r="F937" s="484">
        <v>203535.6</v>
      </c>
      <c r="G937" s="484">
        <v>0</v>
      </c>
      <c r="H937" s="484">
        <v>10712.4</v>
      </c>
      <c r="I937" s="484">
        <v>0</v>
      </c>
      <c r="J937" s="1237"/>
      <c r="K937" s="1231"/>
    </row>
    <row r="938" spans="1:11">
      <c r="A938" s="1225"/>
      <c r="B938" s="1225"/>
      <c r="C938" s="1225"/>
      <c r="D938" s="226">
        <v>2025</v>
      </c>
      <c r="E938" s="484">
        <f t="shared" si="68"/>
        <v>0</v>
      </c>
      <c r="F938" s="484">
        <v>0</v>
      </c>
      <c r="G938" s="484">
        <v>0</v>
      </c>
      <c r="H938" s="484">
        <v>0</v>
      </c>
      <c r="I938" s="484">
        <v>0</v>
      </c>
      <c r="J938" s="1237"/>
      <c r="K938" s="1231"/>
    </row>
    <row r="939" spans="1:11">
      <c r="A939" s="1226"/>
      <c r="B939" s="1226"/>
      <c r="C939" s="1226"/>
      <c r="D939" s="226">
        <v>2026</v>
      </c>
      <c r="E939" s="484">
        <v>0</v>
      </c>
      <c r="F939" s="484">
        <v>0</v>
      </c>
      <c r="G939" s="484">
        <v>0</v>
      </c>
      <c r="H939" s="484">
        <v>0</v>
      </c>
      <c r="I939" s="484">
        <v>0</v>
      </c>
      <c r="J939" s="1238"/>
      <c r="K939" s="1232"/>
    </row>
    <row r="940" spans="1:11">
      <c r="A940" s="1224" t="s">
        <v>590</v>
      </c>
      <c r="B940" s="1224" t="s">
        <v>591</v>
      </c>
      <c r="C940" s="1224" t="s">
        <v>235</v>
      </c>
      <c r="D940" s="226" t="s">
        <v>3</v>
      </c>
      <c r="E940" s="484">
        <f t="shared" si="68"/>
        <v>317053.64046000002</v>
      </c>
      <c r="F940" s="484">
        <f>SUM(F941:F946)</f>
        <v>317053.64046000002</v>
      </c>
      <c r="G940" s="484">
        <f>SUM(G941:G945)</f>
        <v>0</v>
      </c>
      <c r="H940" s="484">
        <f>SUM(H941:H945)</f>
        <v>0</v>
      </c>
      <c r="I940" s="484">
        <f>SUM(I941:I945)</f>
        <v>0</v>
      </c>
      <c r="J940" s="1227"/>
      <c r="K940" s="1230" t="s">
        <v>65</v>
      </c>
    </row>
    <row r="941" spans="1:11">
      <c r="A941" s="1225"/>
      <c r="B941" s="1225"/>
      <c r="C941" s="1225"/>
      <c r="D941" s="226">
        <v>2021</v>
      </c>
      <c r="E941" s="484">
        <f t="shared" si="68"/>
        <v>40456.699999999997</v>
      </c>
      <c r="F941" s="484">
        <f t="shared" ref="F941:I945" si="69">F948</f>
        <v>40456.699999999997</v>
      </c>
      <c r="G941" s="484">
        <f t="shared" si="69"/>
        <v>0</v>
      </c>
      <c r="H941" s="484">
        <f t="shared" si="69"/>
        <v>0</v>
      </c>
      <c r="I941" s="484">
        <f t="shared" si="69"/>
        <v>0</v>
      </c>
      <c r="J941" s="1228"/>
      <c r="K941" s="1231"/>
    </row>
    <row r="942" spans="1:11">
      <c r="A942" s="1225"/>
      <c r="B942" s="1225"/>
      <c r="C942" s="1225"/>
      <c r="D942" s="226">
        <v>2022</v>
      </c>
      <c r="E942" s="484">
        <f t="shared" si="68"/>
        <v>50867.625999999997</v>
      </c>
      <c r="F942" s="484">
        <f t="shared" si="69"/>
        <v>50867.625999999997</v>
      </c>
      <c r="G942" s="484">
        <f t="shared" si="69"/>
        <v>0</v>
      </c>
      <c r="H942" s="484">
        <f t="shared" si="69"/>
        <v>0</v>
      </c>
      <c r="I942" s="484">
        <f t="shared" si="69"/>
        <v>0</v>
      </c>
      <c r="J942" s="1228"/>
      <c r="K942" s="1231"/>
    </row>
    <row r="943" spans="1:11">
      <c r="A943" s="1225"/>
      <c r="B943" s="1225"/>
      <c r="C943" s="1225"/>
      <c r="D943" s="226">
        <v>2023</v>
      </c>
      <c r="E943" s="484">
        <f t="shared" si="68"/>
        <v>54796.042999999998</v>
      </c>
      <c r="F943" s="484">
        <f t="shared" si="69"/>
        <v>54796.042999999998</v>
      </c>
      <c r="G943" s="484">
        <f t="shared" si="69"/>
        <v>0</v>
      </c>
      <c r="H943" s="484">
        <f t="shared" si="69"/>
        <v>0</v>
      </c>
      <c r="I943" s="484">
        <f t="shared" si="69"/>
        <v>0</v>
      </c>
      <c r="J943" s="1228"/>
      <c r="K943" s="1231"/>
    </row>
    <row r="944" spans="1:11">
      <c r="A944" s="1225"/>
      <c r="B944" s="1225"/>
      <c r="C944" s="1225"/>
      <c r="D944" s="226">
        <v>2024</v>
      </c>
      <c r="E944" s="484">
        <f t="shared" si="68"/>
        <v>56948.595869999997</v>
      </c>
      <c r="F944" s="484">
        <f t="shared" si="69"/>
        <v>56948.595869999997</v>
      </c>
      <c r="G944" s="484">
        <f t="shared" si="69"/>
        <v>0</v>
      </c>
      <c r="H944" s="484">
        <f t="shared" si="69"/>
        <v>0</v>
      </c>
      <c r="I944" s="484">
        <f t="shared" si="69"/>
        <v>0</v>
      </c>
      <c r="J944" s="1228"/>
      <c r="K944" s="1231"/>
    </row>
    <row r="945" spans="1:11">
      <c r="A945" s="1225"/>
      <c r="B945" s="1225"/>
      <c r="C945" s="1225"/>
      <c r="D945" s="226">
        <v>2025</v>
      </c>
      <c r="E945" s="484">
        <f t="shared" si="68"/>
        <v>56974.541210000003</v>
      </c>
      <c r="F945" s="484">
        <f t="shared" si="69"/>
        <v>56974.541210000003</v>
      </c>
      <c r="G945" s="484">
        <f t="shared" si="69"/>
        <v>0</v>
      </c>
      <c r="H945" s="484">
        <f t="shared" si="69"/>
        <v>0</v>
      </c>
      <c r="I945" s="484">
        <f t="shared" si="69"/>
        <v>0</v>
      </c>
      <c r="J945" s="1228"/>
      <c r="K945" s="1231"/>
    </row>
    <row r="946" spans="1:11">
      <c r="A946" s="1226"/>
      <c r="B946" s="1226"/>
      <c r="C946" s="1226"/>
      <c r="D946" s="226">
        <v>2026</v>
      </c>
      <c r="E946" s="484">
        <f t="shared" si="68"/>
        <v>57010.134380000003</v>
      </c>
      <c r="F946" s="484">
        <f>SUM(F953)</f>
        <v>57010.134380000003</v>
      </c>
      <c r="G946" s="484">
        <f>SUM(G953)</f>
        <v>0</v>
      </c>
      <c r="H946" s="484">
        <f>SUM(H953)</f>
        <v>0</v>
      </c>
      <c r="I946" s="484">
        <f>SUM(I953)</f>
        <v>0</v>
      </c>
      <c r="J946" s="1229"/>
      <c r="K946" s="1232"/>
    </row>
    <row r="947" spans="1:11">
      <c r="A947" s="1224" t="s">
        <v>592</v>
      </c>
      <c r="B947" s="1224" t="s">
        <v>593</v>
      </c>
      <c r="C947" s="1224" t="s">
        <v>235</v>
      </c>
      <c r="D947" s="226" t="s">
        <v>3</v>
      </c>
      <c r="E947" s="484">
        <f t="shared" si="68"/>
        <v>317053.64046000002</v>
      </c>
      <c r="F947" s="484">
        <f>SUM(F948:F953)</f>
        <v>317053.64046000002</v>
      </c>
      <c r="G947" s="484">
        <f>SUM(G948:G952)</f>
        <v>0</v>
      </c>
      <c r="H947" s="484">
        <f>SUM(H948:H952)</f>
        <v>0</v>
      </c>
      <c r="I947" s="484">
        <f>SUM(I948:I952)</f>
        <v>0</v>
      </c>
      <c r="J947" s="1227" t="s">
        <v>594</v>
      </c>
      <c r="K947" s="1230" t="s">
        <v>65</v>
      </c>
    </row>
    <row r="948" spans="1:11">
      <c r="A948" s="1225"/>
      <c r="B948" s="1225"/>
      <c r="C948" s="1225"/>
      <c r="D948" s="226">
        <v>2021</v>
      </c>
      <c r="E948" s="484">
        <f t="shared" si="68"/>
        <v>40456.699999999997</v>
      </c>
      <c r="F948" s="484">
        <f t="shared" ref="F948:I953" si="70">F955</f>
        <v>40456.699999999997</v>
      </c>
      <c r="G948" s="484">
        <f t="shared" si="70"/>
        <v>0</v>
      </c>
      <c r="H948" s="484">
        <f t="shared" si="70"/>
        <v>0</v>
      </c>
      <c r="I948" s="484">
        <f t="shared" si="70"/>
        <v>0</v>
      </c>
      <c r="J948" s="1228"/>
      <c r="K948" s="1231"/>
    </row>
    <row r="949" spans="1:11">
      <c r="A949" s="1225"/>
      <c r="B949" s="1225"/>
      <c r="C949" s="1225"/>
      <c r="D949" s="226">
        <v>2022</v>
      </c>
      <c r="E949" s="484">
        <f t="shared" si="68"/>
        <v>50867.625999999997</v>
      </c>
      <c r="F949" s="484">
        <f t="shared" si="70"/>
        <v>50867.625999999997</v>
      </c>
      <c r="G949" s="484">
        <f t="shared" si="70"/>
        <v>0</v>
      </c>
      <c r="H949" s="484">
        <f t="shared" si="70"/>
        <v>0</v>
      </c>
      <c r="I949" s="484">
        <f t="shared" si="70"/>
        <v>0</v>
      </c>
      <c r="J949" s="1228"/>
      <c r="K949" s="1231"/>
    </row>
    <row r="950" spans="1:11">
      <c r="A950" s="1225"/>
      <c r="B950" s="1225"/>
      <c r="C950" s="1225"/>
      <c r="D950" s="226">
        <v>2023</v>
      </c>
      <c r="E950" s="484">
        <f t="shared" si="68"/>
        <v>54796.042999999998</v>
      </c>
      <c r="F950" s="484">
        <f t="shared" si="70"/>
        <v>54796.042999999998</v>
      </c>
      <c r="G950" s="484">
        <f t="shared" si="70"/>
        <v>0</v>
      </c>
      <c r="H950" s="484">
        <f t="shared" si="70"/>
        <v>0</v>
      </c>
      <c r="I950" s="484">
        <f t="shared" si="70"/>
        <v>0</v>
      </c>
      <c r="J950" s="1228"/>
      <c r="K950" s="1231"/>
    </row>
    <row r="951" spans="1:11">
      <c r="A951" s="1225"/>
      <c r="B951" s="1225"/>
      <c r="C951" s="1225"/>
      <c r="D951" s="226">
        <v>2024</v>
      </c>
      <c r="E951" s="484">
        <f t="shared" si="68"/>
        <v>56948.595869999997</v>
      </c>
      <c r="F951" s="484">
        <f t="shared" si="70"/>
        <v>56948.595869999997</v>
      </c>
      <c r="G951" s="484">
        <f t="shared" si="70"/>
        <v>0</v>
      </c>
      <c r="H951" s="484">
        <f t="shared" si="70"/>
        <v>0</v>
      </c>
      <c r="I951" s="484">
        <f t="shared" si="70"/>
        <v>0</v>
      </c>
      <c r="J951" s="1228"/>
      <c r="K951" s="1231"/>
    </row>
    <row r="952" spans="1:11">
      <c r="A952" s="1225"/>
      <c r="B952" s="1225"/>
      <c r="C952" s="1225"/>
      <c r="D952" s="226">
        <v>2025</v>
      </c>
      <c r="E952" s="484">
        <f t="shared" si="68"/>
        <v>56974.541210000003</v>
      </c>
      <c r="F952" s="484">
        <f t="shared" si="70"/>
        <v>56974.541210000003</v>
      </c>
      <c r="G952" s="484">
        <f t="shared" si="70"/>
        <v>0</v>
      </c>
      <c r="H952" s="484">
        <f t="shared" si="70"/>
        <v>0</v>
      </c>
      <c r="I952" s="484">
        <f t="shared" si="70"/>
        <v>0</v>
      </c>
      <c r="J952" s="1228"/>
      <c r="K952" s="1231"/>
    </row>
    <row r="953" spans="1:11">
      <c r="A953" s="1226"/>
      <c r="B953" s="1226"/>
      <c r="C953" s="1226"/>
      <c r="D953" s="226">
        <v>2026</v>
      </c>
      <c r="E953" s="484">
        <f t="shared" si="68"/>
        <v>57010.134380000003</v>
      </c>
      <c r="F953" s="484">
        <f t="shared" si="70"/>
        <v>57010.134380000003</v>
      </c>
      <c r="G953" s="484">
        <f t="shared" si="70"/>
        <v>0</v>
      </c>
      <c r="H953" s="484">
        <f t="shared" si="70"/>
        <v>0</v>
      </c>
      <c r="I953" s="484">
        <f t="shared" si="70"/>
        <v>0</v>
      </c>
      <c r="J953" s="1229"/>
      <c r="K953" s="1232"/>
    </row>
    <row r="954" spans="1:11">
      <c r="A954" s="1224" t="s">
        <v>595</v>
      </c>
      <c r="B954" s="1224" t="s">
        <v>86</v>
      </c>
      <c r="C954" s="1224" t="s">
        <v>235</v>
      </c>
      <c r="D954" s="226" t="s">
        <v>3</v>
      </c>
      <c r="E954" s="484">
        <f t="shared" si="68"/>
        <v>317053.64046000002</v>
      </c>
      <c r="F954" s="484">
        <f>SUM(F955:F960)</f>
        <v>317053.64046000002</v>
      </c>
      <c r="G954" s="484">
        <f>SUM(G955:G959)</f>
        <v>0</v>
      </c>
      <c r="H954" s="484">
        <f>SUM(H955:H959)</f>
        <v>0</v>
      </c>
      <c r="I954" s="484">
        <f>SUM(I955:I959)</f>
        <v>0</v>
      </c>
      <c r="J954" s="1227" t="s">
        <v>85</v>
      </c>
      <c r="K954" s="1230" t="s">
        <v>65</v>
      </c>
    </row>
    <row r="955" spans="1:11">
      <c r="A955" s="1225"/>
      <c r="B955" s="1225"/>
      <c r="C955" s="1225"/>
      <c r="D955" s="226">
        <v>2021</v>
      </c>
      <c r="E955" s="484">
        <f t="shared" si="68"/>
        <v>40456.699999999997</v>
      </c>
      <c r="F955" s="484">
        <v>40456.699999999997</v>
      </c>
      <c r="G955" s="484">
        <v>0</v>
      </c>
      <c r="H955" s="484">
        <v>0</v>
      </c>
      <c r="I955" s="484">
        <v>0</v>
      </c>
      <c r="J955" s="1228"/>
      <c r="K955" s="1231"/>
    </row>
    <row r="956" spans="1:11">
      <c r="A956" s="1225"/>
      <c r="B956" s="1225"/>
      <c r="C956" s="1225"/>
      <c r="D956" s="226">
        <v>2022</v>
      </c>
      <c r="E956" s="484">
        <f t="shared" si="68"/>
        <v>50867.625999999997</v>
      </c>
      <c r="F956" s="484">
        <v>50867.625999999997</v>
      </c>
      <c r="G956" s="484">
        <v>0</v>
      </c>
      <c r="H956" s="484">
        <v>0</v>
      </c>
      <c r="I956" s="484">
        <v>0</v>
      </c>
      <c r="J956" s="1228"/>
      <c r="K956" s="1231"/>
    </row>
    <row r="957" spans="1:11">
      <c r="A957" s="1225"/>
      <c r="B957" s="1225"/>
      <c r="C957" s="1225"/>
      <c r="D957" s="226">
        <v>2023</v>
      </c>
      <c r="E957" s="484">
        <f t="shared" si="68"/>
        <v>54796.042999999998</v>
      </c>
      <c r="F957" s="484">
        <f>54125.195+670.848</f>
        <v>54796.042999999998</v>
      </c>
      <c r="G957" s="484">
        <v>0</v>
      </c>
      <c r="H957" s="484">
        <v>0</v>
      </c>
      <c r="I957" s="484">
        <v>0</v>
      </c>
      <c r="J957" s="1228"/>
      <c r="K957" s="1231"/>
    </row>
    <row r="958" spans="1:11">
      <c r="A958" s="1225"/>
      <c r="B958" s="1225"/>
      <c r="C958" s="1225"/>
      <c r="D958" s="226">
        <v>2024</v>
      </c>
      <c r="E958" s="484">
        <f t="shared" si="68"/>
        <v>56948.595869999997</v>
      </c>
      <c r="F958" s="484">
        <v>56948.595869999997</v>
      </c>
      <c r="G958" s="484">
        <v>0</v>
      </c>
      <c r="H958" s="484">
        <v>0</v>
      </c>
      <c r="I958" s="484">
        <v>0</v>
      </c>
      <c r="J958" s="1228"/>
      <c r="K958" s="1231"/>
    </row>
    <row r="959" spans="1:11">
      <c r="A959" s="1225"/>
      <c r="B959" s="1225"/>
      <c r="C959" s="1225"/>
      <c r="D959" s="226">
        <v>2025</v>
      </c>
      <c r="E959" s="484">
        <f t="shared" si="68"/>
        <v>56974.541210000003</v>
      </c>
      <c r="F959" s="484">
        <v>56974.541210000003</v>
      </c>
      <c r="G959" s="484">
        <v>0</v>
      </c>
      <c r="H959" s="484">
        <v>0</v>
      </c>
      <c r="I959" s="484">
        <v>0</v>
      </c>
      <c r="J959" s="1228"/>
      <c r="K959" s="1231"/>
    </row>
    <row r="960" spans="1:11">
      <c r="A960" s="1226"/>
      <c r="B960" s="1226"/>
      <c r="C960" s="1226"/>
      <c r="D960" s="226">
        <v>2026</v>
      </c>
      <c r="E960" s="484">
        <f>F960+G960+H960+I960</f>
        <v>57010.134380000003</v>
      </c>
      <c r="F960" s="484">
        <v>57010.134380000003</v>
      </c>
      <c r="G960" s="484"/>
      <c r="H960" s="484"/>
      <c r="I960" s="484"/>
      <c r="J960" s="1229"/>
      <c r="K960" s="1232"/>
    </row>
    <row r="962" spans="1:9">
      <c r="A962" s="231" t="s">
        <v>596</v>
      </c>
      <c r="C962" s="231"/>
      <c r="D962" s="231"/>
      <c r="E962" s="487"/>
      <c r="F962" s="487"/>
      <c r="G962" s="487"/>
      <c r="H962" s="487"/>
      <c r="I962" s="487"/>
    </row>
  </sheetData>
  <mergeCells count="708">
    <mergeCell ref="A954:A960"/>
    <mergeCell ref="B954:B960"/>
    <mergeCell ref="C954:C960"/>
    <mergeCell ref="J954:J960"/>
    <mergeCell ref="K954:K960"/>
    <mergeCell ref="A940:A946"/>
    <mergeCell ref="B940:B946"/>
    <mergeCell ref="C940:C946"/>
    <mergeCell ref="J940:J946"/>
    <mergeCell ref="K940:K946"/>
    <mergeCell ref="A947:A953"/>
    <mergeCell ref="B947:B953"/>
    <mergeCell ref="C947:C953"/>
    <mergeCell ref="J947:J953"/>
    <mergeCell ref="K947:K953"/>
    <mergeCell ref="A926:A932"/>
    <mergeCell ref="B926:B932"/>
    <mergeCell ref="C926:C932"/>
    <mergeCell ref="J926:J932"/>
    <mergeCell ref="K926:K932"/>
    <mergeCell ref="A933:A939"/>
    <mergeCell ref="B933:B939"/>
    <mergeCell ref="C933:C939"/>
    <mergeCell ref="J933:J939"/>
    <mergeCell ref="K933:K939"/>
    <mergeCell ref="A919:A925"/>
    <mergeCell ref="B919:B925"/>
    <mergeCell ref="C919:C925"/>
    <mergeCell ref="J919:J925"/>
    <mergeCell ref="K919:K925"/>
    <mergeCell ref="L919:L924"/>
    <mergeCell ref="A912:A918"/>
    <mergeCell ref="B912:B918"/>
    <mergeCell ref="C912:C918"/>
    <mergeCell ref="J912:J918"/>
    <mergeCell ref="K912:K918"/>
    <mergeCell ref="L912:L917"/>
    <mergeCell ref="A898:A904"/>
    <mergeCell ref="B898:B904"/>
    <mergeCell ref="C898:C904"/>
    <mergeCell ref="J898:J904"/>
    <mergeCell ref="K898:K904"/>
    <mergeCell ref="A905:A911"/>
    <mergeCell ref="B905:B911"/>
    <mergeCell ref="C905:C911"/>
    <mergeCell ref="J905:J911"/>
    <mergeCell ref="K905:K911"/>
    <mergeCell ref="A884:A890"/>
    <mergeCell ref="B884:B890"/>
    <mergeCell ref="C884:C890"/>
    <mergeCell ref="J884:J890"/>
    <mergeCell ref="K884:K890"/>
    <mergeCell ref="A891:A897"/>
    <mergeCell ref="B891:B897"/>
    <mergeCell ref="C891:C897"/>
    <mergeCell ref="J891:J897"/>
    <mergeCell ref="K891:K897"/>
    <mergeCell ref="A870:A876"/>
    <mergeCell ref="B870:B876"/>
    <mergeCell ref="C870:C876"/>
    <mergeCell ref="J870:J876"/>
    <mergeCell ref="K870:K876"/>
    <mergeCell ref="A877:A883"/>
    <mergeCell ref="B877:B883"/>
    <mergeCell ref="C877:C883"/>
    <mergeCell ref="J877:J883"/>
    <mergeCell ref="K877:K883"/>
    <mergeCell ref="A856:A862"/>
    <mergeCell ref="B856:B862"/>
    <mergeCell ref="C856:C862"/>
    <mergeCell ref="J856:J862"/>
    <mergeCell ref="K856:K862"/>
    <mergeCell ref="A863:A869"/>
    <mergeCell ref="B863:B869"/>
    <mergeCell ref="C863:C869"/>
    <mergeCell ref="J863:J869"/>
    <mergeCell ref="K863:K869"/>
    <mergeCell ref="A842:A848"/>
    <mergeCell ref="B842:B848"/>
    <mergeCell ref="C842:C848"/>
    <mergeCell ref="J842:J848"/>
    <mergeCell ref="K842:K848"/>
    <mergeCell ref="A849:A855"/>
    <mergeCell ref="B849:B855"/>
    <mergeCell ref="C849:C855"/>
    <mergeCell ref="J849:J855"/>
    <mergeCell ref="K849:K855"/>
    <mergeCell ref="A828:A834"/>
    <mergeCell ref="B828:B834"/>
    <mergeCell ref="C828:C834"/>
    <mergeCell ref="J828:J834"/>
    <mergeCell ref="K828:K834"/>
    <mergeCell ref="A835:A841"/>
    <mergeCell ref="B835:B841"/>
    <mergeCell ref="C835:C841"/>
    <mergeCell ref="J835:J841"/>
    <mergeCell ref="K835:K841"/>
    <mergeCell ref="A814:A820"/>
    <mergeCell ref="B814:B820"/>
    <mergeCell ref="C814:C820"/>
    <mergeCell ref="J814:J820"/>
    <mergeCell ref="K814:K820"/>
    <mergeCell ref="A821:A827"/>
    <mergeCell ref="B821:B827"/>
    <mergeCell ref="C821:C827"/>
    <mergeCell ref="J821:J827"/>
    <mergeCell ref="K821:K827"/>
    <mergeCell ref="A800:A806"/>
    <mergeCell ref="B800:B806"/>
    <mergeCell ref="C800:C806"/>
    <mergeCell ref="J800:J806"/>
    <mergeCell ref="K800:K806"/>
    <mergeCell ref="A807:A813"/>
    <mergeCell ref="B807:B813"/>
    <mergeCell ref="C807:C813"/>
    <mergeCell ref="J807:J813"/>
    <mergeCell ref="K807:K813"/>
    <mergeCell ref="A786:A792"/>
    <mergeCell ref="B786:B792"/>
    <mergeCell ref="C786:C792"/>
    <mergeCell ref="J786:J792"/>
    <mergeCell ref="K786:K792"/>
    <mergeCell ref="A793:A799"/>
    <mergeCell ref="B793:B799"/>
    <mergeCell ref="C793:C799"/>
    <mergeCell ref="J793:J799"/>
    <mergeCell ref="K793:K799"/>
    <mergeCell ref="A772:A778"/>
    <mergeCell ref="B772:B778"/>
    <mergeCell ref="C772:C778"/>
    <mergeCell ref="J772:J778"/>
    <mergeCell ref="K772:K778"/>
    <mergeCell ref="A779:A785"/>
    <mergeCell ref="B779:B785"/>
    <mergeCell ref="C779:C785"/>
    <mergeCell ref="J779:J785"/>
    <mergeCell ref="K779:K785"/>
    <mergeCell ref="A758:A764"/>
    <mergeCell ref="B758:B764"/>
    <mergeCell ref="C758:C764"/>
    <mergeCell ref="J758:J764"/>
    <mergeCell ref="K758:K764"/>
    <mergeCell ref="A765:A771"/>
    <mergeCell ref="B765:B771"/>
    <mergeCell ref="C765:C771"/>
    <mergeCell ref="J765:J771"/>
    <mergeCell ref="K765:K771"/>
    <mergeCell ref="A744:A750"/>
    <mergeCell ref="B744:B750"/>
    <mergeCell ref="C744:C750"/>
    <mergeCell ref="J744:J750"/>
    <mergeCell ref="K744:K750"/>
    <mergeCell ref="A751:A757"/>
    <mergeCell ref="B751:B757"/>
    <mergeCell ref="C751:C757"/>
    <mergeCell ref="J751:J757"/>
    <mergeCell ref="K751:K757"/>
    <mergeCell ref="A730:A736"/>
    <mergeCell ref="B730:B736"/>
    <mergeCell ref="C730:C736"/>
    <mergeCell ref="J730:J736"/>
    <mergeCell ref="K730:K736"/>
    <mergeCell ref="A737:A743"/>
    <mergeCell ref="B737:B743"/>
    <mergeCell ref="C737:C743"/>
    <mergeCell ref="J737:J743"/>
    <mergeCell ref="K737:K743"/>
    <mergeCell ref="A716:A722"/>
    <mergeCell ref="B716:B722"/>
    <mergeCell ref="C716:C722"/>
    <mergeCell ref="J716:J722"/>
    <mergeCell ref="K716:K722"/>
    <mergeCell ref="A723:A729"/>
    <mergeCell ref="B723:B729"/>
    <mergeCell ref="C723:C729"/>
    <mergeCell ref="J723:J729"/>
    <mergeCell ref="K723:K729"/>
    <mergeCell ref="A702:A708"/>
    <mergeCell ref="B702:B708"/>
    <mergeCell ref="C702:C708"/>
    <mergeCell ref="J702:J708"/>
    <mergeCell ref="K702:K708"/>
    <mergeCell ref="A709:A715"/>
    <mergeCell ref="B709:B715"/>
    <mergeCell ref="C709:C715"/>
    <mergeCell ref="J709:J715"/>
    <mergeCell ref="K709:K715"/>
    <mergeCell ref="A688:A694"/>
    <mergeCell ref="B688:B694"/>
    <mergeCell ref="C688:C694"/>
    <mergeCell ref="J688:J694"/>
    <mergeCell ref="K688:K694"/>
    <mergeCell ref="A695:A701"/>
    <mergeCell ref="B695:B701"/>
    <mergeCell ref="C695:C701"/>
    <mergeCell ref="J695:J701"/>
    <mergeCell ref="K695:K701"/>
    <mergeCell ref="A674:A680"/>
    <mergeCell ref="B674:B680"/>
    <mergeCell ref="C674:C680"/>
    <mergeCell ref="J674:J680"/>
    <mergeCell ref="K674:K680"/>
    <mergeCell ref="A681:A687"/>
    <mergeCell ref="B681:B687"/>
    <mergeCell ref="C681:C687"/>
    <mergeCell ref="J681:J687"/>
    <mergeCell ref="K681:K687"/>
    <mergeCell ref="A660:A666"/>
    <mergeCell ref="B660:B666"/>
    <mergeCell ref="C660:C666"/>
    <mergeCell ref="J660:J666"/>
    <mergeCell ref="K660:K666"/>
    <mergeCell ref="A667:A673"/>
    <mergeCell ref="B667:B673"/>
    <mergeCell ref="C667:C673"/>
    <mergeCell ref="J667:J673"/>
    <mergeCell ref="K667:K673"/>
    <mergeCell ref="A646:A652"/>
    <mergeCell ref="B646:B652"/>
    <mergeCell ref="C646:C652"/>
    <mergeCell ref="J646:J652"/>
    <mergeCell ref="K646:K652"/>
    <mergeCell ref="A653:A659"/>
    <mergeCell ref="B653:B659"/>
    <mergeCell ref="C653:C659"/>
    <mergeCell ref="J653:J659"/>
    <mergeCell ref="K653:K659"/>
    <mergeCell ref="A632:A638"/>
    <mergeCell ref="B632:B638"/>
    <mergeCell ref="C632:C638"/>
    <mergeCell ref="J632:J638"/>
    <mergeCell ref="K632:K638"/>
    <mergeCell ref="A639:A645"/>
    <mergeCell ref="B639:B645"/>
    <mergeCell ref="C639:C645"/>
    <mergeCell ref="J639:J645"/>
    <mergeCell ref="K639:K645"/>
    <mergeCell ref="A618:A624"/>
    <mergeCell ref="B618:B624"/>
    <mergeCell ref="C618:C624"/>
    <mergeCell ref="J618:J624"/>
    <mergeCell ref="K618:K624"/>
    <mergeCell ref="A625:A631"/>
    <mergeCell ref="B625:B631"/>
    <mergeCell ref="C625:C631"/>
    <mergeCell ref="J625:J631"/>
    <mergeCell ref="K625:K631"/>
    <mergeCell ref="A604:A610"/>
    <mergeCell ref="B604:B610"/>
    <mergeCell ref="C604:C610"/>
    <mergeCell ref="J604:J610"/>
    <mergeCell ref="K604:K610"/>
    <mergeCell ref="A611:A617"/>
    <mergeCell ref="B611:B617"/>
    <mergeCell ref="C611:C617"/>
    <mergeCell ref="J611:J617"/>
    <mergeCell ref="K611:K617"/>
    <mergeCell ref="A590:A596"/>
    <mergeCell ref="B590:B596"/>
    <mergeCell ref="C590:C596"/>
    <mergeCell ref="J590:J596"/>
    <mergeCell ref="K590:K596"/>
    <mergeCell ref="A597:A603"/>
    <mergeCell ref="B597:B603"/>
    <mergeCell ref="C597:C603"/>
    <mergeCell ref="J597:J603"/>
    <mergeCell ref="K597:K603"/>
    <mergeCell ref="A576:A582"/>
    <mergeCell ref="B576:B582"/>
    <mergeCell ref="C576:C582"/>
    <mergeCell ref="J576:J582"/>
    <mergeCell ref="K576:K582"/>
    <mergeCell ref="A583:A589"/>
    <mergeCell ref="B583:B589"/>
    <mergeCell ref="C583:C589"/>
    <mergeCell ref="J583:J589"/>
    <mergeCell ref="K583:K589"/>
    <mergeCell ref="A562:A568"/>
    <mergeCell ref="B562:B568"/>
    <mergeCell ref="C562:C568"/>
    <mergeCell ref="J562:J568"/>
    <mergeCell ref="K562:K568"/>
    <mergeCell ref="A569:A575"/>
    <mergeCell ref="B569:B575"/>
    <mergeCell ref="C569:C575"/>
    <mergeCell ref="J569:J575"/>
    <mergeCell ref="K569:K575"/>
    <mergeCell ref="L548:L550"/>
    <mergeCell ref="A555:A561"/>
    <mergeCell ref="B555:B561"/>
    <mergeCell ref="C555:C561"/>
    <mergeCell ref="J555:J561"/>
    <mergeCell ref="K555:K561"/>
    <mergeCell ref="A541:A547"/>
    <mergeCell ref="B541:B547"/>
    <mergeCell ref="C541:C547"/>
    <mergeCell ref="J541:J547"/>
    <mergeCell ref="K541:K547"/>
    <mergeCell ref="A548:A554"/>
    <mergeCell ref="B548:B554"/>
    <mergeCell ref="C548:C554"/>
    <mergeCell ref="J548:J554"/>
    <mergeCell ref="K548:K554"/>
    <mergeCell ref="L527:L533"/>
    <mergeCell ref="A534:A540"/>
    <mergeCell ref="B534:B540"/>
    <mergeCell ref="C534:C540"/>
    <mergeCell ref="J534:J540"/>
    <mergeCell ref="K534:K540"/>
    <mergeCell ref="A520:A526"/>
    <mergeCell ref="B520:B526"/>
    <mergeCell ref="C520:C526"/>
    <mergeCell ref="J520:J526"/>
    <mergeCell ref="K520:K526"/>
    <mergeCell ref="A527:A533"/>
    <mergeCell ref="B527:B533"/>
    <mergeCell ref="C527:C533"/>
    <mergeCell ref="J527:J533"/>
    <mergeCell ref="K527:K533"/>
    <mergeCell ref="A513:A519"/>
    <mergeCell ref="B513:B519"/>
    <mergeCell ref="C513:C519"/>
    <mergeCell ref="J513:J519"/>
    <mergeCell ref="K513:K519"/>
    <mergeCell ref="L513:L519"/>
    <mergeCell ref="A499:A505"/>
    <mergeCell ref="B499:B505"/>
    <mergeCell ref="C499:C505"/>
    <mergeCell ref="J499:J505"/>
    <mergeCell ref="K499:K505"/>
    <mergeCell ref="A506:A512"/>
    <mergeCell ref="B506:B512"/>
    <mergeCell ref="C506:C512"/>
    <mergeCell ref="J506:J512"/>
    <mergeCell ref="K506:K512"/>
    <mergeCell ref="A485:A491"/>
    <mergeCell ref="B485:B491"/>
    <mergeCell ref="C485:C491"/>
    <mergeCell ref="J485:J491"/>
    <mergeCell ref="K485:K491"/>
    <mergeCell ref="A492:A498"/>
    <mergeCell ref="B492:B498"/>
    <mergeCell ref="C492:C498"/>
    <mergeCell ref="J492:J498"/>
    <mergeCell ref="K492:K498"/>
    <mergeCell ref="A478:A484"/>
    <mergeCell ref="B478:B484"/>
    <mergeCell ref="C478:C484"/>
    <mergeCell ref="J478:J484"/>
    <mergeCell ref="K478:K484"/>
    <mergeCell ref="L478:L484"/>
    <mergeCell ref="A471:A477"/>
    <mergeCell ref="B471:B477"/>
    <mergeCell ref="C471:C477"/>
    <mergeCell ref="J471:J477"/>
    <mergeCell ref="K471:K477"/>
    <mergeCell ref="L471:L477"/>
    <mergeCell ref="A464:A470"/>
    <mergeCell ref="B464:B470"/>
    <mergeCell ref="C464:C470"/>
    <mergeCell ref="J464:J470"/>
    <mergeCell ref="K464:K470"/>
    <mergeCell ref="L464:L470"/>
    <mergeCell ref="A450:A456"/>
    <mergeCell ref="B450:B456"/>
    <mergeCell ref="C450:C456"/>
    <mergeCell ref="J450:J456"/>
    <mergeCell ref="K450:K456"/>
    <mergeCell ref="A457:A463"/>
    <mergeCell ref="B457:B463"/>
    <mergeCell ref="C457:C463"/>
    <mergeCell ref="J457:J463"/>
    <mergeCell ref="K457:K463"/>
    <mergeCell ref="A436:A442"/>
    <mergeCell ref="B436:B442"/>
    <mergeCell ref="C436:C442"/>
    <mergeCell ref="J436:J442"/>
    <mergeCell ref="K436:K442"/>
    <mergeCell ref="A443:A449"/>
    <mergeCell ref="B443:B449"/>
    <mergeCell ref="C443:C449"/>
    <mergeCell ref="J443:J449"/>
    <mergeCell ref="K443:K449"/>
    <mergeCell ref="A422:A428"/>
    <mergeCell ref="B422:B428"/>
    <mergeCell ref="C422:C428"/>
    <mergeCell ref="J422:J428"/>
    <mergeCell ref="K422:K428"/>
    <mergeCell ref="A429:A435"/>
    <mergeCell ref="B429:B435"/>
    <mergeCell ref="C429:C435"/>
    <mergeCell ref="J429:J435"/>
    <mergeCell ref="K429:K435"/>
    <mergeCell ref="A408:A414"/>
    <mergeCell ref="B408:B414"/>
    <mergeCell ref="C408:C414"/>
    <mergeCell ref="J408:J414"/>
    <mergeCell ref="K408:K414"/>
    <mergeCell ref="A415:A421"/>
    <mergeCell ref="B415:B421"/>
    <mergeCell ref="C415:C421"/>
    <mergeCell ref="J415:J421"/>
    <mergeCell ref="K415:K421"/>
    <mergeCell ref="A396:A401"/>
    <mergeCell ref="B396:B401"/>
    <mergeCell ref="C396:C401"/>
    <mergeCell ref="J396:J401"/>
    <mergeCell ref="K396:K401"/>
    <mergeCell ref="A402:A407"/>
    <mergeCell ref="B402:B407"/>
    <mergeCell ref="C402:C407"/>
    <mergeCell ref="J402:J407"/>
    <mergeCell ref="K402:K407"/>
    <mergeCell ref="A382:A388"/>
    <mergeCell ref="B382:B388"/>
    <mergeCell ref="C382:C388"/>
    <mergeCell ref="J382:J388"/>
    <mergeCell ref="K382:K388"/>
    <mergeCell ref="A389:A395"/>
    <mergeCell ref="B389:B395"/>
    <mergeCell ref="C389:C395"/>
    <mergeCell ref="J389:J395"/>
    <mergeCell ref="K389:K395"/>
    <mergeCell ref="A368:A374"/>
    <mergeCell ref="B368:B374"/>
    <mergeCell ref="C368:C374"/>
    <mergeCell ref="J368:J374"/>
    <mergeCell ref="K368:K374"/>
    <mergeCell ref="A375:A381"/>
    <mergeCell ref="B375:B381"/>
    <mergeCell ref="C375:C381"/>
    <mergeCell ref="J375:J381"/>
    <mergeCell ref="K375:K381"/>
    <mergeCell ref="A354:A360"/>
    <mergeCell ref="B354:B360"/>
    <mergeCell ref="C354:C360"/>
    <mergeCell ref="J354:J360"/>
    <mergeCell ref="K354:K360"/>
    <mergeCell ref="A361:A367"/>
    <mergeCell ref="B361:B367"/>
    <mergeCell ref="C361:C367"/>
    <mergeCell ref="J361:J367"/>
    <mergeCell ref="K361:K367"/>
    <mergeCell ref="A340:A346"/>
    <mergeCell ref="B340:B346"/>
    <mergeCell ref="C340:C346"/>
    <mergeCell ref="J340:J346"/>
    <mergeCell ref="K340:K346"/>
    <mergeCell ref="A347:A353"/>
    <mergeCell ref="B347:B353"/>
    <mergeCell ref="C347:C353"/>
    <mergeCell ref="J347:J353"/>
    <mergeCell ref="K347:K353"/>
    <mergeCell ref="A326:A332"/>
    <mergeCell ref="B326:B332"/>
    <mergeCell ref="C326:C332"/>
    <mergeCell ref="J326:J332"/>
    <mergeCell ref="K326:K332"/>
    <mergeCell ref="A333:A339"/>
    <mergeCell ref="B333:B339"/>
    <mergeCell ref="C333:C339"/>
    <mergeCell ref="J333:J339"/>
    <mergeCell ref="K333:K339"/>
    <mergeCell ref="A312:A318"/>
    <mergeCell ref="B312:B318"/>
    <mergeCell ref="C312:C318"/>
    <mergeCell ref="J312:J318"/>
    <mergeCell ref="K312:K318"/>
    <mergeCell ref="A319:A325"/>
    <mergeCell ref="B319:B325"/>
    <mergeCell ref="C319:C325"/>
    <mergeCell ref="J319:J325"/>
    <mergeCell ref="K319:K325"/>
    <mergeCell ref="A298:A304"/>
    <mergeCell ref="B298:B304"/>
    <mergeCell ref="C298:C304"/>
    <mergeCell ref="J298:J304"/>
    <mergeCell ref="K298:K304"/>
    <mergeCell ref="A305:A311"/>
    <mergeCell ref="B305:B311"/>
    <mergeCell ref="C305:C311"/>
    <mergeCell ref="J305:J311"/>
    <mergeCell ref="K305:K311"/>
    <mergeCell ref="A284:A290"/>
    <mergeCell ref="B284:B290"/>
    <mergeCell ref="C284:C290"/>
    <mergeCell ref="J284:J290"/>
    <mergeCell ref="K284:K290"/>
    <mergeCell ref="A291:A297"/>
    <mergeCell ref="B291:B297"/>
    <mergeCell ref="C291:C297"/>
    <mergeCell ref="J291:J297"/>
    <mergeCell ref="K291:K297"/>
    <mergeCell ref="A270:A276"/>
    <mergeCell ref="B270:B276"/>
    <mergeCell ref="C270:C276"/>
    <mergeCell ref="J270:J276"/>
    <mergeCell ref="K270:K276"/>
    <mergeCell ref="A277:A283"/>
    <mergeCell ref="B277:B283"/>
    <mergeCell ref="C277:C283"/>
    <mergeCell ref="J277:J283"/>
    <mergeCell ref="K277:K283"/>
    <mergeCell ref="A256:A262"/>
    <mergeCell ref="B256:B262"/>
    <mergeCell ref="C256:C262"/>
    <mergeCell ref="J256:J262"/>
    <mergeCell ref="K256:K262"/>
    <mergeCell ref="A263:A269"/>
    <mergeCell ref="B263:B269"/>
    <mergeCell ref="C263:C269"/>
    <mergeCell ref="J263:J269"/>
    <mergeCell ref="K263:K269"/>
    <mergeCell ref="A242:A248"/>
    <mergeCell ref="B242:B248"/>
    <mergeCell ref="C242:C248"/>
    <mergeCell ref="J242:J248"/>
    <mergeCell ref="K242:K248"/>
    <mergeCell ref="A249:A255"/>
    <mergeCell ref="B249:B255"/>
    <mergeCell ref="C249:C255"/>
    <mergeCell ref="J249:J255"/>
    <mergeCell ref="K249:K255"/>
    <mergeCell ref="A228:A234"/>
    <mergeCell ref="B228:B234"/>
    <mergeCell ref="C228:C234"/>
    <mergeCell ref="J228:J234"/>
    <mergeCell ref="K228:K234"/>
    <mergeCell ref="A235:A241"/>
    <mergeCell ref="B235:B241"/>
    <mergeCell ref="C235:C241"/>
    <mergeCell ref="J235:J241"/>
    <mergeCell ref="K235:K241"/>
    <mergeCell ref="A221:A227"/>
    <mergeCell ref="B221:B227"/>
    <mergeCell ref="C221:C227"/>
    <mergeCell ref="J221:J227"/>
    <mergeCell ref="K221:K227"/>
    <mergeCell ref="L221:L226"/>
    <mergeCell ref="A214:A220"/>
    <mergeCell ref="B214:B220"/>
    <mergeCell ref="C214:C220"/>
    <mergeCell ref="J214:J220"/>
    <mergeCell ref="K214:K220"/>
    <mergeCell ref="L214:L219"/>
    <mergeCell ref="A200:A206"/>
    <mergeCell ref="B200:B206"/>
    <mergeCell ref="C200:C206"/>
    <mergeCell ref="J200:J206"/>
    <mergeCell ref="K200:K206"/>
    <mergeCell ref="A207:A213"/>
    <mergeCell ref="B207:B213"/>
    <mergeCell ref="C207:C213"/>
    <mergeCell ref="J207:J213"/>
    <mergeCell ref="K207:K213"/>
    <mergeCell ref="L186:L191"/>
    <mergeCell ref="A193:A199"/>
    <mergeCell ref="B193:B199"/>
    <mergeCell ref="C193:C199"/>
    <mergeCell ref="J193:J199"/>
    <mergeCell ref="K193:K199"/>
    <mergeCell ref="A179:A185"/>
    <mergeCell ref="B179:B185"/>
    <mergeCell ref="C179:C185"/>
    <mergeCell ref="J179:J185"/>
    <mergeCell ref="K179:K185"/>
    <mergeCell ref="A186:A192"/>
    <mergeCell ref="B186:B192"/>
    <mergeCell ref="C186:C192"/>
    <mergeCell ref="J186:J192"/>
    <mergeCell ref="K186:K192"/>
    <mergeCell ref="A165:A171"/>
    <mergeCell ref="B165:B171"/>
    <mergeCell ref="C165:C171"/>
    <mergeCell ref="J165:J171"/>
    <mergeCell ref="K165:K171"/>
    <mergeCell ref="A172:A178"/>
    <mergeCell ref="B172:B178"/>
    <mergeCell ref="C172:C178"/>
    <mergeCell ref="J172:J178"/>
    <mergeCell ref="K172:K178"/>
    <mergeCell ref="A151:A157"/>
    <mergeCell ref="B151:B157"/>
    <mergeCell ref="C151:C157"/>
    <mergeCell ref="J151:J157"/>
    <mergeCell ref="K151:K157"/>
    <mergeCell ref="A158:A164"/>
    <mergeCell ref="B158:B164"/>
    <mergeCell ref="C158:C164"/>
    <mergeCell ref="J158:J164"/>
    <mergeCell ref="K158:K164"/>
    <mergeCell ref="A137:A143"/>
    <mergeCell ref="B137:B143"/>
    <mergeCell ref="C137:C143"/>
    <mergeCell ref="J137:J143"/>
    <mergeCell ref="K137:K143"/>
    <mergeCell ref="A144:A150"/>
    <mergeCell ref="B144:B150"/>
    <mergeCell ref="C144:C150"/>
    <mergeCell ref="J144:J150"/>
    <mergeCell ref="K144:K150"/>
    <mergeCell ref="A123:A129"/>
    <mergeCell ref="B123:B129"/>
    <mergeCell ref="C123:C129"/>
    <mergeCell ref="J123:J129"/>
    <mergeCell ref="K123:K129"/>
    <mergeCell ref="A130:A136"/>
    <mergeCell ref="B130:B136"/>
    <mergeCell ref="C130:C136"/>
    <mergeCell ref="J130:J136"/>
    <mergeCell ref="K130:K136"/>
    <mergeCell ref="A110:A116"/>
    <mergeCell ref="B110:B116"/>
    <mergeCell ref="C110:C116"/>
    <mergeCell ref="J110:J116"/>
    <mergeCell ref="K110:K116"/>
    <mergeCell ref="A117:A122"/>
    <mergeCell ref="B117:B122"/>
    <mergeCell ref="C117:C122"/>
    <mergeCell ref="J117:J122"/>
    <mergeCell ref="K117:K122"/>
    <mergeCell ref="A96:A102"/>
    <mergeCell ref="B96:B102"/>
    <mergeCell ref="C96:C102"/>
    <mergeCell ref="J96:J102"/>
    <mergeCell ref="K96:K102"/>
    <mergeCell ref="A103:A109"/>
    <mergeCell ref="B103:B109"/>
    <mergeCell ref="C103:C109"/>
    <mergeCell ref="J103:J109"/>
    <mergeCell ref="K103:K109"/>
    <mergeCell ref="A82:A88"/>
    <mergeCell ref="B82:B88"/>
    <mergeCell ref="C82:C88"/>
    <mergeCell ref="J82:J88"/>
    <mergeCell ref="K82:K88"/>
    <mergeCell ref="A89:A95"/>
    <mergeCell ref="B89:B95"/>
    <mergeCell ref="C89:C95"/>
    <mergeCell ref="J89:J95"/>
    <mergeCell ref="K89:K95"/>
    <mergeCell ref="A68:A74"/>
    <mergeCell ref="B68:B74"/>
    <mergeCell ref="C68:C74"/>
    <mergeCell ref="J68:J74"/>
    <mergeCell ref="K68:K74"/>
    <mergeCell ref="A75:A81"/>
    <mergeCell ref="B75:B81"/>
    <mergeCell ref="C75:C81"/>
    <mergeCell ref="J75:J81"/>
    <mergeCell ref="K75:K81"/>
    <mergeCell ref="A61:A67"/>
    <mergeCell ref="B61:B67"/>
    <mergeCell ref="C61:C67"/>
    <mergeCell ref="J61:J67"/>
    <mergeCell ref="K61:K67"/>
    <mergeCell ref="N61:N67"/>
    <mergeCell ref="L47:L53"/>
    <mergeCell ref="A54:A60"/>
    <mergeCell ref="B54:B60"/>
    <mergeCell ref="C54:C60"/>
    <mergeCell ref="J54:J60"/>
    <mergeCell ref="K54:K60"/>
    <mergeCell ref="L54:L60"/>
    <mergeCell ref="A40:A46"/>
    <mergeCell ref="B40:B46"/>
    <mergeCell ref="C40:C46"/>
    <mergeCell ref="J40:J46"/>
    <mergeCell ref="K40:K46"/>
    <mergeCell ref="A47:A53"/>
    <mergeCell ref="B47:B53"/>
    <mergeCell ref="C47:C53"/>
    <mergeCell ref="J47:J53"/>
    <mergeCell ref="K47:K53"/>
    <mergeCell ref="A12:A18"/>
    <mergeCell ref="B12:B18"/>
    <mergeCell ref="C12:C18"/>
    <mergeCell ref="J12:J18"/>
    <mergeCell ref="K12:K18"/>
    <mergeCell ref="L26:L31"/>
    <mergeCell ref="A33:A39"/>
    <mergeCell ref="B33:B39"/>
    <mergeCell ref="C33:C39"/>
    <mergeCell ref="J33:J39"/>
    <mergeCell ref="K33:K39"/>
    <mergeCell ref="L33:L39"/>
    <mergeCell ref="A19:A25"/>
    <mergeCell ref="B19:B25"/>
    <mergeCell ref="C19:C25"/>
    <mergeCell ref="J19:J25"/>
    <mergeCell ref="K19:K25"/>
    <mergeCell ref="A26:A32"/>
    <mergeCell ref="B26:B32"/>
    <mergeCell ref="C26:C32"/>
    <mergeCell ref="J26:J32"/>
    <mergeCell ref="K26:K32"/>
    <mergeCell ref="A1:K2"/>
    <mergeCell ref="A3:A4"/>
    <mergeCell ref="B3:B4"/>
    <mergeCell ref="C3:C4"/>
    <mergeCell ref="D3:I3"/>
    <mergeCell ref="J3:J4"/>
    <mergeCell ref="K3:K4"/>
    <mergeCell ref="A5:A11"/>
    <mergeCell ref="B5:B11"/>
    <mergeCell ref="C5:C11"/>
    <mergeCell ref="J5:J11"/>
    <mergeCell ref="K5:K11"/>
  </mergeCells>
  <pageMargins left="0.7" right="0.7" top="0.75" bottom="0.75" header="0.3" footer="0.3"/>
  <pageSetup paperSize="9" scale="1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pageSetUpPr fitToPage="1"/>
  </sheetPr>
  <dimension ref="A1:M1622"/>
  <sheetViews>
    <sheetView view="pageBreakPreview" zoomScale="70" zoomScaleNormal="80" zoomScaleSheetLayoutView="70" workbookViewId="0">
      <pane xSplit="2" ySplit="5" topLeftCell="E6" activePane="bottomRight" state="frozen"/>
      <selection pane="topRight" activeCell="C1" sqref="C1"/>
      <selection pane="bottomLeft" activeCell="A4" sqref="A4"/>
      <selection pane="bottomRight" activeCell="E277" sqref="E277"/>
    </sheetView>
  </sheetViews>
  <sheetFormatPr defaultColWidth="9.140625" defaultRowHeight="15.75"/>
  <cols>
    <col min="1" max="1" width="11.85546875" style="1" customWidth="1"/>
    <col min="2" max="2" width="67.5703125" style="8" customWidth="1"/>
    <col min="3" max="3" width="7.85546875" style="5" customWidth="1"/>
    <col min="4" max="4" width="14.28515625" style="13" customWidth="1"/>
    <col min="5" max="5" width="14.42578125" style="24" customWidth="1"/>
    <col min="6" max="6" width="14.42578125" style="9" customWidth="1"/>
    <col min="7" max="7" width="12.85546875" style="5" customWidth="1"/>
    <col min="8" max="8" width="54.140625" style="16" customWidth="1"/>
    <col min="9" max="9" width="84.85546875" style="69" customWidth="1"/>
    <col min="10" max="10" width="23.140625" style="70" customWidth="1"/>
    <col min="11" max="11" width="42.28515625" style="71" customWidth="1"/>
    <col min="12" max="12" width="40" style="71" customWidth="1"/>
    <col min="13" max="13" width="9.140625" style="5"/>
    <col min="14" max="16384" width="9.140625" style="2"/>
  </cols>
  <sheetData>
    <row r="1" spans="1:13">
      <c r="A1" s="1392"/>
      <c r="B1" s="1393">
        <f>F11+F16</f>
        <v>3018487.4312300002</v>
      </c>
      <c r="C1" s="1394"/>
      <c r="D1" s="1395">
        <f>J23+J93+J183+J278</f>
        <v>6</v>
      </c>
      <c r="E1" s="1396"/>
      <c r="F1" s="1397"/>
      <c r="G1" s="1394"/>
      <c r="H1" s="1398"/>
      <c r="I1" s="1390"/>
      <c r="J1" s="1391">
        <f>J21+J91+J181+J276</f>
        <v>38</v>
      </c>
      <c r="K1" s="1399"/>
      <c r="L1" s="1399"/>
      <c r="M1" s="1394"/>
    </row>
    <row r="2" spans="1:13">
      <c r="A2" s="1392"/>
      <c r="B2" s="1400"/>
      <c r="C2" s="1394"/>
      <c r="D2" s="1395"/>
      <c r="E2" s="1396">
        <f>SUM(E12,E17)</f>
        <v>2693766.4432600001</v>
      </c>
      <c r="F2" s="1397"/>
      <c r="G2" s="1394"/>
      <c r="H2" s="1398"/>
      <c r="I2" s="1390"/>
      <c r="J2" s="1391"/>
      <c r="K2" s="1399"/>
      <c r="L2" s="1399"/>
      <c r="M2" s="1394"/>
    </row>
    <row r="3" spans="1:13" ht="15">
      <c r="A3" s="1401" t="s">
        <v>689</v>
      </c>
      <c r="B3" s="1401"/>
      <c r="C3" s="1401"/>
      <c r="D3" s="1401"/>
      <c r="E3" s="1401"/>
      <c r="F3" s="1401"/>
      <c r="G3" s="1401"/>
      <c r="H3" s="1401"/>
      <c r="I3" s="1401"/>
      <c r="J3" s="1401"/>
      <c r="K3" s="1401"/>
      <c r="L3" s="1401"/>
      <c r="M3" s="1401"/>
    </row>
    <row r="4" spans="1:13" ht="27.75" customHeight="1">
      <c r="A4" s="1044" t="s">
        <v>0</v>
      </c>
      <c r="B4" s="1045" t="s">
        <v>24</v>
      </c>
      <c r="C4" s="818" t="s">
        <v>1</v>
      </c>
      <c r="D4" s="818"/>
      <c r="E4" s="818"/>
      <c r="F4" s="818"/>
      <c r="G4" s="818"/>
      <c r="H4" s="819" t="s">
        <v>25</v>
      </c>
      <c r="I4" s="820"/>
      <c r="J4" s="821"/>
      <c r="K4" s="709" t="s">
        <v>2</v>
      </c>
      <c r="L4" s="814" t="s">
        <v>223</v>
      </c>
      <c r="M4" s="811" t="s">
        <v>32</v>
      </c>
    </row>
    <row r="5" spans="1:13" ht="30">
      <c r="A5" s="711"/>
      <c r="B5" s="817"/>
      <c r="C5" s="6" t="s">
        <v>26</v>
      </c>
      <c r="D5" s="7" t="s">
        <v>27</v>
      </c>
      <c r="E5" s="7" t="s">
        <v>33</v>
      </c>
      <c r="F5" s="11" t="s">
        <v>28</v>
      </c>
      <c r="G5" s="4" t="s">
        <v>34</v>
      </c>
      <c r="H5" s="15" t="s">
        <v>29</v>
      </c>
      <c r="I5" s="216" t="s">
        <v>30</v>
      </c>
      <c r="J5" s="615" t="s">
        <v>1030</v>
      </c>
      <c r="K5" s="674"/>
      <c r="L5" s="815"/>
      <c r="M5" s="812"/>
    </row>
    <row r="6" spans="1:13">
      <c r="A6" s="805"/>
      <c r="B6" s="808" t="s">
        <v>228</v>
      </c>
      <c r="C6" s="217" t="s">
        <v>3</v>
      </c>
      <c r="D6" s="28">
        <f>SUM(D7:D10)</f>
        <v>3443915.2358310525</v>
      </c>
      <c r="E6" s="28">
        <f>SUM(E7:E10)</f>
        <v>3402744.28932</v>
      </c>
      <c r="F6" s="28">
        <f>SUM(F7:F10)</f>
        <v>3402744.28932</v>
      </c>
      <c r="G6" s="76">
        <f t="shared" ref="G6:G12" si="0">IFERROR(F6/D6,0)</f>
        <v>0.98804530782793276</v>
      </c>
      <c r="H6" s="775"/>
      <c r="I6" s="91" t="s">
        <v>45</v>
      </c>
      <c r="J6" s="92">
        <f>SUM(J11,J16)</f>
        <v>38</v>
      </c>
      <c r="K6" s="802" t="s">
        <v>104</v>
      </c>
      <c r="L6" s="804"/>
      <c r="M6" s="705">
        <v>823</v>
      </c>
    </row>
    <row r="7" spans="1:13">
      <c r="A7" s="806"/>
      <c r="B7" s="809"/>
      <c r="C7" s="217" t="s">
        <v>4</v>
      </c>
      <c r="D7" s="187">
        <f>SUM(D22+D92+D182+D277)</f>
        <v>2722263.6099700001</v>
      </c>
      <c r="E7" s="28">
        <f t="shared" ref="D7:F9" si="1">SUM(E22,E92,E182,E277)</f>
        <v>2693766.4432600001</v>
      </c>
      <c r="F7" s="28">
        <f>SUM(F22,F92,F182,F277)</f>
        <v>2693766.4432600001</v>
      </c>
      <c r="G7" s="76">
        <f t="shared" si="0"/>
        <v>0.98953181220009989</v>
      </c>
      <c r="H7" s="776"/>
      <c r="I7" s="91" t="s">
        <v>46</v>
      </c>
      <c r="J7" s="92">
        <f>SUM(J12,J17)</f>
        <v>31</v>
      </c>
      <c r="K7" s="803"/>
      <c r="L7" s="804"/>
      <c r="M7" s="706"/>
    </row>
    <row r="8" spans="1:13">
      <c r="A8" s="806"/>
      <c r="B8" s="809"/>
      <c r="C8" s="217" t="s">
        <v>5</v>
      </c>
      <c r="D8" s="28">
        <f t="shared" si="1"/>
        <v>632873.55863999994</v>
      </c>
      <c r="E8" s="28">
        <f t="shared" si="1"/>
        <v>632873.55863999994</v>
      </c>
      <c r="F8" s="28">
        <f t="shared" si="1"/>
        <v>632873.55863999994</v>
      </c>
      <c r="G8" s="76">
        <f t="shared" si="0"/>
        <v>1</v>
      </c>
      <c r="H8" s="776"/>
      <c r="I8" s="91" t="s">
        <v>47</v>
      </c>
      <c r="J8" s="92">
        <f>SUM(J13,J18)</f>
        <v>6</v>
      </c>
      <c r="K8" s="803"/>
      <c r="L8" s="804"/>
      <c r="M8" s="706"/>
    </row>
    <row r="9" spans="1:13">
      <c r="A9" s="806"/>
      <c r="B9" s="809"/>
      <c r="C9" s="217" t="s">
        <v>6</v>
      </c>
      <c r="D9" s="26">
        <f t="shared" si="1"/>
        <v>77778.067221052625</v>
      </c>
      <c r="E9" s="26">
        <f t="shared" si="1"/>
        <v>76104.287419999993</v>
      </c>
      <c r="F9" s="28">
        <f t="shared" si="1"/>
        <v>76104.287419999993</v>
      </c>
      <c r="G9" s="76">
        <f t="shared" si="0"/>
        <v>0.97848005407108418</v>
      </c>
      <c r="H9" s="776"/>
      <c r="I9" s="91" t="s">
        <v>48</v>
      </c>
      <c r="J9" s="92">
        <f>SUM(J14,J19)</f>
        <v>1</v>
      </c>
      <c r="K9" s="803"/>
      <c r="L9" s="804"/>
      <c r="M9" s="706"/>
    </row>
    <row r="10" spans="1:13">
      <c r="A10" s="807"/>
      <c r="B10" s="810"/>
      <c r="C10" s="217" t="s">
        <v>7</v>
      </c>
      <c r="D10" s="26">
        <f>SUM(D25,D95,D185,D280)</f>
        <v>11000</v>
      </c>
      <c r="E10" s="26">
        <v>0</v>
      </c>
      <c r="F10" s="28">
        <f t="shared" ref="F10" si="2">SUM(F25,F95,F185,F280)</f>
        <v>0</v>
      </c>
      <c r="G10" s="76">
        <f t="shared" si="0"/>
        <v>0</v>
      </c>
      <c r="H10" s="777"/>
      <c r="I10" s="91" t="s">
        <v>49</v>
      </c>
      <c r="J10" s="94">
        <f>(J7+0.5*J8)/J6</f>
        <v>0.89473684210526316</v>
      </c>
      <c r="K10" s="813"/>
      <c r="L10" s="804"/>
      <c r="M10" s="707"/>
    </row>
    <row r="11" spans="1:13">
      <c r="A11" s="710"/>
      <c r="B11" s="743" t="s">
        <v>63</v>
      </c>
      <c r="C11" s="175" t="s">
        <v>3</v>
      </c>
      <c r="D11" s="180">
        <f>SUM(D12:D15)</f>
        <v>2147164.71894</v>
      </c>
      <c r="E11" s="185">
        <f>SUM(E12:E15)</f>
        <v>2132299.79256</v>
      </c>
      <c r="F11" s="89">
        <f>SUM(F12:F15)</f>
        <v>2132870.6903400002</v>
      </c>
      <c r="G11" s="174">
        <f t="shared" si="0"/>
        <v>0.9933428355664039</v>
      </c>
      <c r="H11" s="1258"/>
      <c r="I11" s="617" t="s">
        <v>45</v>
      </c>
      <c r="J11" s="618">
        <f>SUM(J12:J14)</f>
        <v>31</v>
      </c>
      <c r="K11" s="709" t="s">
        <v>89</v>
      </c>
      <c r="L11" s="700"/>
      <c r="M11" s="675">
        <v>823</v>
      </c>
    </row>
    <row r="12" spans="1:13">
      <c r="A12" s="711"/>
      <c r="B12" s="744"/>
      <c r="C12" s="175" t="s">
        <v>4</v>
      </c>
      <c r="D12" s="183">
        <f t="shared" ref="D12:F15" si="3">SUM(D22,D92,D202,D212,D207,D267,D277,D222)</f>
        <v>2002808.9075</v>
      </c>
      <c r="E12" s="183">
        <f>SUM(E22,E92,E197,E222,E267,E277)</f>
        <v>1989617.7149199999</v>
      </c>
      <c r="F12" s="26">
        <f t="shared" si="3"/>
        <v>1990188.6126999999</v>
      </c>
      <c r="G12" s="174">
        <f t="shared" si="0"/>
        <v>0.99369870248093051</v>
      </c>
      <c r="H12" s="1259"/>
      <c r="I12" s="617" t="s">
        <v>46</v>
      </c>
      <c r="J12" s="618">
        <v>27</v>
      </c>
      <c r="K12" s="673"/>
      <c r="L12" s="700"/>
      <c r="M12" s="676"/>
    </row>
    <row r="13" spans="1:13">
      <c r="A13" s="711"/>
      <c r="B13" s="744"/>
      <c r="C13" s="175" t="s">
        <v>5</v>
      </c>
      <c r="D13" s="183">
        <f t="shared" si="3"/>
        <v>78252.658639999994</v>
      </c>
      <c r="E13" s="183">
        <f t="shared" si="3"/>
        <v>78252.658639999994</v>
      </c>
      <c r="F13" s="26">
        <f t="shared" si="3"/>
        <v>78252.658639999994</v>
      </c>
      <c r="G13" s="174">
        <f>IFERROR(F13/D13,0)</f>
        <v>1</v>
      </c>
      <c r="H13" s="1259"/>
      <c r="I13" s="617" t="s">
        <v>47</v>
      </c>
      <c r="J13" s="618">
        <f>COUNTIFS($M$21:$M$290,823,$J$21:$J$290,"Частично")</f>
        <v>4</v>
      </c>
      <c r="K13" s="673"/>
      <c r="L13" s="700"/>
      <c r="M13" s="676"/>
    </row>
    <row r="14" spans="1:13">
      <c r="A14" s="711"/>
      <c r="B14" s="744"/>
      <c r="C14" s="175" t="s">
        <v>6</v>
      </c>
      <c r="D14" s="183">
        <f t="shared" si="3"/>
        <v>66103.152799999996</v>
      </c>
      <c r="E14" s="183">
        <f t="shared" si="3"/>
        <v>64429.418999999994</v>
      </c>
      <c r="F14" s="26">
        <f t="shared" si="3"/>
        <v>64429.418999999994</v>
      </c>
      <c r="G14" s="174">
        <f t="shared" ref="G14:G77" si="4">IFERROR(F14/D14,0)</f>
        <v>0.97467997018139196</v>
      </c>
      <c r="H14" s="1259"/>
      <c r="I14" s="617" t="s">
        <v>48</v>
      </c>
      <c r="J14" s="618">
        <f>COUNTIFS($M$21:$M$290,823,$J$21:$J$290,"Нет")</f>
        <v>0</v>
      </c>
      <c r="K14" s="673"/>
      <c r="L14" s="700"/>
      <c r="M14" s="676"/>
    </row>
    <row r="15" spans="1:13">
      <c r="A15" s="712"/>
      <c r="B15" s="745"/>
      <c r="C15" s="175" t="s">
        <v>7</v>
      </c>
      <c r="D15" s="183">
        <f t="shared" si="3"/>
        <v>0</v>
      </c>
      <c r="E15" s="183">
        <f t="shared" si="3"/>
        <v>0</v>
      </c>
      <c r="F15" s="26">
        <f t="shared" si="3"/>
        <v>0</v>
      </c>
      <c r="G15" s="174">
        <f t="shared" si="4"/>
        <v>0</v>
      </c>
      <c r="H15" s="1260"/>
      <c r="I15" s="617" t="s">
        <v>49</v>
      </c>
      <c r="J15" s="619">
        <f>(J12+0.5*J13)/J11</f>
        <v>0.93548387096774188</v>
      </c>
      <c r="K15" s="673"/>
      <c r="L15" s="700"/>
      <c r="M15" s="677"/>
    </row>
    <row r="16" spans="1:13">
      <c r="A16" s="719"/>
      <c r="B16" s="1261" t="s">
        <v>57</v>
      </c>
      <c r="C16" s="181" t="s">
        <v>3</v>
      </c>
      <c r="D16" s="185">
        <f>SUM(D17:D20)</f>
        <v>1296750.5168910525</v>
      </c>
      <c r="E16" s="185">
        <f>SUM(E17:E20)</f>
        <v>1270444.4967599998</v>
      </c>
      <c r="F16" s="89">
        <f>SUM(F17:F20)</f>
        <v>885616.74089000002</v>
      </c>
      <c r="G16" s="620">
        <f t="shared" si="4"/>
        <v>0.68295075217186574</v>
      </c>
      <c r="H16" s="1258"/>
      <c r="I16" s="617" t="s">
        <v>45</v>
      </c>
      <c r="J16" s="621">
        <f>SUM(J17:J19)</f>
        <v>7</v>
      </c>
      <c r="K16" s="709" t="str">
        <f>'[1]Пр ГП 19-20'!$K$11</f>
        <v>Министерство строительства МО</v>
      </c>
      <c r="L16" s="700"/>
      <c r="M16" s="675">
        <v>807</v>
      </c>
    </row>
    <row r="17" spans="1:13">
      <c r="A17" s="720"/>
      <c r="B17" s="1262"/>
      <c r="C17" s="181" t="s">
        <v>4</v>
      </c>
      <c r="D17" s="188">
        <f t="shared" ref="D17:E19" si="5">SUM(D232,D237,D272,D242,D192,D252,D257)</f>
        <v>719454.70247000002</v>
      </c>
      <c r="E17" s="188">
        <f t="shared" si="5"/>
        <v>704148.72834000003</v>
      </c>
      <c r="F17" s="27">
        <f>SUM(F232,F237,F272,F242,F192,F252,F257)</f>
        <v>460581.74925000005</v>
      </c>
      <c r="G17" s="620">
        <f t="shared" si="4"/>
        <v>0.64018172050130628</v>
      </c>
      <c r="H17" s="1259"/>
      <c r="I17" s="617" t="s">
        <v>46</v>
      </c>
      <c r="J17" s="621">
        <f>COUNTIFS($M$21:$M$290,807,$J$21:$J$290,"Да")</f>
        <v>4</v>
      </c>
      <c r="K17" s="673"/>
      <c r="L17" s="700"/>
      <c r="M17" s="676"/>
    </row>
    <row r="18" spans="1:13">
      <c r="A18" s="720"/>
      <c r="B18" s="1262"/>
      <c r="C18" s="181" t="s">
        <v>5</v>
      </c>
      <c r="D18" s="188">
        <f t="shared" si="5"/>
        <v>554620.89999999991</v>
      </c>
      <c r="E18" s="188">
        <f t="shared" si="5"/>
        <v>554620.89999999991</v>
      </c>
      <c r="F18" s="27">
        <f>SUM(F233,F238,F273,F243,F193,F253,F258)</f>
        <v>413360.12321999995</v>
      </c>
      <c r="G18" s="620">
        <f t="shared" si="4"/>
        <v>0.7453021031482947</v>
      </c>
      <c r="H18" s="1259"/>
      <c r="I18" s="617" t="s">
        <v>47</v>
      </c>
      <c r="J18" s="621">
        <f>COUNTIFS($M$21:$M$290,807,$J$21:$J$290,"Частично")</f>
        <v>2</v>
      </c>
      <c r="K18" s="673"/>
      <c r="L18" s="700"/>
      <c r="M18" s="676"/>
    </row>
    <row r="19" spans="1:13">
      <c r="A19" s="720"/>
      <c r="B19" s="1262"/>
      <c r="C19" s="181" t="s">
        <v>6</v>
      </c>
      <c r="D19" s="188">
        <f t="shared" si="5"/>
        <v>11674.91442105263</v>
      </c>
      <c r="E19" s="188">
        <f t="shared" si="5"/>
        <v>11674.868419999999</v>
      </c>
      <c r="F19" s="27">
        <f>SUM(F234,F239,F274,F244,F194,F254,F259)</f>
        <v>11674.868419999999</v>
      </c>
      <c r="G19" s="620">
        <f t="shared" si="4"/>
        <v>0.99999605983813056</v>
      </c>
      <c r="H19" s="1259"/>
      <c r="I19" s="617" t="s">
        <v>48</v>
      </c>
      <c r="J19" s="621">
        <v>1</v>
      </c>
      <c r="K19" s="673"/>
      <c r="L19" s="700"/>
      <c r="M19" s="676"/>
    </row>
    <row r="20" spans="1:13">
      <c r="A20" s="721"/>
      <c r="B20" s="1263"/>
      <c r="C20" s="181" t="s">
        <v>7</v>
      </c>
      <c r="D20" s="188">
        <f>SUM(D235,D240,D275,D245,D195,D255,D260)</f>
        <v>11000</v>
      </c>
      <c r="E20" s="188">
        <f>SUM(E235,E240,E275,E245,E195,E255,E260)</f>
        <v>0</v>
      </c>
      <c r="F20" s="27">
        <f>SUM(F235,F240,F275,F245,F195,F255,F260)</f>
        <v>0</v>
      </c>
      <c r="G20" s="620">
        <f t="shared" si="4"/>
        <v>0</v>
      </c>
      <c r="H20" s="1260"/>
      <c r="I20" s="617" t="s">
        <v>49</v>
      </c>
      <c r="J20" s="619">
        <f>(J17+0.5*J18)/J16</f>
        <v>0.7142857142857143</v>
      </c>
      <c r="K20" s="673"/>
      <c r="L20" s="700"/>
      <c r="M20" s="677"/>
    </row>
    <row r="21" spans="1:13">
      <c r="A21" s="828" t="s">
        <v>8</v>
      </c>
      <c r="B21" s="831" t="s">
        <v>110</v>
      </c>
      <c r="C21" s="42" t="s">
        <v>3</v>
      </c>
      <c r="D21" s="43">
        <f>SUM(D22:D25)</f>
        <v>542015.88037999999</v>
      </c>
      <c r="E21" s="43">
        <f>SUM(E22:E25)</f>
        <v>530652.1912</v>
      </c>
      <c r="F21" s="43">
        <f>SUM(F22:F25)</f>
        <v>530652.1912</v>
      </c>
      <c r="G21" s="63">
        <f t="shared" si="4"/>
        <v>0.9790343980843641</v>
      </c>
      <c r="H21" s="826"/>
      <c r="I21" s="65" t="s">
        <v>45</v>
      </c>
      <c r="J21" s="66">
        <f>SUM(J26,J76)</f>
        <v>11</v>
      </c>
      <c r="K21" s="824" t="s">
        <v>128</v>
      </c>
      <c r="L21" s="824"/>
      <c r="M21" s="822">
        <v>823</v>
      </c>
    </row>
    <row r="22" spans="1:13">
      <c r="A22" s="829"/>
      <c r="B22" s="832"/>
      <c r="C22" s="42" t="s">
        <v>4</v>
      </c>
      <c r="D22" s="64">
        <f>SUM(D27,D77)</f>
        <v>496768.91758000001</v>
      </c>
      <c r="E22" s="64">
        <f>SUM(E27,E77)</f>
        <v>487078.96219999995</v>
      </c>
      <c r="F22" s="64">
        <f>E22</f>
        <v>487078.96219999995</v>
      </c>
      <c r="G22" s="63">
        <f t="shared" si="4"/>
        <v>0.98049403850143346</v>
      </c>
      <c r="H22" s="827"/>
      <c r="I22" s="65" t="s">
        <v>46</v>
      </c>
      <c r="J22" s="66">
        <f>SUM(J27,J77)</f>
        <v>10</v>
      </c>
      <c r="K22" s="825"/>
      <c r="L22" s="825"/>
      <c r="M22" s="823"/>
    </row>
    <row r="23" spans="1:13">
      <c r="A23" s="829"/>
      <c r="B23" s="832"/>
      <c r="C23" s="42" t="s">
        <v>5</v>
      </c>
      <c r="D23" s="64">
        <v>0</v>
      </c>
      <c r="E23" s="64">
        <f t="shared" ref="E23:E24" si="6">SUM(E28,E78)</f>
        <v>0</v>
      </c>
      <c r="F23" s="64">
        <f>E23</f>
        <v>0</v>
      </c>
      <c r="G23" s="63">
        <f t="shared" si="4"/>
        <v>0</v>
      </c>
      <c r="H23" s="827"/>
      <c r="I23" s="65" t="s">
        <v>47</v>
      </c>
      <c r="J23" s="66">
        <f>SUM(J28,J78)</f>
        <v>1</v>
      </c>
      <c r="K23" s="825"/>
      <c r="L23" s="825"/>
      <c r="M23" s="823"/>
    </row>
    <row r="24" spans="1:13">
      <c r="A24" s="829"/>
      <c r="B24" s="832"/>
      <c r="C24" s="42" t="s">
        <v>6</v>
      </c>
      <c r="D24" s="64">
        <f>'[2]334-ПП'!H30</f>
        <v>45246.962800000001</v>
      </c>
      <c r="E24" s="64">
        <f t="shared" si="6"/>
        <v>43573.228999999999</v>
      </c>
      <c r="F24" s="64">
        <f>E24</f>
        <v>43573.228999999999</v>
      </c>
      <c r="G24" s="63">
        <f t="shared" si="4"/>
        <v>0.96300892487749468</v>
      </c>
      <c r="H24" s="827"/>
      <c r="I24" s="65" t="s">
        <v>48</v>
      </c>
      <c r="J24" s="66">
        <f>SUM(J29,J79)</f>
        <v>0</v>
      </c>
      <c r="K24" s="825"/>
      <c r="L24" s="825"/>
      <c r="M24" s="823"/>
    </row>
    <row r="25" spans="1:13">
      <c r="A25" s="830"/>
      <c r="B25" s="833"/>
      <c r="C25" s="42" t="s">
        <v>7</v>
      </c>
      <c r="D25" s="64">
        <v>0</v>
      </c>
      <c r="E25" s="64">
        <v>0</v>
      </c>
      <c r="F25" s="64">
        <v>0</v>
      </c>
      <c r="G25" s="63">
        <f t="shared" si="4"/>
        <v>0</v>
      </c>
      <c r="H25" s="827"/>
      <c r="I25" s="67" t="s">
        <v>49</v>
      </c>
      <c r="J25" s="68">
        <f>(J22+0.5*J23)/J21</f>
        <v>0.95454545454545459</v>
      </c>
      <c r="K25" s="825"/>
      <c r="L25" s="825"/>
      <c r="M25" s="823"/>
    </row>
    <row r="26" spans="1:13" s="10" customFormat="1" ht="15.75" customHeight="1">
      <c r="A26" s="841" t="s">
        <v>170</v>
      </c>
      <c r="B26" s="844" t="s">
        <v>210</v>
      </c>
      <c r="C26" s="84" t="s">
        <v>3</v>
      </c>
      <c r="D26" s="36">
        <f>SUM(D27:D30)</f>
        <v>526016.70837999997</v>
      </c>
      <c r="E26" s="36">
        <f>SUM(E27:E30)</f>
        <v>514653.01999999996</v>
      </c>
      <c r="F26" s="36">
        <f>E26</f>
        <v>514653.01999999996</v>
      </c>
      <c r="G26" s="37">
        <f>IFERROR(F26/D26,0)</f>
        <v>0.97839671592372546</v>
      </c>
      <c r="H26" s="835" t="s">
        <v>259</v>
      </c>
      <c r="I26" s="18" t="s">
        <v>45</v>
      </c>
      <c r="J26" s="32">
        <f>SUM(J27:J29)</f>
        <v>9</v>
      </c>
      <c r="K26" s="761" t="s">
        <v>64</v>
      </c>
      <c r="L26" s="761"/>
      <c r="M26" s="763">
        <v>823</v>
      </c>
    </row>
    <row r="27" spans="1:13" s="10" customFormat="1">
      <c r="A27" s="842"/>
      <c r="B27" s="845"/>
      <c r="C27" s="84" t="s">
        <v>4</v>
      </c>
      <c r="D27" s="38">
        <f>SUM(D32,D37,D42,D47,D52,D57,D62,D67,D72)</f>
        <v>480769.74557999999</v>
      </c>
      <c r="E27" s="38">
        <f>SUM(E32,E37,E42,E47,E52,E57,E62,E67,E72)</f>
        <v>471079.79099999997</v>
      </c>
      <c r="F27" s="38">
        <f>E27</f>
        <v>471079.79099999997</v>
      </c>
      <c r="G27" s="37">
        <f t="shared" si="4"/>
        <v>0.97984491605579283</v>
      </c>
      <c r="H27" s="836"/>
      <c r="I27" s="18" t="s">
        <v>46</v>
      </c>
      <c r="J27" s="19">
        <f>COUNTIF($J$31:$J$75,"Да")</f>
        <v>8</v>
      </c>
      <c r="K27" s="762"/>
      <c r="L27" s="762"/>
      <c r="M27" s="764"/>
    </row>
    <row r="28" spans="1:13" s="10" customFormat="1">
      <c r="A28" s="842"/>
      <c r="B28" s="845"/>
      <c r="C28" s="84" t="s">
        <v>5</v>
      </c>
      <c r="D28" s="38">
        <f>SUM(D33,D38,D43,D48,D53,D58,D63,D68,D73)</f>
        <v>0</v>
      </c>
      <c r="E28" s="36">
        <f>SUM(E33,E38,E43,E48,E53,E58,E63,E68,E73)</f>
        <v>0</v>
      </c>
      <c r="F28" s="36">
        <f>E28</f>
        <v>0</v>
      </c>
      <c r="G28" s="37">
        <f t="shared" si="4"/>
        <v>0</v>
      </c>
      <c r="H28" s="836"/>
      <c r="I28" s="18" t="s">
        <v>47</v>
      </c>
      <c r="J28" s="19">
        <f>COUNTIF($J$31:$J$75,"Частично")</f>
        <v>1</v>
      </c>
      <c r="K28" s="762"/>
      <c r="L28" s="762"/>
      <c r="M28" s="764"/>
    </row>
    <row r="29" spans="1:13" s="10" customFormat="1">
      <c r="A29" s="842"/>
      <c r="B29" s="845"/>
      <c r="C29" s="84" t="s">
        <v>6</v>
      </c>
      <c r="D29" s="38">
        <f>SUM(D34,D39,D44,D49,D54,D64,D69,D74)</f>
        <v>45246.962800000001</v>
      </c>
      <c r="E29" s="36">
        <f>SUM(E34,E39,E44,E49,E54,E59,E64,E69,E74)</f>
        <v>43573.228999999999</v>
      </c>
      <c r="F29" s="36">
        <f>E29</f>
        <v>43573.228999999999</v>
      </c>
      <c r="G29" s="37">
        <f t="shared" si="4"/>
        <v>0.96300892487749468</v>
      </c>
      <c r="H29" s="836"/>
      <c r="I29" s="18" t="s">
        <v>48</v>
      </c>
      <c r="J29" s="19">
        <f>COUNTIF($J$31:$J$75,"Нет")</f>
        <v>0</v>
      </c>
      <c r="K29" s="762"/>
      <c r="L29" s="762"/>
      <c r="M29" s="764"/>
    </row>
    <row r="30" spans="1:13" s="10" customFormat="1" ht="25.5" customHeight="1">
      <c r="A30" s="843"/>
      <c r="B30" s="846"/>
      <c r="C30" s="84" t="s">
        <v>7</v>
      </c>
      <c r="D30" s="38">
        <v>0</v>
      </c>
      <c r="E30" s="36">
        <f>SUM(E35,E40,E45,E50,E55,E60,E65,E70,E75)</f>
        <v>0</v>
      </c>
      <c r="F30" s="36">
        <f>E30</f>
        <v>0</v>
      </c>
      <c r="G30" s="37">
        <f t="shared" si="4"/>
        <v>0</v>
      </c>
      <c r="H30" s="837"/>
      <c r="I30" s="21" t="s">
        <v>49</v>
      </c>
      <c r="J30" s="22">
        <f>(J27+0.5*J28)/J26</f>
        <v>0.94444444444444442</v>
      </c>
      <c r="K30" s="762"/>
      <c r="L30" s="762"/>
      <c r="M30" s="764"/>
    </row>
    <row r="31" spans="1:13" s="10" customFormat="1" ht="15" customHeight="1">
      <c r="A31" s="710" t="s">
        <v>11</v>
      </c>
      <c r="B31" s="840" t="s">
        <v>218</v>
      </c>
      <c r="C31" s="172" t="s">
        <v>3</v>
      </c>
      <c r="D31" s="173">
        <f>SUM(D32:D35)</f>
        <v>82011.627000000008</v>
      </c>
      <c r="E31" s="173">
        <f>SUM(E32:E35)</f>
        <v>82011.626999999993</v>
      </c>
      <c r="F31" s="173">
        <f>SUM(F32:F35)</f>
        <v>82011.626999999993</v>
      </c>
      <c r="G31" s="174">
        <f t="shared" si="4"/>
        <v>0.99999999999999978</v>
      </c>
      <c r="H31" s="772" t="s">
        <v>106</v>
      </c>
      <c r="I31" s="767" t="s">
        <v>1056</v>
      </c>
      <c r="J31" s="727" t="s">
        <v>177</v>
      </c>
      <c r="K31" s="709" t="s">
        <v>87</v>
      </c>
      <c r="L31" s="701"/>
      <c r="M31" s="675">
        <v>823</v>
      </c>
    </row>
    <row r="32" spans="1:13" s="10" customFormat="1" ht="22.5" customHeight="1">
      <c r="A32" s="838"/>
      <c r="B32" s="793"/>
      <c r="C32" s="175" t="s">
        <v>4</v>
      </c>
      <c r="D32" s="176">
        <f>'912-ПП'!F72</f>
        <v>82011.627000000008</v>
      </c>
      <c r="E32" s="176">
        <f>'2024'!H22</f>
        <v>82011.626999999993</v>
      </c>
      <c r="F32" s="176">
        <f>E32</f>
        <v>82011.626999999993</v>
      </c>
      <c r="G32" s="174">
        <f t="shared" si="4"/>
        <v>0.99999999999999978</v>
      </c>
      <c r="H32" s="790"/>
      <c r="I32" s="768"/>
      <c r="J32" s="667"/>
      <c r="K32" s="667"/>
      <c r="L32" s="702"/>
      <c r="M32" s="1264"/>
    </row>
    <row r="33" spans="1:13" s="10" customFormat="1" ht="21" customHeight="1">
      <c r="A33" s="838"/>
      <c r="B33" s="793"/>
      <c r="C33" s="175" t="s">
        <v>5</v>
      </c>
      <c r="D33" s="176">
        <v>0</v>
      </c>
      <c r="E33" s="176">
        <v>0</v>
      </c>
      <c r="F33" s="176">
        <v>0</v>
      </c>
      <c r="G33" s="174">
        <f t="shared" si="4"/>
        <v>0</v>
      </c>
      <c r="H33" s="790"/>
      <c r="I33" s="768"/>
      <c r="J33" s="667"/>
      <c r="K33" s="667"/>
      <c r="L33" s="702"/>
      <c r="M33" s="1264"/>
    </row>
    <row r="34" spans="1:13" s="10" customFormat="1" ht="18.75" customHeight="1">
      <c r="A34" s="838"/>
      <c r="B34" s="793"/>
      <c r="C34" s="175" t="s">
        <v>6</v>
      </c>
      <c r="D34" s="176">
        <v>0</v>
      </c>
      <c r="E34" s="176">
        <v>0</v>
      </c>
      <c r="F34" s="176">
        <v>0</v>
      </c>
      <c r="G34" s="174">
        <f t="shared" si="4"/>
        <v>0</v>
      </c>
      <c r="H34" s="790"/>
      <c r="I34" s="768"/>
      <c r="J34" s="667"/>
      <c r="K34" s="667"/>
      <c r="L34" s="702"/>
      <c r="M34" s="1264"/>
    </row>
    <row r="35" spans="1:13" s="10" customFormat="1" ht="20.25" customHeight="1">
      <c r="A35" s="839"/>
      <c r="B35" s="794"/>
      <c r="C35" s="15" t="s">
        <v>7</v>
      </c>
      <c r="D35" s="177">
        <v>0</v>
      </c>
      <c r="E35" s="177">
        <v>0</v>
      </c>
      <c r="F35" s="177">
        <v>0</v>
      </c>
      <c r="G35" s="174">
        <f t="shared" si="4"/>
        <v>0</v>
      </c>
      <c r="H35" s="791"/>
      <c r="I35" s="769"/>
      <c r="J35" s="668"/>
      <c r="K35" s="668"/>
      <c r="L35" s="703"/>
      <c r="M35" s="1265"/>
    </row>
    <row r="36" spans="1:13" s="10" customFormat="1" ht="23.25" customHeight="1">
      <c r="A36" s="710" t="s">
        <v>39</v>
      </c>
      <c r="B36" s="840" t="s">
        <v>174</v>
      </c>
      <c r="C36" s="175" t="s">
        <v>3</v>
      </c>
      <c r="D36" s="178">
        <f>SUM(D37:D40)</f>
        <v>55000</v>
      </c>
      <c r="E36" s="178">
        <f>SUM(E37:E40)</f>
        <v>55000</v>
      </c>
      <c r="F36" s="178">
        <f>SUM(F37:F40)</f>
        <v>55000</v>
      </c>
      <c r="G36" s="174">
        <f t="shared" si="4"/>
        <v>1</v>
      </c>
      <c r="H36" s="847" t="s">
        <v>169</v>
      </c>
      <c r="I36" s="767" t="s">
        <v>1056</v>
      </c>
      <c r="J36" s="727" t="s">
        <v>177</v>
      </c>
      <c r="K36" s="709" t="s">
        <v>87</v>
      </c>
      <c r="L36" s="701"/>
      <c r="M36" s="675">
        <v>823</v>
      </c>
    </row>
    <row r="37" spans="1:13" s="10" customFormat="1" ht="22.5" customHeight="1">
      <c r="A37" s="711"/>
      <c r="B37" s="852"/>
      <c r="C37" s="175" t="s">
        <v>4</v>
      </c>
      <c r="D37" s="177">
        <f>'912-ПП'!E86</f>
        <v>55000</v>
      </c>
      <c r="E37" s="177">
        <f>'2024'!H23</f>
        <v>55000</v>
      </c>
      <c r="F37" s="177">
        <f>E37</f>
        <v>55000</v>
      </c>
      <c r="G37" s="174">
        <f t="shared" si="4"/>
        <v>1</v>
      </c>
      <c r="H37" s="848"/>
      <c r="I37" s="768"/>
      <c r="J37" s="667"/>
      <c r="K37" s="667"/>
      <c r="L37" s="702"/>
      <c r="M37" s="676"/>
    </row>
    <row r="38" spans="1:13" s="10" customFormat="1" ht="22.5" customHeight="1">
      <c r="A38" s="711"/>
      <c r="B38" s="852"/>
      <c r="C38" s="175" t="s">
        <v>5</v>
      </c>
      <c r="D38" s="177">
        <v>0</v>
      </c>
      <c r="E38" s="177">
        <v>0</v>
      </c>
      <c r="F38" s="177">
        <v>0</v>
      </c>
      <c r="G38" s="174">
        <f t="shared" si="4"/>
        <v>0</v>
      </c>
      <c r="H38" s="848"/>
      <c r="I38" s="768"/>
      <c r="J38" s="667"/>
      <c r="K38" s="667"/>
      <c r="L38" s="702"/>
      <c r="M38" s="676"/>
    </row>
    <row r="39" spans="1:13" s="10" customFormat="1" ht="25.5" customHeight="1">
      <c r="A39" s="711"/>
      <c r="B39" s="852"/>
      <c r="C39" s="175" t="s">
        <v>6</v>
      </c>
      <c r="D39" s="177">
        <v>0</v>
      </c>
      <c r="E39" s="177">
        <v>0</v>
      </c>
      <c r="F39" s="177">
        <v>0</v>
      </c>
      <c r="G39" s="174">
        <f t="shared" si="4"/>
        <v>0</v>
      </c>
      <c r="H39" s="848"/>
      <c r="I39" s="768"/>
      <c r="J39" s="667"/>
      <c r="K39" s="667"/>
      <c r="L39" s="702"/>
      <c r="M39" s="676"/>
    </row>
    <row r="40" spans="1:13" s="10" customFormat="1" ht="21.75" customHeight="1">
      <c r="A40" s="712"/>
      <c r="B40" s="853"/>
      <c r="C40" s="175" t="s">
        <v>7</v>
      </c>
      <c r="D40" s="177">
        <v>0</v>
      </c>
      <c r="E40" s="177">
        <v>0</v>
      </c>
      <c r="F40" s="177">
        <v>0</v>
      </c>
      <c r="G40" s="174">
        <f t="shared" si="4"/>
        <v>0</v>
      </c>
      <c r="H40" s="849"/>
      <c r="I40" s="769"/>
      <c r="J40" s="668"/>
      <c r="K40" s="668"/>
      <c r="L40" s="703"/>
      <c r="M40" s="677"/>
    </row>
    <row r="41" spans="1:13" s="14" customFormat="1" ht="21.75" customHeight="1">
      <c r="A41" s="719" t="s">
        <v>71</v>
      </c>
      <c r="B41" s="792" t="s">
        <v>211</v>
      </c>
      <c r="C41" s="179" t="s">
        <v>3</v>
      </c>
      <c r="D41" s="180">
        <f>SUM(D42:D45)</f>
        <v>2274.0250000000001</v>
      </c>
      <c r="E41" s="180">
        <f>SUM(E42:E45)</f>
        <v>2274.0250000000001</v>
      </c>
      <c r="F41" s="180">
        <f>SUM(F42:F45)</f>
        <v>2274.0250000000001</v>
      </c>
      <c r="G41" s="174">
        <f t="shared" si="4"/>
        <v>1</v>
      </c>
      <c r="H41" s="779" t="s">
        <v>73</v>
      </c>
      <c r="I41" s="701" t="s">
        <v>652</v>
      </c>
      <c r="J41" s="727" t="s">
        <v>177</v>
      </c>
      <c r="K41" s="737" t="s">
        <v>87</v>
      </c>
      <c r="L41" s="701"/>
      <c r="M41" s="675">
        <v>823</v>
      </c>
    </row>
    <row r="42" spans="1:13" s="14" customFormat="1" ht="21.75" customHeight="1">
      <c r="A42" s="720"/>
      <c r="B42" s="850"/>
      <c r="C42" s="181" t="s">
        <v>4</v>
      </c>
      <c r="D42" s="182">
        <f>'912-ПП'!F93</f>
        <v>2274.0250000000001</v>
      </c>
      <c r="E42" s="182">
        <f>'[2]2024'!H22</f>
        <v>2274.0250000000001</v>
      </c>
      <c r="F42" s="182">
        <f>E42</f>
        <v>2274.0250000000001</v>
      </c>
      <c r="G42" s="174">
        <f t="shared" si="4"/>
        <v>1</v>
      </c>
      <c r="H42" s="780"/>
      <c r="I42" s="702"/>
      <c r="J42" s="667"/>
      <c r="K42" s="738"/>
      <c r="L42" s="702"/>
      <c r="M42" s="676"/>
    </row>
    <row r="43" spans="1:13" s="14" customFormat="1" ht="23.25" customHeight="1">
      <c r="A43" s="720"/>
      <c r="B43" s="850"/>
      <c r="C43" s="181" t="s">
        <v>5</v>
      </c>
      <c r="D43" s="183">
        <v>0</v>
      </c>
      <c r="E43" s="182">
        <v>0</v>
      </c>
      <c r="F43" s="182">
        <v>0</v>
      </c>
      <c r="G43" s="174">
        <f t="shared" si="4"/>
        <v>0</v>
      </c>
      <c r="H43" s="780"/>
      <c r="I43" s="702"/>
      <c r="J43" s="667"/>
      <c r="K43" s="738"/>
      <c r="L43" s="702"/>
      <c r="M43" s="676"/>
    </row>
    <row r="44" spans="1:13" s="14" customFormat="1" ht="22.5" customHeight="1">
      <c r="A44" s="720"/>
      <c r="B44" s="850"/>
      <c r="C44" s="181" t="s">
        <v>6</v>
      </c>
      <c r="D44" s="183">
        <v>0</v>
      </c>
      <c r="E44" s="182">
        <v>0</v>
      </c>
      <c r="F44" s="182">
        <v>0</v>
      </c>
      <c r="G44" s="174">
        <f t="shared" si="4"/>
        <v>0</v>
      </c>
      <c r="H44" s="780"/>
      <c r="I44" s="702"/>
      <c r="J44" s="667"/>
      <c r="K44" s="738"/>
      <c r="L44" s="702"/>
      <c r="M44" s="676"/>
    </row>
    <row r="45" spans="1:13" s="14" customFormat="1" ht="15" customHeight="1">
      <c r="A45" s="721"/>
      <c r="B45" s="851"/>
      <c r="C45" s="181" t="s">
        <v>7</v>
      </c>
      <c r="D45" s="183">
        <v>0</v>
      </c>
      <c r="E45" s="182">
        <v>0</v>
      </c>
      <c r="F45" s="182">
        <v>0</v>
      </c>
      <c r="G45" s="174">
        <f t="shared" si="4"/>
        <v>0</v>
      </c>
      <c r="H45" s="781"/>
      <c r="I45" s="703"/>
      <c r="J45" s="668"/>
      <c r="K45" s="738"/>
      <c r="L45" s="703"/>
      <c r="M45" s="677"/>
    </row>
    <row r="46" spans="1:13" s="14" customFormat="1" ht="15" customHeight="1">
      <c r="A46" s="719" t="s">
        <v>72</v>
      </c>
      <c r="B46" s="792" t="s">
        <v>168</v>
      </c>
      <c r="C46" s="179" t="s">
        <v>3</v>
      </c>
      <c r="D46" s="184">
        <f>SUM(D47:D50)</f>
        <v>160494.09357999999</v>
      </c>
      <c r="E46" s="184">
        <f>SUM(E47:E50)</f>
        <v>159314.783</v>
      </c>
      <c r="F46" s="184">
        <f>SUM(F47:F50)</f>
        <v>159314.783</v>
      </c>
      <c r="G46" s="174">
        <f t="shared" si="4"/>
        <v>0.99265200012228394</v>
      </c>
      <c r="H46" s="779" t="s">
        <v>74</v>
      </c>
      <c r="I46" s="772" t="s">
        <v>1029</v>
      </c>
      <c r="J46" s="727" t="s">
        <v>177</v>
      </c>
      <c r="K46" s="737" t="s">
        <v>65</v>
      </c>
      <c r="L46" s="701"/>
      <c r="M46" s="675">
        <v>823</v>
      </c>
    </row>
    <row r="47" spans="1:13" s="14" customFormat="1" ht="15" customHeight="1">
      <c r="A47" s="720"/>
      <c r="B47" s="793"/>
      <c r="C47" s="181" t="s">
        <v>4</v>
      </c>
      <c r="D47" s="182">
        <f>'912-ПП'!F100</f>
        <v>160494.09357999999</v>
      </c>
      <c r="E47" s="182">
        <f>'2024'!I25</f>
        <v>159314.783</v>
      </c>
      <c r="F47" s="182">
        <f>E47</f>
        <v>159314.783</v>
      </c>
      <c r="G47" s="174">
        <f t="shared" si="4"/>
        <v>0.99265200012228394</v>
      </c>
      <c r="H47" s="790"/>
      <c r="I47" s="1266"/>
      <c r="J47" s="667"/>
      <c r="K47" s="738"/>
      <c r="L47" s="702"/>
      <c r="M47" s="676"/>
    </row>
    <row r="48" spans="1:13" s="14" customFormat="1" ht="15" customHeight="1">
      <c r="A48" s="720"/>
      <c r="B48" s="793"/>
      <c r="C48" s="181" t="s">
        <v>5</v>
      </c>
      <c r="D48" s="183">
        <v>0</v>
      </c>
      <c r="E48" s="182">
        <v>0</v>
      </c>
      <c r="F48" s="182">
        <v>0</v>
      </c>
      <c r="G48" s="174">
        <f t="shared" si="4"/>
        <v>0</v>
      </c>
      <c r="H48" s="790"/>
      <c r="I48" s="1266"/>
      <c r="J48" s="667"/>
      <c r="K48" s="738"/>
      <c r="L48" s="702"/>
      <c r="M48" s="676"/>
    </row>
    <row r="49" spans="1:13" s="14" customFormat="1" ht="15" customHeight="1">
      <c r="A49" s="720"/>
      <c r="B49" s="793"/>
      <c r="C49" s="181" t="s">
        <v>6</v>
      </c>
      <c r="D49" s="183">
        <v>0</v>
      </c>
      <c r="E49" s="182">
        <v>0</v>
      </c>
      <c r="F49" s="182">
        <v>0</v>
      </c>
      <c r="G49" s="174">
        <f t="shared" si="4"/>
        <v>0</v>
      </c>
      <c r="H49" s="790"/>
      <c r="I49" s="1266"/>
      <c r="J49" s="667"/>
      <c r="K49" s="738"/>
      <c r="L49" s="702"/>
      <c r="M49" s="676"/>
    </row>
    <row r="50" spans="1:13" s="14" customFormat="1" ht="42" customHeight="1">
      <c r="A50" s="721"/>
      <c r="B50" s="794"/>
      <c r="C50" s="181" t="s">
        <v>7</v>
      </c>
      <c r="D50" s="183">
        <v>0</v>
      </c>
      <c r="E50" s="182">
        <v>0</v>
      </c>
      <c r="F50" s="182">
        <v>0</v>
      </c>
      <c r="G50" s="174">
        <f t="shared" si="4"/>
        <v>0</v>
      </c>
      <c r="H50" s="791"/>
      <c r="I50" s="1267"/>
      <c r="J50" s="668"/>
      <c r="K50" s="739"/>
      <c r="L50" s="703"/>
      <c r="M50" s="676"/>
    </row>
    <row r="51" spans="1:13" s="14" customFormat="1" ht="15" customHeight="1">
      <c r="A51" s="696" t="s">
        <v>109</v>
      </c>
      <c r="B51" s="722" t="s">
        <v>107</v>
      </c>
      <c r="C51" s="179" t="s">
        <v>3</v>
      </c>
      <c r="D51" s="185">
        <f>SUM(D52:D55)</f>
        <v>20000</v>
      </c>
      <c r="E51" s="186">
        <f>SUM(E52:E55)</f>
        <v>20000</v>
      </c>
      <c r="F51" s="186">
        <f>SUM(F52:F55)</f>
        <v>20000</v>
      </c>
      <c r="G51" s="174">
        <f t="shared" si="4"/>
        <v>1</v>
      </c>
      <c r="H51" s="784" t="s">
        <v>106</v>
      </c>
      <c r="I51" s="701" t="s">
        <v>219</v>
      </c>
      <c r="J51" s="727" t="s">
        <v>177</v>
      </c>
      <c r="K51" s="737" t="s">
        <v>65</v>
      </c>
      <c r="L51" s="709"/>
      <c r="M51" s="675">
        <v>823</v>
      </c>
    </row>
    <row r="52" spans="1:13" s="14" customFormat="1" ht="15" customHeight="1">
      <c r="A52" s="661"/>
      <c r="B52" s="723"/>
      <c r="C52" s="181" t="s">
        <v>4</v>
      </c>
      <c r="D52" s="187">
        <f>'912-ПП'!F107</f>
        <v>20000</v>
      </c>
      <c r="E52" s="188">
        <f>'2024'!H26</f>
        <v>20000</v>
      </c>
      <c r="F52" s="188">
        <f>E52</f>
        <v>20000</v>
      </c>
      <c r="G52" s="174">
        <f t="shared" si="4"/>
        <v>1</v>
      </c>
      <c r="H52" s="785"/>
      <c r="I52" s="759"/>
      <c r="J52" s="667"/>
      <c r="K52" s="738"/>
      <c r="L52" s="673"/>
      <c r="M52" s="676"/>
    </row>
    <row r="53" spans="1:13" s="14" customFormat="1" ht="15" customHeight="1">
      <c r="A53" s="661"/>
      <c r="B53" s="723"/>
      <c r="C53" s="181" t="s">
        <v>5</v>
      </c>
      <c r="D53" s="187">
        <v>0</v>
      </c>
      <c r="E53" s="188">
        <v>0</v>
      </c>
      <c r="F53" s="188">
        <v>0</v>
      </c>
      <c r="G53" s="174">
        <f t="shared" si="4"/>
        <v>0</v>
      </c>
      <c r="H53" s="785"/>
      <c r="I53" s="759"/>
      <c r="J53" s="667"/>
      <c r="K53" s="738"/>
      <c r="L53" s="673"/>
      <c r="M53" s="676"/>
    </row>
    <row r="54" spans="1:13" s="14" customFormat="1" ht="15" customHeight="1">
      <c r="A54" s="661"/>
      <c r="B54" s="723"/>
      <c r="C54" s="181" t="s">
        <v>6</v>
      </c>
      <c r="D54" s="187">
        <v>0</v>
      </c>
      <c r="E54" s="188">
        <v>0</v>
      </c>
      <c r="F54" s="188">
        <v>0</v>
      </c>
      <c r="G54" s="174">
        <f t="shared" si="4"/>
        <v>0</v>
      </c>
      <c r="H54" s="785"/>
      <c r="I54" s="759"/>
      <c r="J54" s="667"/>
      <c r="K54" s="738"/>
      <c r="L54" s="673"/>
      <c r="M54" s="676"/>
    </row>
    <row r="55" spans="1:13" s="14" customFormat="1" ht="45.75" customHeight="1">
      <c r="A55" s="662"/>
      <c r="B55" s="724"/>
      <c r="C55" s="181" t="s">
        <v>7</v>
      </c>
      <c r="D55" s="187">
        <v>0</v>
      </c>
      <c r="E55" s="188">
        <v>0</v>
      </c>
      <c r="F55" s="188">
        <v>0</v>
      </c>
      <c r="G55" s="174">
        <f t="shared" si="4"/>
        <v>0</v>
      </c>
      <c r="H55" s="785"/>
      <c r="I55" s="760"/>
      <c r="J55" s="668"/>
      <c r="K55" s="739"/>
      <c r="L55" s="674"/>
      <c r="M55" s="676"/>
    </row>
    <row r="56" spans="1:13" s="14" customFormat="1" ht="32.25" customHeight="1">
      <c r="A56" s="696" t="s">
        <v>111</v>
      </c>
      <c r="B56" s="722" t="s">
        <v>108</v>
      </c>
      <c r="C56" s="179" t="s">
        <v>3</v>
      </c>
      <c r="D56" s="183">
        <f>SUM(D57:D60)</f>
        <v>21000</v>
      </c>
      <c r="E56" s="182">
        <f>SUM(E57:E60)</f>
        <v>21000</v>
      </c>
      <c r="F56" s="182">
        <f>SUM(F57:F60)</f>
        <v>21000</v>
      </c>
      <c r="G56" s="174">
        <f t="shared" si="4"/>
        <v>1</v>
      </c>
      <c r="H56" s="786" t="s">
        <v>167</v>
      </c>
      <c r="I56" s="704" t="s">
        <v>687</v>
      </c>
      <c r="J56" s="727" t="s">
        <v>177</v>
      </c>
      <c r="K56" s="737" t="s">
        <v>65</v>
      </c>
      <c r="L56" s="700"/>
      <c r="M56" s="1268">
        <v>823</v>
      </c>
    </row>
    <row r="57" spans="1:13" s="14" customFormat="1" ht="25.5" customHeight="1">
      <c r="A57" s="661"/>
      <c r="B57" s="723"/>
      <c r="C57" s="181" t="s">
        <v>4</v>
      </c>
      <c r="D57" s="183">
        <f>'912-ПП'!F127</f>
        <v>21000</v>
      </c>
      <c r="E57" s="182">
        <f>[2]Документ!R36</f>
        <v>21000</v>
      </c>
      <c r="F57" s="182">
        <f>E57</f>
        <v>21000</v>
      </c>
      <c r="G57" s="174">
        <f t="shared" si="4"/>
        <v>1</v>
      </c>
      <c r="H57" s="787"/>
      <c r="I57" s="667"/>
      <c r="J57" s="667"/>
      <c r="K57" s="738"/>
      <c r="L57" s="700"/>
      <c r="M57" s="1268"/>
    </row>
    <row r="58" spans="1:13" s="14" customFormat="1" ht="15" customHeight="1">
      <c r="A58" s="661"/>
      <c r="B58" s="723"/>
      <c r="C58" s="181" t="s">
        <v>5</v>
      </c>
      <c r="D58" s="183">
        <v>0</v>
      </c>
      <c r="E58" s="182">
        <v>0</v>
      </c>
      <c r="F58" s="182">
        <v>0</v>
      </c>
      <c r="G58" s="174">
        <f t="shared" si="4"/>
        <v>0</v>
      </c>
      <c r="H58" s="787"/>
      <c r="I58" s="667"/>
      <c r="J58" s="667"/>
      <c r="K58" s="738"/>
      <c r="L58" s="700"/>
      <c r="M58" s="1268"/>
    </row>
    <row r="59" spans="1:13" s="14" customFormat="1" ht="21" customHeight="1">
      <c r="A59" s="661"/>
      <c r="B59" s="723"/>
      <c r="C59" s="181" t="s">
        <v>6</v>
      </c>
      <c r="D59" s="183">
        <v>0</v>
      </c>
      <c r="E59" s="182">
        <v>0</v>
      </c>
      <c r="F59" s="182">
        <v>0</v>
      </c>
      <c r="G59" s="174">
        <f t="shared" si="4"/>
        <v>0</v>
      </c>
      <c r="H59" s="787"/>
      <c r="I59" s="667"/>
      <c r="J59" s="667"/>
      <c r="K59" s="738"/>
      <c r="L59" s="700"/>
      <c r="M59" s="1268"/>
    </row>
    <row r="60" spans="1:13" s="14" customFormat="1" ht="15" customHeight="1">
      <c r="A60" s="662"/>
      <c r="B60" s="724"/>
      <c r="C60" s="181" t="s">
        <v>7</v>
      </c>
      <c r="D60" s="183">
        <v>0</v>
      </c>
      <c r="E60" s="182">
        <v>0</v>
      </c>
      <c r="F60" s="182">
        <v>0</v>
      </c>
      <c r="G60" s="174">
        <f t="shared" si="4"/>
        <v>0</v>
      </c>
      <c r="H60" s="788"/>
      <c r="I60" s="668"/>
      <c r="J60" s="668"/>
      <c r="K60" s="739"/>
      <c r="L60" s="700"/>
      <c r="M60" s="1268"/>
    </row>
    <row r="61" spans="1:13" s="14" customFormat="1" ht="24.75" customHeight="1">
      <c r="A61" s="696" t="s">
        <v>166</v>
      </c>
      <c r="B61" s="722" t="s">
        <v>165</v>
      </c>
      <c r="C61" s="179" t="s">
        <v>3</v>
      </c>
      <c r="D61" s="183">
        <f>SUM(D62:D65)</f>
        <v>10638.540800000001</v>
      </c>
      <c r="E61" s="182">
        <f>SUM(E62:E65)</f>
        <v>10638.54</v>
      </c>
      <c r="F61" s="182">
        <f>SUM(F62:F65)</f>
        <v>10638.54</v>
      </c>
      <c r="G61" s="174">
        <f t="shared" si="4"/>
        <v>0.99999992480171718</v>
      </c>
      <c r="H61" s="786" t="s">
        <v>635</v>
      </c>
      <c r="I61" s="704" t="s">
        <v>654</v>
      </c>
      <c r="J61" s="727" t="s">
        <v>177</v>
      </c>
      <c r="K61" s="737" t="s">
        <v>92</v>
      </c>
      <c r="L61" s="701"/>
      <c r="M61" s="1268">
        <v>823</v>
      </c>
    </row>
    <row r="62" spans="1:13" s="14" customFormat="1" ht="15" customHeight="1">
      <c r="A62" s="661"/>
      <c r="B62" s="723"/>
      <c r="C62" s="181" t="s">
        <v>4</v>
      </c>
      <c r="D62" s="183">
        <f>'912-ПП'!F148</f>
        <v>9000</v>
      </c>
      <c r="E62" s="182">
        <f>'2024'!H29</f>
        <v>9000</v>
      </c>
      <c r="F62" s="182">
        <f>E62</f>
        <v>9000</v>
      </c>
      <c r="G62" s="174">
        <f t="shared" si="4"/>
        <v>1</v>
      </c>
      <c r="H62" s="787"/>
      <c r="I62" s="667"/>
      <c r="J62" s="667"/>
      <c r="K62" s="738"/>
      <c r="L62" s="702"/>
      <c r="M62" s="1268"/>
    </row>
    <row r="63" spans="1:13" s="14" customFormat="1" ht="15" customHeight="1">
      <c r="A63" s="661"/>
      <c r="B63" s="723"/>
      <c r="C63" s="181" t="s">
        <v>5</v>
      </c>
      <c r="D63" s="183">
        <v>0</v>
      </c>
      <c r="E63" s="182">
        <v>0</v>
      </c>
      <c r="F63" s="182">
        <v>0</v>
      </c>
      <c r="G63" s="174">
        <f t="shared" si="4"/>
        <v>0</v>
      </c>
      <c r="H63" s="787"/>
      <c r="I63" s="667"/>
      <c r="J63" s="667"/>
      <c r="K63" s="738"/>
      <c r="L63" s="702"/>
      <c r="M63" s="1268"/>
    </row>
    <row r="64" spans="1:13" s="14" customFormat="1" ht="15" customHeight="1">
      <c r="A64" s="661"/>
      <c r="B64" s="723"/>
      <c r="C64" s="181" t="s">
        <v>6</v>
      </c>
      <c r="D64" s="183">
        <f>'912-ПП'!H148</f>
        <v>1638.5408</v>
      </c>
      <c r="E64" s="182">
        <f>'2024'!I29</f>
        <v>1638.54</v>
      </c>
      <c r="F64" s="182">
        <f>E64</f>
        <v>1638.54</v>
      </c>
      <c r="G64" s="174">
        <f t="shared" si="4"/>
        <v>0.999999511760708</v>
      </c>
      <c r="H64" s="787"/>
      <c r="I64" s="667"/>
      <c r="J64" s="667"/>
      <c r="K64" s="738"/>
      <c r="L64" s="702"/>
      <c r="M64" s="1268"/>
    </row>
    <row r="65" spans="1:13" s="14" customFormat="1" ht="15" customHeight="1">
      <c r="A65" s="662"/>
      <c r="B65" s="724"/>
      <c r="C65" s="181" t="s">
        <v>7</v>
      </c>
      <c r="D65" s="183">
        <v>0</v>
      </c>
      <c r="E65" s="182">
        <v>0</v>
      </c>
      <c r="F65" s="182">
        <v>0</v>
      </c>
      <c r="G65" s="174">
        <f t="shared" si="4"/>
        <v>0</v>
      </c>
      <c r="H65" s="788"/>
      <c r="I65" s="668"/>
      <c r="J65" s="668"/>
      <c r="K65" s="739"/>
      <c r="L65" s="703"/>
      <c r="M65" s="1268"/>
    </row>
    <row r="66" spans="1:13" s="14" customFormat="1" ht="36" customHeight="1">
      <c r="A66" s="696" t="s">
        <v>164</v>
      </c>
      <c r="B66" s="722" t="s">
        <v>163</v>
      </c>
      <c r="C66" s="179" t="s">
        <v>3</v>
      </c>
      <c r="D66" s="183">
        <f>SUM(D67:D70)</f>
        <v>163608.42199999999</v>
      </c>
      <c r="E66" s="182">
        <f>SUM(E67:E70)</f>
        <v>153424.04499999998</v>
      </c>
      <c r="F66" s="182">
        <f>SUM(F67:F70)</f>
        <v>153424.04499999998</v>
      </c>
      <c r="G66" s="174">
        <f t="shared" si="4"/>
        <v>0.93775151134945844</v>
      </c>
      <c r="H66" s="786" t="s">
        <v>636</v>
      </c>
      <c r="I66" s="704" t="s">
        <v>655</v>
      </c>
      <c r="J66" s="727" t="s">
        <v>178</v>
      </c>
      <c r="K66" s="737" t="s">
        <v>92</v>
      </c>
      <c r="L66" s="1269" t="s">
        <v>1073</v>
      </c>
      <c r="M66" s="675">
        <v>823</v>
      </c>
    </row>
    <row r="67" spans="1:13" s="14" customFormat="1" ht="57" customHeight="1">
      <c r="A67" s="661"/>
      <c r="B67" s="723"/>
      <c r="C67" s="181" t="s">
        <v>4</v>
      </c>
      <c r="D67" s="183">
        <f>'912-ПП'!F155</f>
        <v>120000</v>
      </c>
      <c r="E67" s="182">
        <f>'2024'!H35</f>
        <v>111489.356</v>
      </c>
      <c r="F67" s="182">
        <f>E67</f>
        <v>111489.356</v>
      </c>
      <c r="G67" s="174">
        <f t="shared" si="4"/>
        <v>0.92907796666666664</v>
      </c>
      <c r="H67" s="787"/>
      <c r="I67" s="667"/>
      <c r="J67" s="667"/>
      <c r="K67" s="738"/>
      <c r="L67" s="1270"/>
      <c r="M67" s="676"/>
    </row>
    <row r="68" spans="1:13" s="14" customFormat="1" ht="33" customHeight="1">
      <c r="A68" s="661"/>
      <c r="B68" s="723"/>
      <c r="C68" s="181" t="s">
        <v>5</v>
      </c>
      <c r="D68" s="183">
        <v>0</v>
      </c>
      <c r="E68" s="182">
        <v>0</v>
      </c>
      <c r="F68" s="182">
        <v>0</v>
      </c>
      <c r="G68" s="174">
        <f t="shared" si="4"/>
        <v>0</v>
      </c>
      <c r="H68" s="787"/>
      <c r="I68" s="667"/>
      <c r="J68" s="667"/>
      <c r="K68" s="738"/>
      <c r="L68" s="1270"/>
      <c r="M68" s="676"/>
    </row>
    <row r="69" spans="1:13" s="14" customFormat="1" ht="21.75" customHeight="1">
      <c r="A69" s="661"/>
      <c r="B69" s="723"/>
      <c r="C69" s="181" t="s">
        <v>6</v>
      </c>
      <c r="D69" s="183">
        <f>'912-ПП'!H155</f>
        <v>43608.421999999999</v>
      </c>
      <c r="E69" s="182">
        <v>41934.688999999998</v>
      </c>
      <c r="F69" s="182">
        <f>E69</f>
        <v>41934.688999999998</v>
      </c>
      <c r="G69" s="174">
        <f t="shared" si="4"/>
        <v>0.96161904230334228</v>
      </c>
      <c r="H69" s="787"/>
      <c r="I69" s="667"/>
      <c r="J69" s="667"/>
      <c r="K69" s="738"/>
      <c r="L69" s="1270"/>
      <c r="M69" s="676"/>
    </row>
    <row r="70" spans="1:13" s="14" customFormat="1" ht="25.5" customHeight="1">
      <c r="A70" s="662"/>
      <c r="B70" s="724"/>
      <c r="C70" s="181" t="s">
        <v>7</v>
      </c>
      <c r="D70" s="183">
        <v>0</v>
      </c>
      <c r="E70" s="182">
        <v>0</v>
      </c>
      <c r="F70" s="182">
        <v>0</v>
      </c>
      <c r="G70" s="174">
        <f t="shared" si="4"/>
        <v>0</v>
      </c>
      <c r="H70" s="788"/>
      <c r="I70" s="668"/>
      <c r="J70" s="668"/>
      <c r="K70" s="739"/>
      <c r="L70" s="1271"/>
      <c r="M70" s="676"/>
    </row>
    <row r="71" spans="1:13" s="14" customFormat="1" ht="32.25" customHeight="1">
      <c r="A71" s="696" t="s">
        <v>162</v>
      </c>
      <c r="B71" s="722" t="s">
        <v>161</v>
      </c>
      <c r="C71" s="179" t="s">
        <v>3</v>
      </c>
      <c r="D71" s="183">
        <f>SUM(D72:D75)</f>
        <v>10990</v>
      </c>
      <c r="E71" s="182">
        <f>SUM(E72:E75)</f>
        <v>10990</v>
      </c>
      <c r="F71" s="182">
        <f>SUM(F72:F75)</f>
        <v>10990</v>
      </c>
      <c r="G71" s="174">
        <f t="shared" si="4"/>
        <v>1</v>
      </c>
      <c r="H71" s="786" t="s">
        <v>160</v>
      </c>
      <c r="I71" s="1272" t="s">
        <v>662</v>
      </c>
      <c r="J71" s="727" t="s">
        <v>177</v>
      </c>
      <c r="K71" s="737" t="s">
        <v>65</v>
      </c>
      <c r="L71" s="701"/>
      <c r="M71" s="675">
        <v>823</v>
      </c>
    </row>
    <row r="72" spans="1:13" s="14" customFormat="1" ht="23.25" customHeight="1">
      <c r="A72" s="661"/>
      <c r="B72" s="723"/>
      <c r="C72" s="181" t="s">
        <v>4</v>
      </c>
      <c r="D72" s="183">
        <f>'912-ПП'!F162</f>
        <v>10990</v>
      </c>
      <c r="E72" s="182">
        <f>[2]Документ!R22</f>
        <v>10990</v>
      </c>
      <c r="F72" s="182">
        <f>E72</f>
        <v>10990</v>
      </c>
      <c r="G72" s="174">
        <f t="shared" si="4"/>
        <v>1</v>
      </c>
      <c r="H72" s="787"/>
      <c r="I72" s="754"/>
      <c r="J72" s="667"/>
      <c r="K72" s="738"/>
      <c r="L72" s="702"/>
      <c r="M72" s="676"/>
    </row>
    <row r="73" spans="1:13" s="14" customFormat="1" ht="21.75" customHeight="1">
      <c r="A73" s="661"/>
      <c r="B73" s="723"/>
      <c r="C73" s="181" t="s">
        <v>5</v>
      </c>
      <c r="D73" s="183">
        <v>0</v>
      </c>
      <c r="E73" s="182">
        <v>0</v>
      </c>
      <c r="F73" s="182">
        <v>0</v>
      </c>
      <c r="G73" s="174">
        <f t="shared" si="4"/>
        <v>0</v>
      </c>
      <c r="H73" s="787"/>
      <c r="I73" s="754"/>
      <c r="J73" s="667"/>
      <c r="K73" s="738"/>
      <c r="L73" s="702"/>
      <c r="M73" s="676"/>
    </row>
    <row r="74" spans="1:13" s="14" customFormat="1" ht="24.75" customHeight="1">
      <c r="A74" s="661"/>
      <c r="B74" s="723"/>
      <c r="C74" s="181" t="s">
        <v>6</v>
      </c>
      <c r="D74" s="183">
        <v>0</v>
      </c>
      <c r="E74" s="182">
        <v>0</v>
      </c>
      <c r="F74" s="182">
        <v>0</v>
      </c>
      <c r="G74" s="174">
        <f t="shared" si="4"/>
        <v>0</v>
      </c>
      <c r="H74" s="787"/>
      <c r="I74" s="754"/>
      <c r="J74" s="667"/>
      <c r="K74" s="738"/>
      <c r="L74" s="702"/>
      <c r="M74" s="676"/>
    </row>
    <row r="75" spans="1:13" s="14" customFormat="1" ht="20.25" customHeight="1">
      <c r="A75" s="662"/>
      <c r="B75" s="724"/>
      <c r="C75" s="181" t="s">
        <v>7</v>
      </c>
      <c r="D75" s="183">
        <v>0</v>
      </c>
      <c r="E75" s="182">
        <v>0</v>
      </c>
      <c r="F75" s="182">
        <v>0</v>
      </c>
      <c r="G75" s="174">
        <f t="shared" si="4"/>
        <v>0</v>
      </c>
      <c r="H75" s="788"/>
      <c r="I75" s="755"/>
      <c r="J75" s="668"/>
      <c r="K75" s="739"/>
      <c r="L75" s="703"/>
      <c r="M75" s="676"/>
    </row>
    <row r="76" spans="1:13" s="10" customFormat="1">
      <c r="A76" s="728" t="s">
        <v>171</v>
      </c>
      <c r="B76" s="731" t="s">
        <v>94</v>
      </c>
      <c r="C76" s="39" t="s">
        <v>3</v>
      </c>
      <c r="D76" s="40">
        <f>SUM(D77:D80)</f>
        <v>15999.171999999999</v>
      </c>
      <c r="E76" s="40">
        <f>SUM(E77:E80)</f>
        <v>15999.171200000001</v>
      </c>
      <c r="F76" s="40">
        <f>SUM(F77:F80)</f>
        <v>15999.171200000001</v>
      </c>
      <c r="G76" s="37">
        <f t="shared" si="4"/>
        <v>0.99999994999741249</v>
      </c>
      <c r="H76" s="734" t="s">
        <v>159</v>
      </c>
      <c r="I76" s="18" t="s">
        <v>45</v>
      </c>
      <c r="J76" s="19">
        <f>SUM(J77:J79)</f>
        <v>2</v>
      </c>
      <c r="K76" s="761" t="s">
        <v>64</v>
      </c>
      <c r="L76" s="761"/>
      <c r="M76" s="763">
        <v>823</v>
      </c>
    </row>
    <row r="77" spans="1:13" s="10" customFormat="1">
      <c r="A77" s="729"/>
      <c r="B77" s="732"/>
      <c r="C77" s="39" t="s">
        <v>4</v>
      </c>
      <c r="D77" s="41">
        <f>SUM(D82,D87)</f>
        <v>15999.171999999999</v>
      </c>
      <c r="E77" s="41">
        <f>SUM(,E82,E87)</f>
        <v>15999.171200000001</v>
      </c>
      <c r="F77" s="41">
        <f>E77</f>
        <v>15999.171200000001</v>
      </c>
      <c r="G77" s="37">
        <f t="shared" si="4"/>
        <v>0.99999994999741249</v>
      </c>
      <c r="H77" s="735"/>
      <c r="I77" s="18" t="s">
        <v>46</v>
      </c>
      <c r="J77" s="19">
        <f>COUNTIF($J$81:$J$90,"Да")</f>
        <v>2</v>
      </c>
      <c r="K77" s="762"/>
      <c r="L77" s="762"/>
      <c r="M77" s="764"/>
    </row>
    <row r="78" spans="1:13" s="10" customFormat="1">
      <c r="A78" s="729"/>
      <c r="B78" s="732"/>
      <c r="C78" s="39" t="s">
        <v>5</v>
      </c>
      <c r="D78" s="41">
        <v>0</v>
      </c>
      <c r="E78" s="41">
        <f t="shared" ref="E78:E80" si="7">SUM(,E83,E88)</f>
        <v>0</v>
      </c>
      <c r="F78" s="41">
        <f>E78</f>
        <v>0</v>
      </c>
      <c r="G78" s="37">
        <f t="shared" ref="G78:G146" si="8">IFERROR(F78/D78,0)</f>
        <v>0</v>
      </c>
      <c r="H78" s="735"/>
      <c r="I78" s="18" t="s">
        <v>47</v>
      </c>
      <c r="J78" s="19">
        <f>COUNTIF($J$81:$J$90,"Частично")</f>
        <v>0</v>
      </c>
      <c r="K78" s="762"/>
      <c r="L78" s="762"/>
      <c r="M78" s="764"/>
    </row>
    <row r="79" spans="1:13" s="10" customFormat="1">
      <c r="A79" s="729"/>
      <c r="B79" s="732"/>
      <c r="C79" s="39" t="s">
        <v>6</v>
      </c>
      <c r="D79" s="41">
        <v>0</v>
      </c>
      <c r="E79" s="41">
        <f t="shared" si="7"/>
        <v>0</v>
      </c>
      <c r="F79" s="41">
        <f>E79</f>
        <v>0</v>
      </c>
      <c r="G79" s="37">
        <f t="shared" si="8"/>
        <v>0</v>
      </c>
      <c r="H79" s="735"/>
      <c r="I79" s="18" t="s">
        <v>48</v>
      </c>
      <c r="J79" s="19">
        <f>COUNTIF($J$81:$J$90,"Нет")</f>
        <v>0</v>
      </c>
      <c r="K79" s="762"/>
      <c r="L79" s="762"/>
      <c r="M79" s="764"/>
    </row>
    <row r="80" spans="1:13" s="10" customFormat="1">
      <c r="A80" s="730"/>
      <c r="B80" s="733"/>
      <c r="C80" s="39" t="s">
        <v>7</v>
      </c>
      <c r="D80" s="41">
        <v>0</v>
      </c>
      <c r="E80" s="41">
        <f t="shared" si="7"/>
        <v>0</v>
      </c>
      <c r="F80" s="41">
        <f>E80</f>
        <v>0</v>
      </c>
      <c r="G80" s="37">
        <f t="shared" si="8"/>
        <v>0</v>
      </c>
      <c r="H80" s="736"/>
      <c r="I80" s="18" t="s">
        <v>49</v>
      </c>
      <c r="J80" s="20">
        <f>(J77+0.5*J78)/J76</f>
        <v>1</v>
      </c>
      <c r="K80" s="762"/>
      <c r="L80" s="762"/>
      <c r="M80" s="834"/>
    </row>
    <row r="81" spans="1:13" s="220" customFormat="1" ht="15" customHeight="1">
      <c r="A81" s="719" t="s">
        <v>172</v>
      </c>
      <c r="B81" s="1273" t="s">
        <v>175</v>
      </c>
      <c r="C81" s="181" t="s">
        <v>3</v>
      </c>
      <c r="D81" s="183">
        <f>SUM(D82:D85)</f>
        <v>7999.1719999999996</v>
      </c>
      <c r="E81" s="182">
        <f>SUM(E82:E85)</f>
        <v>7999.1711999999998</v>
      </c>
      <c r="F81" s="182">
        <f>SUM(F82:F85)</f>
        <v>7999.1711999999998</v>
      </c>
      <c r="G81" s="174">
        <f t="shared" si="8"/>
        <v>0.999999899989649</v>
      </c>
      <c r="H81" s="784" t="str">
        <f>'[1]Пр ГП 19-20'!$J$41</f>
        <v xml:space="preserve">Обучение плаванию ежегодно не менее 500 человек </v>
      </c>
      <c r="I81" s="737" t="s">
        <v>1031</v>
      </c>
      <c r="J81" s="727" t="s">
        <v>177</v>
      </c>
      <c r="K81" s="726" t="s">
        <v>65</v>
      </c>
      <c r="L81" s="701"/>
      <c r="M81" s="675">
        <v>823</v>
      </c>
    </row>
    <row r="82" spans="1:13" s="220" customFormat="1" ht="15" customHeight="1">
      <c r="A82" s="720"/>
      <c r="B82" s="1273"/>
      <c r="C82" s="181" t="s">
        <v>4</v>
      </c>
      <c r="D82" s="183">
        <f>'912-ПП'!F190</f>
        <v>7999.1719999999996</v>
      </c>
      <c r="E82" s="182">
        <f>'2024'!H50</f>
        <v>7999.1711999999998</v>
      </c>
      <c r="F82" s="182">
        <f>E82</f>
        <v>7999.1711999999998</v>
      </c>
      <c r="G82" s="174">
        <f t="shared" si="8"/>
        <v>0.999999899989649</v>
      </c>
      <c r="H82" s="784"/>
      <c r="I82" s="738"/>
      <c r="J82" s="667"/>
      <c r="K82" s="726"/>
      <c r="L82" s="702"/>
      <c r="M82" s="676"/>
    </row>
    <row r="83" spans="1:13" s="220" customFormat="1" ht="15" customHeight="1">
      <c r="A83" s="720"/>
      <c r="B83" s="1273"/>
      <c r="C83" s="181" t="s">
        <v>5</v>
      </c>
      <c r="D83" s="183">
        <v>0</v>
      </c>
      <c r="E83" s="182">
        <v>0</v>
      </c>
      <c r="F83" s="182">
        <v>0</v>
      </c>
      <c r="G83" s="174">
        <f t="shared" si="8"/>
        <v>0</v>
      </c>
      <c r="H83" s="784"/>
      <c r="I83" s="738"/>
      <c r="J83" s="667"/>
      <c r="K83" s="726"/>
      <c r="L83" s="702"/>
      <c r="M83" s="676"/>
    </row>
    <row r="84" spans="1:13" s="220" customFormat="1" ht="15" customHeight="1">
      <c r="A84" s="720"/>
      <c r="B84" s="1273"/>
      <c r="C84" s="181" t="s">
        <v>6</v>
      </c>
      <c r="D84" s="183">
        <v>0</v>
      </c>
      <c r="E84" s="182">
        <v>0</v>
      </c>
      <c r="F84" s="182">
        <v>0</v>
      </c>
      <c r="G84" s="174">
        <f t="shared" si="8"/>
        <v>0</v>
      </c>
      <c r="H84" s="784"/>
      <c r="I84" s="738"/>
      <c r="J84" s="667"/>
      <c r="K84" s="726"/>
      <c r="L84" s="702"/>
      <c r="M84" s="676"/>
    </row>
    <row r="85" spans="1:13" s="220" customFormat="1" ht="15" customHeight="1">
      <c r="A85" s="721"/>
      <c r="B85" s="1273"/>
      <c r="C85" s="181" t="s">
        <v>7</v>
      </c>
      <c r="D85" s="183">
        <v>0</v>
      </c>
      <c r="E85" s="182">
        <v>0</v>
      </c>
      <c r="F85" s="182">
        <v>0</v>
      </c>
      <c r="G85" s="174">
        <f t="shared" si="8"/>
        <v>0</v>
      </c>
      <c r="H85" s="784"/>
      <c r="I85" s="739"/>
      <c r="J85" s="668"/>
      <c r="K85" s="726"/>
      <c r="L85" s="703"/>
      <c r="M85" s="677"/>
    </row>
    <row r="86" spans="1:13" s="220" customFormat="1" ht="28.5" customHeight="1">
      <c r="A86" s="719" t="s">
        <v>173</v>
      </c>
      <c r="B86" s="792" t="s">
        <v>158</v>
      </c>
      <c r="C86" s="181" t="s">
        <v>3</v>
      </c>
      <c r="D86" s="183">
        <f>SUM(D87:D90)</f>
        <v>8000</v>
      </c>
      <c r="E86" s="182">
        <f>SUM(E87:E90)</f>
        <v>8000</v>
      </c>
      <c r="F86" s="182">
        <f>SUM(F87:F90)</f>
        <v>8000</v>
      </c>
      <c r="G86" s="174">
        <f t="shared" si="8"/>
        <v>1</v>
      </c>
      <c r="H86" s="722" t="s">
        <v>91</v>
      </c>
      <c r="I86" s="709" t="s">
        <v>1085</v>
      </c>
      <c r="J86" s="727" t="s">
        <v>177</v>
      </c>
      <c r="K86" s="737" t="s">
        <v>65</v>
      </c>
      <c r="L86" s="701"/>
      <c r="M86" s="675">
        <v>823</v>
      </c>
    </row>
    <row r="87" spans="1:13" s="220" customFormat="1" ht="23.25" customHeight="1">
      <c r="A87" s="720"/>
      <c r="B87" s="850"/>
      <c r="C87" s="181" t="s">
        <v>4</v>
      </c>
      <c r="D87" s="183">
        <f>'912-ПП'!F197</f>
        <v>8000</v>
      </c>
      <c r="E87" s="182">
        <f>'2024'!H51</f>
        <v>8000</v>
      </c>
      <c r="F87" s="182">
        <f>E87</f>
        <v>8000</v>
      </c>
      <c r="G87" s="174">
        <f t="shared" si="8"/>
        <v>1</v>
      </c>
      <c r="H87" s="723"/>
      <c r="I87" s="673"/>
      <c r="J87" s="667"/>
      <c r="K87" s="738"/>
      <c r="L87" s="702"/>
      <c r="M87" s="676"/>
    </row>
    <row r="88" spans="1:13" s="220" customFormat="1" ht="24.75" customHeight="1">
      <c r="A88" s="720"/>
      <c r="B88" s="850"/>
      <c r="C88" s="181" t="s">
        <v>5</v>
      </c>
      <c r="D88" s="183">
        <v>0</v>
      </c>
      <c r="E88" s="182">
        <v>0</v>
      </c>
      <c r="F88" s="182">
        <v>0</v>
      </c>
      <c r="G88" s="174">
        <f t="shared" si="8"/>
        <v>0</v>
      </c>
      <c r="H88" s="723"/>
      <c r="I88" s="673"/>
      <c r="J88" s="667"/>
      <c r="K88" s="738"/>
      <c r="L88" s="702"/>
      <c r="M88" s="676"/>
    </row>
    <row r="89" spans="1:13" s="220" customFormat="1" ht="25.5" customHeight="1">
      <c r="A89" s="720"/>
      <c r="B89" s="850"/>
      <c r="C89" s="181" t="s">
        <v>6</v>
      </c>
      <c r="D89" s="183">
        <v>0</v>
      </c>
      <c r="E89" s="182">
        <v>0</v>
      </c>
      <c r="F89" s="182">
        <v>0</v>
      </c>
      <c r="G89" s="174">
        <f t="shared" si="8"/>
        <v>0</v>
      </c>
      <c r="H89" s="723"/>
      <c r="I89" s="673"/>
      <c r="J89" s="667"/>
      <c r="K89" s="738"/>
      <c r="L89" s="702"/>
      <c r="M89" s="676"/>
    </row>
    <row r="90" spans="1:13" s="220" customFormat="1" ht="24" customHeight="1">
      <c r="A90" s="721"/>
      <c r="B90" s="851"/>
      <c r="C90" s="181" t="s">
        <v>7</v>
      </c>
      <c r="D90" s="183">
        <v>0</v>
      </c>
      <c r="E90" s="182">
        <v>0</v>
      </c>
      <c r="F90" s="182">
        <v>0</v>
      </c>
      <c r="G90" s="174">
        <f t="shared" si="8"/>
        <v>0</v>
      </c>
      <c r="H90" s="724"/>
      <c r="I90" s="674"/>
      <c r="J90" s="668"/>
      <c r="K90" s="739"/>
      <c r="L90" s="703"/>
      <c r="M90" s="677"/>
    </row>
    <row r="91" spans="1:13" s="10" customFormat="1">
      <c r="A91" s="713" t="s">
        <v>12</v>
      </c>
      <c r="B91" s="716" t="s">
        <v>112</v>
      </c>
      <c r="C91" s="44" t="s">
        <v>3</v>
      </c>
      <c r="D91" s="45">
        <f>SUM(D92:D95)</f>
        <v>1432872.8257700002</v>
      </c>
      <c r="E91" s="45">
        <f>SUM(E92:E95)</f>
        <v>1431540.6142900002</v>
      </c>
      <c r="F91" s="45">
        <f>SUM(F92:F95)</f>
        <v>1431540.6142900002</v>
      </c>
      <c r="G91" s="46">
        <f t="shared" si="8"/>
        <v>0.99907025141656647</v>
      </c>
      <c r="H91" s="716"/>
      <c r="I91" s="18" t="s">
        <v>45</v>
      </c>
      <c r="J91" s="32">
        <f>SUM(J96,J151,J166)</f>
        <v>14</v>
      </c>
      <c r="K91" s="751" t="s">
        <v>66</v>
      </c>
      <c r="L91" s="751"/>
      <c r="M91" s="822">
        <v>823</v>
      </c>
    </row>
    <row r="92" spans="1:13" s="10" customFormat="1">
      <c r="A92" s="714"/>
      <c r="B92" s="717"/>
      <c r="C92" s="44" t="s">
        <v>4</v>
      </c>
      <c r="D92" s="45">
        <f t="shared" ref="D92:F94" si="9">SUM(D97,D152,D167)</f>
        <v>1403953.9771300002</v>
      </c>
      <c r="E92" s="45">
        <f t="shared" si="9"/>
        <v>1402621.7656500002</v>
      </c>
      <c r="F92" s="45">
        <f t="shared" si="9"/>
        <v>1402621.7656500002</v>
      </c>
      <c r="G92" s="46">
        <f t="shared" si="8"/>
        <v>0.99905110031973887</v>
      </c>
      <c r="H92" s="717"/>
      <c r="I92" s="18" t="s">
        <v>46</v>
      </c>
      <c r="J92" s="19">
        <f>SUM(J97,J152,J167)</f>
        <v>11</v>
      </c>
      <c r="K92" s="752"/>
      <c r="L92" s="752"/>
      <c r="M92" s="823"/>
    </row>
    <row r="93" spans="1:13" s="10" customFormat="1">
      <c r="A93" s="714"/>
      <c r="B93" s="717"/>
      <c r="C93" s="44" t="s">
        <v>5</v>
      </c>
      <c r="D93" s="45">
        <f t="shared" si="9"/>
        <v>8062.6586400000006</v>
      </c>
      <c r="E93" s="45">
        <f t="shared" si="9"/>
        <v>8062.6586400000006</v>
      </c>
      <c r="F93" s="45">
        <f t="shared" si="9"/>
        <v>8062.6586400000006</v>
      </c>
      <c r="G93" s="46">
        <f t="shared" si="8"/>
        <v>1</v>
      </c>
      <c r="H93" s="717"/>
      <c r="I93" s="18" t="s">
        <v>47</v>
      </c>
      <c r="J93" s="19">
        <f>SUM(J98,J153,J168)</f>
        <v>3</v>
      </c>
      <c r="K93" s="752"/>
      <c r="L93" s="752"/>
      <c r="M93" s="823"/>
    </row>
    <row r="94" spans="1:13" s="10" customFormat="1">
      <c r="A94" s="714"/>
      <c r="B94" s="717"/>
      <c r="C94" s="44" t="s">
        <v>6</v>
      </c>
      <c r="D94" s="45">
        <f t="shared" si="9"/>
        <v>20856.189999999999</v>
      </c>
      <c r="E94" s="45">
        <f t="shared" si="9"/>
        <v>20856.189999999999</v>
      </c>
      <c r="F94" s="45">
        <f t="shared" si="9"/>
        <v>20856.189999999999</v>
      </c>
      <c r="G94" s="46">
        <f t="shared" si="8"/>
        <v>1</v>
      </c>
      <c r="H94" s="717"/>
      <c r="I94" s="18" t="s">
        <v>48</v>
      </c>
      <c r="J94" s="19">
        <f>SUM(J99,J154,J169)</f>
        <v>0</v>
      </c>
      <c r="K94" s="752"/>
      <c r="L94" s="752"/>
      <c r="M94" s="823"/>
    </row>
    <row r="95" spans="1:13" s="10" customFormat="1">
      <c r="A95" s="715"/>
      <c r="B95" s="718"/>
      <c r="C95" s="44" t="s">
        <v>7</v>
      </c>
      <c r="D95" s="45">
        <v>0</v>
      </c>
      <c r="E95" s="45">
        <f>SUM(E100,E155,E170)</f>
        <v>0</v>
      </c>
      <c r="F95" s="45">
        <f>SUM(F100,F155,F170)</f>
        <v>0</v>
      </c>
      <c r="G95" s="46">
        <f t="shared" si="8"/>
        <v>0</v>
      </c>
      <c r="H95" s="718"/>
      <c r="I95" s="18" t="s">
        <v>49</v>
      </c>
      <c r="J95" s="20">
        <f>(J92+0.5*J93)/J91</f>
        <v>0.8928571428571429</v>
      </c>
      <c r="K95" s="752"/>
      <c r="L95" s="752"/>
      <c r="M95" s="892"/>
    </row>
    <row r="96" spans="1:13" s="10" customFormat="1">
      <c r="A96" s="692" t="s">
        <v>88</v>
      </c>
      <c r="B96" s="731" t="s">
        <v>113</v>
      </c>
      <c r="C96" s="39" t="s">
        <v>3</v>
      </c>
      <c r="D96" s="40">
        <f>SUM(D97:D100)</f>
        <v>1354435.1302600002</v>
      </c>
      <c r="E96" s="40">
        <f>SUM(E97:E100)</f>
        <v>1353102.9189900002</v>
      </c>
      <c r="F96" s="40">
        <f>SUM(F97:F100)</f>
        <v>1353102.9189900002</v>
      </c>
      <c r="G96" s="37">
        <f t="shared" si="8"/>
        <v>0.99901640821310922</v>
      </c>
      <c r="H96" s="778" t="s">
        <v>157</v>
      </c>
      <c r="I96" s="18" t="s">
        <v>45</v>
      </c>
      <c r="J96" s="19">
        <f>SUM(J97:J99)</f>
        <v>10</v>
      </c>
      <c r="K96" s="725" t="s">
        <v>103</v>
      </c>
      <c r="L96" s="761"/>
      <c r="M96" s="763">
        <v>823</v>
      </c>
    </row>
    <row r="97" spans="1:13" s="10" customFormat="1">
      <c r="A97" s="693"/>
      <c r="B97" s="749"/>
      <c r="C97" s="39" t="s">
        <v>4</v>
      </c>
      <c r="D97" s="40">
        <f>SUM(D102,D107,D112,D117,D122,D127,D132,D137,D142,D147)</f>
        <v>1354435.1302600002</v>
      </c>
      <c r="E97" s="40">
        <f>SUM(E102,E107,E112,E117,E122,E132,E137,E142,E147,E127)</f>
        <v>1353102.9189900002</v>
      </c>
      <c r="F97" s="40">
        <f>SUM(F102,F107,F112,F117,F122,F132,F137,F142,F147,F127)</f>
        <v>1353102.9189900002</v>
      </c>
      <c r="G97" s="37">
        <f t="shared" si="8"/>
        <v>0.99901640821310922</v>
      </c>
      <c r="H97" s="749"/>
      <c r="I97" s="18" t="s">
        <v>46</v>
      </c>
      <c r="J97" s="19">
        <f>COUNTIF($J$101:$J$150,"Да")</f>
        <v>7</v>
      </c>
      <c r="K97" s="725"/>
      <c r="L97" s="762"/>
      <c r="M97" s="764"/>
    </row>
    <row r="98" spans="1:13" s="10" customFormat="1">
      <c r="A98" s="693"/>
      <c r="B98" s="749"/>
      <c r="C98" s="39" t="s">
        <v>5</v>
      </c>
      <c r="D98" s="40">
        <v>0</v>
      </c>
      <c r="E98" s="40">
        <v>0</v>
      </c>
      <c r="F98" s="40">
        <v>0</v>
      </c>
      <c r="G98" s="37">
        <f t="shared" si="8"/>
        <v>0</v>
      </c>
      <c r="H98" s="749"/>
      <c r="I98" s="18" t="s">
        <v>47</v>
      </c>
      <c r="J98" s="19">
        <f>COUNTIF($J$101:$J$150,"Частично")</f>
        <v>3</v>
      </c>
      <c r="K98" s="725"/>
      <c r="L98" s="762"/>
      <c r="M98" s="764"/>
    </row>
    <row r="99" spans="1:13" s="10" customFormat="1">
      <c r="A99" s="693"/>
      <c r="B99" s="749"/>
      <c r="C99" s="39" t="s">
        <v>6</v>
      </c>
      <c r="D99" s="40">
        <v>0</v>
      </c>
      <c r="E99" s="40">
        <v>0</v>
      </c>
      <c r="F99" s="40">
        <v>0</v>
      </c>
      <c r="G99" s="37">
        <f t="shared" si="8"/>
        <v>0</v>
      </c>
      <c r="H99" s="749"/>
      <c r="I99" s="18" t="s">
        <v>48</v>
      </c>
      <c r="J99" s="19">
        <f>COUNTIF($J$101:$J$150,"Нет")</f>
        <v>0</v>
      </c>
      <c r="K99" s="725"/>
      <c r="L99" s="762"/>
      <c r="M99" s="764"/>
    </row>
    <row r="100" spans="1:13" s="10" customFormat="1">
      <c r="A100" s="694"/>
      <c r="B100" s="750"/>
      <c r="C100" s="39" t="s">
        <v>7</v>
      </c>
      <c r="D100" s="40">
        <v>0</v>
      </c>
      <c r="E100" s="40">
        <v>0</v>
      </c>
      <c r="F100" s="40">
        <v>0</v>
      </c>
      <c r="G100" s="37">
        <f t="shared" si="8"/>
        <v>0</v>
      </c>
      <c r="H100" s="750"/>
      <c r="I100" s="18" t="s">
        <v>49</v>
      </c>
      <c r="J100" s="20">
        <f>(J97+0.5*J98)/J96</f>
        <v>0.85</v>
      </c>
      <c r="K100" s="725"/>
      <c r="L100" s="771"/>
      <c r="M100" s="834"/>
    </row>
    <row r="101" spans="1:13" ht="15" customHeight="1">
      <c r="A101" s="710" t="s">
        <v>13</v>
      </c>
      <c r="B101" s="740" t="s">
        <v>14</v>
      </c>
      <c r="C101" s="175" t="s">
        <v>3</v>
      </c>
      <c r="D101" s="185">
        <f>SUM(D102:D105)</f>
        <v>2106.6577000000002</v>
      </c>
      <c r="E101" s="180">
        <f>SUM(E102:E105)</f>
        <v>1495.905</v>
      </c>
      <c r="F101" s="180">
        <f>SUM(F102:F105)</f>
        <v>1495.905</v>
      </c>
      <c r="G101" s="174">
        <f t="shared" si="8"/>
        <v>0.71008450969514403</v>
      </c>
      <c r="H101" s="743" t="s">
        <v>156</v>
      </c>
      <c r="I101" s="746" t="s">
        <v>1038</v>
      </c>
      <c r="J101" s="727" t="s">
        <v>178</v>
      </c>
      <c r="K101" s="708" t="s">
        <v>89</v>
      </c>
      <c r="L101" s="1269" t="s">
        <v>1073</v>
      </c>
      <c r="M101" s="675">
        <v>823</v>
      </c>
    </row>
    <row r="102" spans="1:13" ht="15" customHeight="1">
      <c r="A102" s="711"/>
      <c r="B102" s="741"/>
      <c r="C102" s="175" t="s">
        <v>4</v>
      </c>
      <c r="D102" s="1402">
        <f>'912-ПП'!F225</f>
        <v>2106.6577000000002</v>
      </c>
      <c r="E102" s="26">
        <f>'2024'!H54</f>
        <v>1495.905</v>
      </c>
      <c r="F102" s="183">
        <f>E102</f>
        <v>1495.905</v>
      </c>
      <c r="G102" s="174">
        <f t="shared" si="8"/>
        <v>0.71008450969514403</v>
      </c>
      <c r="H102" s="744"/>
      <c r="I102" s="747"/>
      <c r="J102" s="667"/>
      <c r="K102" s="916"/>
      <c r="L102" s="1270"/>
      <c r="M102" s="676"/>
    </row>
    <row r="103" spans="1:13" ht="15" customHeight="1">
      <c r="A103" s="711"/>
      <c r="B103" s="741"/>
      <c r="C103" s="175" t="s">
        <v>5</v>
      </c>
      <c r="D103" s="26">
        <v>0</v>
      </c>
      <c r="E103" s="26">
        <v>0</v>
      </c>
      <c r="F103" s="183">
        <v>0</v>
      </c>
      <c r="G103" s="174">
        <f t="shared" si="8"/>
        <v>0</v>
      </c>
      <c r="H103" s="744"/>
      <c r="I103" s="747"/>
      <c r="J103" s="667"/>
      <c r="K103" s="916"/>
      <c r="L103" s="1270"/>
      <c r="M103" s="676"/>
    </row>
    <row r="104" spans="1:13" ht="15" customHeight="1">
      <c r="A104" s="711"/>
      <c r="B104" s="741"/>
      <c r="C104" s="175" t="s">
        <v>6</v>
      </c>
      <c r="D104" s="26">
        <v>0</v>
      </c>
      <c r="E104" s="26">
        <v>0</v>
      </c>
      <c r="F104" s="183">
        <v>0</v>
      </c>
      <c r="G104" s="174">
        <f t="shared" si="8"/>
        <v>0</v>
      </c>
      <c r="H104" s="744"/>
      <c r="I104" s="747"/>
      <c r="J104" s="667"/>
      <c r="K104" s="916"/>
      <c r="L104" s="1270"/>
      <c r="M104" s="676"/>
    </row>
    <row r="105" spans="1:13" ht="15" customHeight="1">
      <c r="A105" s="712"/>
      <c r="B105" s="742"/>
      <c r="C105" s="175" t="s">
        <v>7</v>
      </c>
      <c r="D105" s="26">
        <v>0</v>
      </c>
      <c r="E105" s="26">
        <v>0</v>
      </c>
      <c r="F105" s="183">
        <v>0</v>
      </c>
      <c r="G105" s="174">
        <f t="shared" si="8"/>
        <v>0</v>
      </c>
      <c r="H105" s="745"/>
      <c r="I105" s="748"/>
      <c r="J105" s="668"/>
      <c r="K105" s="917"/>
      <c r="L105" s="1271"/>
      <c r="M105" s="677"/>
    </row>
    <row r="106" spans="1:13" ht="22.5" customHeight="1">
      <c r="A106" s="710" t="s">
        <v>40</v>
      </c>
      <c r="B106" s="740" t="s">
        <v>114</v>
      </c>
      <c r="C106" s="175" t="s">
        <v>3</v>
      </c>
      <c r="D106" s="1403">
        <f>SUM(D107:D110)</f>
        <v>73599.972000000009</v>
      </c>
      <c r="E106" s="25">
        <f>SUM(E107:E110)</f>
        <v>73600</v>
      </c>
      <c r="F106" s="180">
        <f>SUM(F107:F110)</f>
        <v>73600</v>
      </c>
      <c r="G106" s="174">
        <f t="shared" si="8"/>
        <v>1.0000003804349271</v>
      </c>
      <c r="H106" s="743" t="s">
        <v>90</v>
      </c>
      <c r="I106" s="737" t="s">
        <v>685</v>
      </c>
      <c r="J106" s="727" t="s">
        <v>177</v>
      </c>
      <c r="K106" s="709" t="s">
        <v>65</v>
      </c>
      <c r="L106" s="701"/>
      <c r="M106" s="675">
        <v>823</v>
      </c>
    </row>
    <row r="107" spans="1:13" ht="23.25" customHeight="1">
      <c r="A107" s="711"/>
      <c r="B107" s="741"/>
      <c r="C107" s="175" t="s">
        <v>4</v>
      </c>
      <c r="D107" s="1404">
        <f>'912-ПП'!F232</f>
        <v>73599.972000000009</v>
      </c>
      <c r="E107" s="1402">
        <f>'2024'!G56</f>
        <v>73600</v>
      </c>
      <c r="F107" s="189">
        <f>E107</f>
        <v>73600</v>
      </c>
      <c r="G107" s="174">
        <f t="shared" si="8"/>
        <v>1.0000003804349271</v>
      </c>
      <c r="H107" s="744"/>
      <c r="I107" s="782"/>
      <c r="J107" s="667"/>
      <c r="K107" s="673"/>
      <c r="L107" s="702"/>
      <c r="M107" s="676"/>
    </row>
    <row r="108" spans="1:13" ht="24" customHeight="1">
      <c r="A108" s="711"/>
      <c r="B108" s="741"/>
      <c r="C108" s="175" t="s">
        <v>5</v>
      </c>
      <c r="D108" s="26">
        <v>0</v>
      </c>
      <c r="E108" s="26">
        <v>0</v>
      </c>
      <c r="F108" s="183">
        <v>0</v>
      </c>
      <c r="G108" s="174">
        <f t="shared" si="8"/>
        <v>0</v>
      </c>
      <c r="H108" s="744"/>
      <c r="I108" s="782"/>
      <c r="J108" s="667"/>
      <c r="K108" s="673"/>
      <c r="L108" s="702"/>
      <c r="M108" s="676"/>
    </row>
    <row r="109" spans="1:13" ht="24" customHeight="1">
      <c r="A109" s="711"/>
      <c r="B109" s="741"/>
      <c r="C109" s="175" t="s">
        <v>6</v>
      </c>
      <c r="D109" s="26">
        <v>0</v>
      </c>
      <c r="E109" s="26">
        <v>0</v>
      </c>
      <c r="F109" s="183">
        <v>0</v>
      </c>
      <c r="G109" s="174">
        <f t="shared" si="8"/>
        <v>0</v>
      </c>
      <c r="H109" s="744"/>
      <c r="I109" s="782"/>
      <c r="J109" s="667"/>
      <c r="K109" s="673"/>
      <c r="L109" s="702"/>
      <c r="M109" s="676"/>
    </row>
    <row r="110" spans="1:13" ht="25.5" customHeight="1">
      <c r="A110" s="712"/>
      <c r="B110" s="742"/>
      <c r="C110" s="175" t="s">
        <v>7</v>
      </c>
      <c r="D110" s="26">
        <v>0</v>
      </c>
      <c r="E110" s="26">
        <v>0</v>
      </c>
      <c r="F110" s="183">
        <v>0</v>
      </c>
      <c r="G110" s="174">
        <f t="shared" si="8"/>
        <v>0</v>
      </c>
      <c r="H110" s="745"/>
      <c r="I110" s="783"/>
      <c r="J110" s="668"/>
      <c r="K110" s="673"/>
      <c r="L110" s="703"/>
      <c r="M110" s="677"/>
    </row>
    <row r="111" spans="1:13" ht="15" customHeight="1">
      <c r="A111" s="710" t="s">
        <v>41</v>
      </c>
      <c r="B111" s="740" t="s">
        <v>36</v>
      </c>
      <c r="C111" s="175" t="s">
        <v>3</v>
      </c>
      <c r="D111" s="25">
        <f>SUM(D112:D115)</f>
        <v>44.82</v>
      </c>
      <c r="E111" s="25">
        <f>SUM(E112:E115)</f>
        <v>32.389000000000003</v>
      </c>
      <c r="F111" s="180">
        <f>SUM(F112:F115)</f>
        <v>32.389000000000003</v>
      </c>
      <c r="G111" s="174">
        <f t="shared" si="8"/>
        <v>0.72264614011601969</v>
      </c>
      <c r="H111" s="743" t="s">
        <v>75</v>
      </c>
      <c r="I111" s="709" t="s">
        <v>659</v>
      </c>
      <c r="J111" s="727" t="s">
        <v>178</v>
      </c>
      <c r="K111" s="700" t="s">
        <v>207</v>
      </c>
      <c r="L111" s="1269" t="s">
        <v>1073</v>
      </c>
      <c r="M111" s="675">
        <v>823</v>
      </c>
    </row>
    <row r="112" spans="1:13" ht="15" customHeight="1">
      <c r="A112" s="711"/>
      <c r="B112" s="741"/>
      <c r="C112" s="175" t="s">
        <v>4</v>
      </c>
      <c r="D112" s="1402">
        <f>'912-ПП'!F239</f>
        <v>44.82</v>
      </c>
      <c r="E112" s="26">
        <f>'2024'!H57</f>
        <v>32.389000000000003</v>
      </c>
      <c r="F112" s="183">
        <f>E112</f>
        <v>32.389000000000003</v>
      </c>
      <c r="G112" s="174">
        <f t="shared" si="8"/>
        <v>0.72264614011601969</v>
      </c>
      <c r="H112" s="744"/>
      <c r="I112" s="673"/>
      <c r="J112" s="667"/>
      <c r="K112" s="700"/>
      <c r="L112" s="1270"/>
      <c r="M112" s="676"/>
    </row>
    <row r="113" spans="1:13" ht="15" customHeight="1">
      <c r="A113" s="711"/>
      <c r="B113" s="741"/>
      <c r="C113" s="175" t="s">
        <v>5</v>
      </c>
      <c r="D113" s="26">
        <v>0</v>
      </c>
      <c r="E113" s="26">
        <v>0</v>
      </c>
      <c r="F113" s="183">
        <v>0</v>
      </c>
      <c r="G113" s="174">
        <f t="shared" si="8"/>
        <v>0</v>
      </c>
      <c r="H113" s="744"/>
      <c r="I113" s="673"/>
      <c r="J113" s="667"/>
      <c r="K113" s="700"/>
      <c r="L113" s="1270"/>
      <c r="M113" s="676"/>
    </row>
    <row r="114" spans="1:13" ht="15" customHeight="1">
      <c r="A114" s="711"/>
      <c r="B114" s="741"/>
      <c r="C114" s="175" t="s">
        <v>6</v>
      </c>
      <c r="D114" s="26">
        <v>0</v>
      </c>
      <c r="E114" s="26">
        <v>0</v>
      </c>
      <c r="F114" s="183">
        <v>0</v>
      </c>
      <c r="G114" s="174">
        <f t="shared" si="8"/>
        <v>0</v>
      </c>
      <c r="H114" s="744"/>
      <c r="I114" s="673"/>
      <c r="J114" s="667"/>
      <c r="K114" s="700"/>
      <c r="L114" s="1270"/>
      <c r="M114" s="676"/>
    </row>
    <row r="115" spans="1:13" ht="27.75" customHeight="1">
      <c r="A115" s="712"/>
      <c r="B115" s="742"/>
      <c r="C115" s="175" t="s">
        <v>7</v>
      </c>
      <c r="D115" s="26">
        <v>0</v>
      </c>
      <c r="E115" s="26">
        <v>0</v>
      </c>
      <c r="F115" s="183">
        <v>0</v>
      </c>
      <c r="G115" s="174">
        <f t="shared" si="8"/>
        <v>0</v>
      </c>
      <c r="H115" s="745"/>
      <c r="I115" s="674"/>
      <c r="J115" s="668"/>
      <c r="K115" s="700"/>
      <c r="L115" s="1271"/>
      <c r="M115" s="677"/>
    </row>
    <row r="116" spans="1:13" ht="15" customHeight="1">
      <c r="A116" s="710" t="s">
        <v>42</v>
      </c>
      <c r="B116" s="740" t="s">
        <v>9</v>
      </c>
      <c r="C116" s="175" t="s">
        <v>3</v>
      </c>
      <c r="D116" s="25">
        <f>SUM(D117:D120)</f>
        <v>1148547.1000000001</v>
      </c>
      <c r="E116" s="26">
        <f>SUM(E117:E120)</f>
        <v>1148547.0989999999</v>
      </c>
      <c r="F116" s="183">
        <f>SUM(F117:F120)</f>
        <v>1148547.0989999999</v>
      </c>
      <c r="G116" s="174">
        <f t="shared" si="8"/>
        <v>0.99999999912933468</v>
      </c>
      <c r="H116" s="743" t="s">
        <v>76</v>
      </c>
      <c r="I116" s="701" t="s">
        <v>1058</v>
      </c>
      <c r="J116" s="727" t="s">
        <v>177</v>
      </c>
      <c r="K116" s="709" t="s">
        <v>208</v>
      </c>
      <c r="L116" s="701"/>
      <c r="M116" s="675">
        <v>823</v>
      </c>
    </row>
    <row r="117" spans="1:13" ht="15" customHeight="1">
      <c r="A117" s="711"/>
      <c r="B117" s="741"/>
      <c r="C117" s="175" t="s">
        <v>4</v>
      </c>
      <c r="D117" s="1402">
        <f>'2024'!H62</f>
        <v>1148547.1000000001</v>
      </c>
      <c r="E117" s="26">
        <f>'2024'!H69</f>
        <v>1148547.0989999999</v>
      </c>
      <c r="F117" s="183">
        <f>E117</f>
        <v>1148547.0989999999</v>
      </c>
      <c r="G117" s="174">
        <f t="shared" si="8"/>
        <v>0.99999999912933468</v>
      </c>
      <c r="H117" s="744"/>
      <c r="I117" s="702"/>
      <c r="J117" s="667"/>
      <c r="K117" s="673"/>
      <c r="L117" s="702"/>
      <c r="M117" s="676"/>
    </row>
    <row r="118" spans="1:13" ht="15" customHeight="1">
      <c r="A118" s="711"/>
      <c r="B118" s="741"/>
      <c r="C118" s="175" t="s">
        <v>5</v>
      </c>
      <c r="D118" s="26">
        <v>0</v>
      </c>
      <c r="E118" s="26">
        <v>0</v>
      </c>
      <c r="F118" s="183">
        <v>0</v>
      </c>
      <c r="G118" s="174">
        <f t="shared" si="8"/>
        <v>0</v>
      </c>
      <c r="H118" s="744"/>
      <c r="I118" s="702"/>
      <c r="J118" s="667"/>
      <c r="K118" s="673"/>
      <c r="L118" s="702"/>
      <c r="M118" s="676"/>
    </row>
    <row r="119" spans="1:13" ht="15" customHeight="1">
      <c r="A119" s="711"/>
      <c r="B119" s="741"/>
      <c r="C119" s="175" t="s">
        <v>6</v>
      </c>
      <c r="D119" s="26">
        <v>0</v>
      </c>
      <c r="E119" s="26">
        <v>0</v>
      </c>
      <c r="F119" s="183">
        <v>0</v>
      </c>
      <c r="G119" s="174">
        <f t="shared" si="8"/>
        <v>0</v>
      </c>
      <c r="H119" s="744"/>
      <c r="I119" s="702"/>
      <c r="J119" s="667"/>
      <c r="K119" s="673"/>
      <c r="L119" s="702"/>
      <c r="M119" s="676"/>
    </row>
    <row r="120" spans="1:13" ht="25.5" customHeight="1">
      <c r="A120" s="712"/>
      <c r="B120" s="742"/>
      <c r="C120" s="175" t="s">
        <v>7</v>
      </c>
      <c r="D120" s="26">
        <v>0</v>
      </c>
      <c r="E120" s="26">
        <v>0</v>
      </c>
      <c r="F120" s="183">
        <v>0</v>
      </c>
      <c r="G120" s="174">
        <f t="shared" si="8"/>
        <v>0</v>
      </c>
      <c r="H120" s="745"/>
      <c r="I120" s="703"/>
      <c r="J120" s="668"/>
      <c r="K120" s="673"/>
      <c r="L120" s="703"/>
      <c r="M120" s="677"/>
    </row>
    <row r="121" spans="1:13" ht="15" customHeight="1">
      <c r="A121" s="710" t="s">
        <v>43</v>
      </c>
      <c r="B121" s="740" t="s">
        <v>213</v>
      </c>
      <c r="C121" s="175" t="s">
        <v>3</v>
      </c>
      <c r="D121" s="25">
        <f>SUM(D122:D125)</f>
        <v>6246.6470600000002</v>
      </c>
      <c r="E121" s="25">
        <f>SUM(E122:E125)</f>
        <v>6122.4911400000001</v>
      </c>
      <c r="F121" s="180">
        <f>SUM(F122:F125)</f>
        <v>6122.4911400000001</v>
      </c>
      <c r="G121" s="174">
        <f t="shared" si="8"/>
        <v>0.9801243901236194</v>
      </c>
      <c r="H121" s="772" t="s">
        <v>214</v>
      </c>
      <c r="I121" s="701" t="s">
        <v>215</v>
      </c>
      <c r="J121" s="727" t="s">
        <v>177</v>
      </c>
      <c r="K121" s="709" t="s">
        <v>208</v>
      </c>
      <c r="L121" s="701"/>
      <c r="M121" s="675">
        <v>823</v>
      </c>
    </row>
    <row r="122" spans="1:13" ht="15" customHeight="1">
      <c r="A122" s="711"/>
      <c r="B122" s="741"/>
      <c r="C122" s="175" t="s">
        <v>4</v>
      </c>
      <c r="D122" s="1402">
        <f>Документ!R134</f>
        <v>6246.6470600000002</v>
      </c>
      <c r="E122" s="26">
        <f>Документ!R135</f>
        <v>6122.4911400000001</v>
      </c>
      <c r="F122" s="183">
        <f>E122</f>
        <v>6122.4911400000001</v>
      </c>
      <c r="G122" s="174">
        <f t="shared" si="8"/>
        <v>0.9801243901236194</v>
      </c>
      <c r="H122" s="773"/>
      <c r="I122" s="702"/>
      <c r="J122" s="667"/>
      <c r="K122" s="673"/>
      <c r="L122" s="702"/>
      <c r="M122" s="676"/>
    </row>
    <row r="123" spans="1:13" ht="15" customHeight="1">
      <c r="A123" s="711"/>
      <c r="B123" s="741"/>
      <c r="C123" s="175" t="s">
        <v>5</v>
      </c>
      <c r="D123" s="26">
        <v>0</v>
      </c>
      <c r="E123" s="26">
        <v>0</v>
      </c>
      <c r="F123" s="183">
        <v>0</v>
      </c>
      <c r="G123" s="174">
        <f t="shared" si="8"/>
        <v>0</v>
      </c>
      <c r="H123" s="773"/>
      <c r="I123" s="702"/>
      <c r="J123" s="667"/>
      <c r="K123" s="673"/>
      <c r="L123" s="702"/>
      <c r="M123" s="676"/>
    </row>
    <row r="124" spans="1:13" ht="15" customHeight="1">
      <c r="A124" s="711"/>
      <c r="B124" s="741"/>
      <c r="C124" s="175" t="s">
        <v>6</v>
      </c>
      <c r="D124" s="26">
        <v>0</v>
      </c>
      <c r="E124" s="26">
        <v>0</v>
      </c>
      <c r="F124" s="183">
        <v>0</v>
      </c>
      <c r="G124" s="174">
        <f t="shared" si="8"/>
        <v>0</v>
      </c>
      <c r="H124" s="773"/>
      <c r="I124" s="702"/>
      <c r="J124" s="667"/>
      <c r="K124" s="673"/>
      <c r="L124" s="702"/>
      <c r="M124" s="676"/>
    </row>
    <row r="125" spans="1:13" ht="20.25" customHeight="1">
      <c r="A125" s="712"/>
      <c r="B125" s="742"/>
      <c r="C125" s="175" t="s">
        <v>7</v>
      </c>
      <c r="D125" s="26">
        <v>0</v>
      </c>
      <c r="E125" s="26">
        <v>0</v>
      </c>
      <c r="F125" s="183">
        <v>0</v>
      </c>
      <c r="G125" s="174">
        <f t="shared" si="8"/>
        <v>0</v>
      </c>
      <c r="H125" s="774"/>
      <c r="I125" s="703"/>
      <c r="J125" s="668"/>
      <c r="K125" s="673"/>
      <c r="L125" s="703"/>
      <c r="M125" s="677"/>
    </row>
    <row r="126" spans="1:13" ht="20.25" customHeight="1">
      <c r="A126" s="1044" t="s">
        <v>704</v>
      </c>
      <c r="B126" s="1105" t="s">
        <v>330</v>
      </c>
      <c r="C126" s="175" t="s">
        <v>3</v>
      </c>
      <c r="D126" s="504">
        <f>SUM(D127:D130)</f>
        <v>118.58799999999999</v>
      </c>
      <c r="E126" s="504">
        <f>SUM(E127:E130)</f>
        <v>118.58896</v>
      </c>
      <c r="F126" s="543">
        <f>SUM(F127:F130)</f>
        <v>118.58896</v>
      </c>
      <c r="G126" s="174">
        <f t="shared" si="8"/>
        <v>1.0000080952541572</v>
      </c>
      <c r="H126" s="1045" t="s">
        <v>331</v>
      </c>
      <c r="I126" s="701" t="s">
        <v>215</v>
      </c>
      <c r="J126" s="666" t="s">
        <v>177</v>
      </c>
      <c r="K126" s="1109" t="s">
        <v>332</v>
      </c>
      <c r="L126" s="614"/>
      <c r="M126" s="675">
        <v>823</v>
      </c>
    </row>
    <row r="127" spans="1:13" ht="20.25" customHeight="1">
      <c r="A127" s="711"/>
      <c r="B127" s="741"/>
      <c r="C127" s="175" t="s">
        <v>4</v>
      </c>
      <c r="D127" s="504">
        <f>'912-ПП'!F274</f>
        <v>118.58799999999999</v>
      </c>
      <c r="E127" s="504">
        <f>'2024'!H81</f>
        <v>118.58896</v>
      </c>
      <c r="F127" s="543">
        <f>E127</f>
        <v>118.58896</v>
      </c>
      <c r="G127" s="174">
        <f t="shared" si="8"/>
        <v>1.0000080952541572</v>
      </c>
      <c r="H127" s="817"/>
      <c r="I127" s="702"/>
      <c r="J127" s="667"/>
      <c r="K127" s="1109"/>
      <c r="L127" s="614"/>
      <c r="M127" s="676"/>
    </row>
    <row r="128" spans="1:13" ht="20.25" customHeight="1">
      <c r="A128" s="711"/>
      <c r="B128" s="741"/>
      <c r="C128" s="175" t="s">
        <v>5</v>
      </c>
      <c r="D128" s="504">
        <v>0</v>
      </c>
      <c r="E128" s="504">
        <v>0</v>
      </c>
      <c r="F128" s="543">
        <v>0</v>
      </c>
      <c r="G128" s="174">
        <f t="shared" si="8"/>
        <v>0</v>
      </c>
      <c r="H128" s="817"/>
      <c r="I128" s="702"/>
      <c r="J128" s="667"/>
      <c r="K128" s="1109"/>
      <c r="L128" s="614"/>
      <c r="M128" s="676"/>
    </row>
    <row r="129" spans="1:13" ht="20.25" customHeight="1">
      <c r="A129" s="711"/>
      <c r="B129" s="741"/>
      <c r="C129" s="175" t="s">
        <v>6</v>
      </c>
      <c r="D129" s="504">
        <v>0</v>
      </c>
      <c r="E129" s="504">
        <v>0</v>
      </c>
      <c r="F129" s="543">
        <v>0</v>
      </c>
      <c r="G129" s="174">
        <f t="shared" si="8"/>
        <v>0</v>
      </c>
      <c r="H129" s="817"/>
      <c r="I129" s="702"/>
      <c r="J129" s="667"/>
      <c r="K129" s="1109"/>
      <c r="L129" s="614"/>
      <c r="M129" s="676"/>
    </row>
    <row r="130" spans="1:13" ht="20.25" customHeight="1">
      <c r="A130" s="712"/>
      <c r="B130" s="742"/>
      <c r="C130" s="175" t="s">
        <v>7</v>
      </c>
      <c r="D130" s="504">
        <v>0</v>
      </c>
      <c r="E130" s="504">
        <v>0</v>
      </c>
      <c r="F130" s="543">
        <v>0</v>
      </c>
      <c r="G130" s="174">
        <f t="shared" si="8"/>
        <v>0</v>
      </c>
      <c r="H130" s="876"/>
      <c r="I130" s="703"/>
      <c r="J130" s="668"/>
      <c r="K130" s="1109"/>
      <c r="L130" s="614"/>
      <c r="M130" s="677"/>
    </row>
    <row r="131" spans="1:13" ht="15" customHeight="1">
      <c r="A131" s="868" t="s">
        <v>115</v>
      </c>
      <c r="B131" s="857" t="s">
        <v>155</v>
      </c>
      <c r="C131" s="626" t="s">
        <v>3</v>
      </c>
      <c r="D131" s="1405">
        <f>SUM(D132:D135)</f>
        <v>7144.6274999999996</v>
      </c>
      <c r="E131" s="1406">
        <f>SUM(E132:E135)</f>
        <v>6797.4828799999996</v>
      </c>
      <c r="F131" s="192">
        <f>SUM(F132:F135)</f>
        <v>6797.4828799999996</v>
      </c>
      <c r="G131" s="174">
        <f t="shared" si="8"/>
        <v>0.95141179578641433</v>
      </c>
      <c r="H131" s="857" t="s">
        <v>155</v>
      </c>
      <c r="I131" s="709" t="s">
        <v>688</v>
      </c>
      <c r="J131" s="699" t="s">
        <v>177</v>
      </c>
      <c r="K131" s="708" t="s">
        <v>10</v>
      </c>
      <c r="L131" s="701"/>
      <c r="M131" s="675">
        <v>823</v>
      </c>
    </row>
    <row r="132" spans="1:13" ht="15" customHeight="1">
      <c r="A132" s="868"/>
      <c r="B132" s="858"/>
      <c r="C132" s="626" t="s">
        <v>4</v>
      </c>
      <c r="D132" s="1405">
        <f>'912-ПП'!F295</f>
        <v>7144.6274999999996</v>
      </c>
      <c r="E132" s="1406">
        <f>'2024'!H86</f>
        <v>6797.4828799999996</v>
      </c>
      <c r="F132" s="192">
        <f>E132</f>
        <v>6797.4828799999996</v>
      </c>
      <c r="G132" s="174">
        <f t="shared" si="8"/>
        <v>0.95141179578641433</v>
      </c>
      <c r="H132" s="858"/>
      <c r="I132" s="667"/>
      <c r="J132" s="670"/>
      <c r="K132" s="667"/>
      <c r="L132" s="702"/>
      <c r="M132" s="676"/>
    </row>
    <row r="133" spans="1:13" ht="15" customHeight="1">
      <c r="A133" s="868"/>
      <c r="B133" s="858"/>
      <c r="C133" s="626" t="s">
        <v>5</v>
      </c>
      <c r="D133" s="1405">
        <v>0</v>
      </c>
      <c r="E133" s="1406">
        <v>0</v>
      </c>
      <c r="F133" s="192">
        <v>0</v>
      </c>
      <c r="G133" s="174">
        <f t="shared" si="8"/>
        <v>0</v>
      </c>
      <c r="H133" s="858"/>
      <c r="I133" s="667"/>
      <c r="J133" s="670"/>
      <c r="K133" s="667"/>
      <c r="L133" s="702"/>
      <c r="M133" s="676"/>
    </row>
    <row r="134" spans="1:13" ht="15" customHeight="1">
      <c r="A134" s="868"/>
      <c r="B134" s="858"/>
      <c r="C134" s="626" t="s">
        <v>6</v>
      </c>
      <c r="D134" s="1405">
        <v>0</v>
      </c>
      <c r="E134" s="1406">
        <v>0</v>
      </c>
      <c r="F134" s="192">
        <v>0</v>
      </c>
      <c r="G134" s="174">
        <f t="shared" si="8"/>
        <v>0</v>
      </c>
      <c r="H134" s="858"/>
      <c r="I134" s="667"/>
      <c r="J134" s="670"/>
      <c r="K134" s="667"/>
      <c r="L134" s="702"/>
      <c r="M134" s="676"/>
    </row>
    <row r="135" spans="1:13" ht="15" customHeight="1">
      <c r="A135" s="868"/>
      <c r="B135" s="859"/>
      <c r="C135" s="626" t="s">
        <v>7</v>
      </c>
      <c r="D135" s="1405">
        <v>0</v>
      </c>
      <c r="E135" s="1406">
        <v>0</v>
      </c>
      <c r="F135" s="192">
        <v>0</v>
      </c>
      <c r="G135" s="174">
        <f t="shared" si="8"/>
        <v>0</v>
      </c>
      <c r="H135" s="859"/>
      <c r="I135" s="668"/>
      <c r="J135" s="671"/>
      <c r="K135" s="668"/>
      <c r="L135" s="703"/>
      <c r="M135" s="677"/>
    </row>
    <row r="136" spans="1:13" ht="15">
      <c r="A136" s="857" t="s">
        <v>117</v>
      </c>
      <c r="B136" s="857" t="s">
        <v>118</v>
      </c>
      <c r="C136" s="626" t="s">
        <v>3</v>
      </c>
      <c r="D136" s="1405">
        <f>SUM(D137:D140)</f>
        <v>35831</v>
      </c>
      <c r="E136" s="1406">
        <f>SUM(E137:E140)</f>
        <v>35830.991009999998</v>
      </c>
      <c r="F136" s="192">
        <f>SUM(F137:F140)</f>
        <v>35830.991009999998</v>
      </c>
      <c r="G136" s="174">
        <f t="shared" si="8"/>
        <v>0.99999974909994138</v>
      </c>
      <c r="H136" s="772" t="s">
        <v>118</v>
      </c>
      <c r="I136" s="709" t="s">
        <v>1059</v>
      </c>
      <c r="J136" s="699" t="s">
        <v>177</v>
      </c>
      <c r="K136" s="708" t="s">
        <v>140</v>
      </c>
      <c r="L136" s="709"/>
      <c r="M136" s="675">
        <v>823</v>
      </c>
    </row>
    <row r="137" spans="1:13" ht="15">
      <c r="A137" s="858"/>
      <c r="B137" s="858"/>
      <c r="C137" s="626" t="s">
        <v>4</v>
      </c>
      <c r="D137" s="1405">
        <f>'912-ПП'!F323</f>
        <v>35831</v>
      </c>
      <c r="E137" s="1406">
        <f>'2024'!H71</f>
        <v>35830.991009999998</v>
      </c>
      <c r="F137" s="192">
        <f>E137</f>
        <v>35830.991009999998</v>
      </c>
      <c r="G137" s="174">
        <f t="shared" si="8"/>
        <v>0.99999974909994138</v>
      </c>
      <c r="H137" s="852"/>
      <c r="I137" s="667"/>
      <c r="J137" s="667"/>
      <c r="K137" s="667"/>
      <c r="L137" s="667"/>
      <c r="M137" s="676"/>
    </row>
    <row r="138" spans="1:13" ht="15">
      <c r="A138" s="858"/>
      <c r="B138" s="858"/>
      <c r="C138" s="626" t="s">
        <v>5</v>
      </c>
      <c r="D138" s="1405">
        <v>0</v>
      </c>
      <c r="E138" s="1406">
        <v>0</v>
      </c>
      <c r="F138" s="192">
        <v>0</v>
      </c>
      <c r="G138" s="174">
        <f t="shared" si="8"/>
        <v>0</v>
      </c>
      <c r="H138" s="852"/>
      <c r="I138" s="667"/>
      <c r="J138" s="667"/>
      <c r="K138" s="667"/>
      <c r="L138" s="667"/>
      <c r="M138" s="676"/>
    </row>
    <row r="139" spans="1:13" ht="15">
      <c r="A139" s="858"/>
      <c r="B139" s="858"/>
      <c r="C139" s="626" t="s">
        <v>6</v>
      </c>
      <c r="D139" s="1405">
        <v>0</v>
      </c>
      <c r="E139" s="1406">
        <v>0</v>
      </c>
      <c r="F139" s="192">
        <v>0</v>
      </c>
      <c r="G139" s="174">
        <f t="shared" si="8"/>
        <v>0</v>
      </c>
      <c r="H139" s="852"/>
      <c r="I139" s="667"/>
      <c r="J139" s="667"/>
      <c r="K139" s="667"/>
      <c r="L139" s="667"/>
      <c r="M139" s="676"/>
    </row>
    <row r="140" spans="1:13" ht="15">
      <c r="A140" s="859"/>
      <c r="B140" s="859"/>
      <c r="C140" s="626" t="s">
        <v>7</v>
      </c>
      <c r="D140" s="1405">
        <v>0</v>
      </c>
      <c r="E140" s="1406">
        <v>0</v>
      </c>
      <c r="F140" s="192">
        <v>0</v>
      </c>
      <c r="G140" s="174">
        <f t="shared" si="8"/>
        <v>0</v>
      </c>
      <c r="H140" s="853"/>
      <c r="I140" s="668"/>
      <c r="J140" s="668"/>
      <c r="K140" s="668"/>
      <c r="L140" s="668"/>
      <c r="M140" s="677"/>
    </row>
    <row r="141" spans="1:13" ht="15" customHeight="1">
      <c r="A141" s="857" t="s">
        <v>152</v>
      </c>
      <c r="B141" s="857" t="s">
        <v>151</v>
      </c>
      <c r="C141" s="626" t="s">
        <v>3</v>
      </c>
      <c r="D141" s="1405">
        <f>SUM(D142:D145)</f>
        <v>795.71800000000007</v>
      </c>
      <c r="E141" s="1406">
        <f>SUM(E142:E145)</f>
        <v>557.97199999999998</v>
      </c>
      <c r="F141" s="192">
        <f>SUM(F142:F145)</f>
        <v>557.97199999999998</v>
      </c>
      <c r="G141" s="174">
        <f t="shared" si="8"/>
        <v>0.70121827079442711</v>
      </c>
      <c r="H141" s="772" t="s">
        <v>150</v>
      </c>
      <c r="I141" s="709" t="s">
        <v>665</v>
      </c>
      <c r="J141" s="727" t="s">
        <v>178</v>
      </c>
      <c r="K141" s="708" t="s">
        <v>10</v>
      </c>
      <c r="L141" s="1269" t="s">
        <v>1072</v>
      </c>
      <c r="M141" s="675">
        <v>823</v>
      </c>
    </row>
    <row r="142" spans="1:13" ht="15" customHeight="1">
      <c r="A142" s="858"/>
      <c r="B142" s="858"/>
      <c r="C142" s="626" t="s">
        <v>4</v>
      </c>
      <c r="D142" s="1405">
        <f>'912-ПП'!F365</f>
        <v>795.71800000000007</v>
      </c>
      <c r="E142" s="1406">
        <f>'2024'!H85</f>
        <v>557.97199999999998</v>
      </c>
      <c r="F142" s="192">
        <f>E142</f>
        <v>557.97199999999998</v>
      </c>
      <c r="G142" s="174">
        <f t="shared" si="8"/>
        <v>0.70121827079442711</v>
      </c>
      <c r="H142" s="852"/>
      <c r="I142" s="667"/>
      <c r="J142" s="667"/>
      <c r="K142" s="667"/>
      <c r="L142" s="1270"/>
      <c r="M142" s="676"/>
    </row>
    <row r="143" spans="1:13" ht="15" customHeight="1">
      <c r="A143" s="858"/>
      <c r="B143" s="858"/>
      <c r="C143" s="626" t="s">
        <v>5</v>
      </c>
      <c r="D143" s="1405">
        <v>0</v>
      </c>
      <c r="E143" s="1406">
        <v>0</v>
      </c>
      <c r="F143" s="192">
        <v>0</v>
      </c>
      <c r="G143" s="174">
        <f t="shared" si="8"/>
        <v>0</v>
      </c>
      <c r="H143" s="852"/>
      <c r="I143" s="667"/>
      <c r="J143" s="667"/>
      <c r="K143" s="667"/>
      <c r="L143" s="1270"/>
      <c r="M143" s="676"/>
    </row>
    <row r="144" spans="1:13" ht="15" customHeight="1">
      <c r="A144" s="858"/>
      <c r="B144" s="858"/>
      <c r="C144" s="626" t="s">
        <v>6</v>
      </c>
      <c r="D144" s="1405">
        <v>0</v>
      </c>
      <c r="E144" s="1406">
        <v>0</v>
      </c>
      <c r="F144" s="192">
        <v>0</v>
      </c>
      <c r="G144" s="174">
        <f t="shared" si="8"/>
        <v>0</v>
      </c>
      <c r="H144" s="852"/>
      <c r="I144" s="667"/>
      <c r="J144" s="667"/>
      <c r="K144" s="667"/>
      <c r="L144" s="1270"/>
      <c r="M144" s="676"/>
    </row>
    <row r="145" spans="1:13" ht="15" customHeight="1">
      <c r="A145" s="859"/>
      <c r="B145" s="859"/>
      <c r="C145" s="626" t="s">
        <v>7</v>
      </c>
      <c r="D145" s="1405">
        <v>0</v>
      </c>
      <c r="E145" s="1406">
        <v>0</v>
      </c>
      <c r="F145" s="192">
        <v>0</v>
      </c>
      <c r="G145" s="174">
        <f t="shared" si="8"/>
        <v>0</v>
      </c>
      <c r="H145" s="853"/>
      <c r="I145" s="668"/>
      <c r="J145" s="668"/>
      <c r="K145" s="668"/>
      <c r="L145" s="1271"/>
      <c r="M145" s="677"/>
    </row>
    <row r="146" spans="1:13" ht="22.5" customHeight="1">
      <c r="A146" s="857" t="s">
        <v>369</v>
      </c>
      <c r="B146" s="854" t="s">
        <v>370</v>
      </c>
      <c r="C146" s="626" t="s">
        <v>3</v>
      </c>
      <c r="D146" s="1405">
        <f>SUM(D147:D150)</f>
        <v>80000</v>
      </c>
      <c r="E146" s="1406">
        <f>SUM(E147:E150)</f>
        <v>80000</v>
      </c>
      <c r="F146" s="192">
        <f>SUM(F147:F150)</f>
        <v>80000</v>
      </c>
      <c r="G146" s="174">
        <f t="shared" si="8"/>
        <v>1</v>
      </c>
      <c r="H146" s="772" t="s">
        <v>372</v>
      </c>
      <c r="I146" s="709" t="s">
        <v>1033</v>
      </c>
      <c r="J146" s="699" t="s">
        <v>177</v>
      </c>
      <c r="K146" s="708" t="s">
        <v>149</v>
      </c>
      <c r="L146" s="701"/>
      <c r="M146" s="675">
        <v>823</v>
      </c>
    </row>
    <row r="147" spans="1:13" ht="23.25" customHeight="1">
      <c r="A147" s="858"/>
      <c r="B147" s="855"/>
      <c r="C147" s="626" t="s">
        <v>4</v>
      </c>
      <c r="D147" s="1405">
        <f>'912-ПП'!F372</f>
        <v>80000</v>
      </c>
      <c r="E147" s="1406">
        <f>'2024'!H84</f>
        <v>80000</v>
      </c>
      <c r="F147" s="192">
        <f>E147</f>
        <v>80000</v>
      </c>
      <c r="G147" s="174">
        <f t="shared" ref="G147:G217" si="10">IFERROR(F147/D147,0)</f>
        <v>1</v>
      </c>
      <c r="H147" s="852"/>
      <c r="I147" s="667"/>
      <c r="J147" s="670"/>
      <c r="K147" s="667"/>
      <c r="L147" s="702"/>
      <c r="M147" s="676"/>
    </row>
    <row r="148" spans="1:13" ht="21" customHeight="1">
      <c r="A148" s="858"/>
      <c r="B148" s="855"/>
      <c r="C148" s="626" t="s">
        <v>5</v>
      </c>
      <c r="D148" s="1405">
        <v>0</v>
      </c>
      <c r="E148" s="1406">
        <v>0</v>
      </c>
      <c r="F148" s="192">
        <v>0</v>
      </c>
      <c r="G148" s="174">
        <f t="shared" si="10"/>
        <v>0</v>
      </c>
      <c r="H148" s="852"/>
      <c r="I148" s="667"/>
      <c r="J148" s="670"/>
      <c r="K148" s="667"/>
      <c r="L148" s="702"/>
      <c r="M148" s="676"/>
    </row>
    <row r="149" spans="1:13" ht="22.5" customHeight="1">
      <c r="A149" s="858"/>
      <c r="B149" s="855"/>
      <c r="C149" s="626" t="s">
        <v>6</v>
      </c>
      <c r="D149" s="1405">
        <v>0</v>
      </c>
      <c r="E149" s="1406">
        <v>0</v>
      </c>
      <c r="F149" s="192">
        <v>0</v>
      </c>
      <c r="G149" s="174">
        <f t="shared" si="10"/>
        <v>0</v>
      </c>
      <c r="H149" s="852"/>
      <c r="I149" s="667"/>
      <c r="J149" s="670"/>
      <c r="K149" s="667"/>
      <c r="L149" s="702"/>
      <c r="M149" s="676"/>
    </row>
    <row r="150" spans="1:13" ht="23.25" customHeight="1">
      <c r="A150" s="859"/>
      <c r="B150" s="856"/>
      <c r="C150" s="626" t="s">
        <v>7</v>
      </c>
      <c r="D150" s="1405">
        <v>0</v>
      </c>
      <c r="E150" s="1406">
        <v>0</v>
      </c>
      <c r="F150" s="192">
        <v>0</v>
      </c>
      <c r="G150" s="174">
        <f t="shared" si="10"/>
        <v>0</v>
      </c>
      <c r="H150" s="853"/>
      <c r="I150" s="668"/>
      <c r="J150" s="671"/>
      <c r="K150" s="668"/>
      <c r="L150" s="703"/>
      <c r="M150" s="677"/>
    </row>
    <row r="151" spans="1:13" s="10" customFormat="1" ht="25.5" customHeight="1">
      <c r="A151" s="841" t="s">
        <v>38</v>
      </c>
      <c r="B151" s="863" t="s">
        <v>119</v>
      </c>
      <c r="C151" s="39" t="s">
        <v>3</v>
      </c>
      <c r="D151" s="59">
        <f>SUM(D152:D155)</f>
        <v>68656.19</v>
      </c>
      <c r="E151" s="55">
        <f>SUM(E152:E155)</f>
        <v>68656.19</v>
      </c>
      <c r="F151" s="55">
        <f>SUM(F152:F155)</f>
        <v>68656.19</v>
      </c>
      <c r="G151" s="37">
        <f t="shared" si="10"/>
        <v>1</v>
      </c>
      <c r="H151" s="860" t="s">
        <v>148</v>
      </c>
      <c r="I151" s="18" t="s">
        <v>45</v>
      </c>
      <c r="J151" s="19">
        <v>2</v>
      </c>
      <c r="K151" s="725" t="s">
        <v>67</v>
      </c>
      <c r="L151" s="909"/>
      <c r="M151" s="763">
        <v>823</v>
      </c>
    </row>
    <row r="152" spans="1:13" s="10" customFormat="1" ht="24.75" customHeight="1">
      <c r="A152" s="842"/>
      <c r="B152" s="864"/>
      <c r="C152" s="39" t="s">
        <v>4</v>
      </c>
      <c r="D152" s="41">
        <f t="shared" ref="D152:E154" si="11">SUM(D157,D162)</f>
        <v>47800</v>
      </c>
      <c r="E152" s="41">
        <f t="shared" si="11"/>
        <v>47800</v>
      </c>
      <c r="F152" s="41">
        <f>E152</f>
        <v>47800</v>
      </c>
      <c r="G152" s="37">
        <f t="shared" si="10"/>
        <v>1</v>
      </c>
      <c r="H152" s="861"/>
      <c r="I152" s="18" t="s">
        <v>46</v>
      </c>
      <c r="J152" s="19">
        <v>2</v>
      </c>
      <c r="K152" s="725"/>
      <c r="L152" s="909"/>
      <c r="M152" s="764"/>
    </row>
    <row r="153" spans="1:13" s="10" customFormat="1" ht="22.5" customHeight="1">
      <c r="A153" s="842"/>
      <c r="B153" s="864"/>
      <c r="C153" s="39" t="s">
        <v>5</v>
      </c>
      <c r="D153" s="41">
        <f t="shared" si="11"/>
        <v>0</v>
      </c>
      <c r="E153" s="41">
        <f t="shared" si="11"/>
        <v>0</v>
      </c>
      <c r="F153" s="41">
        <f>E153</f>
        <v>0</v>
      </c>
      <c r="G153" s="37">
        <f t="shared" si="10"/>
        <v>0</v>
      </c>
      <c r="H153" s="861"/>
      <c r="I153" s="18" t="s">
        <v>47</v>
      </c>
      <c r="J153" s="19">
        <v>0</v>
      </c>
      <c r="K153" s="725"/>
      <c r="L153" s="909"/>
      <c r="M153" s="764"/>
    </row>
    <row r="154" spans="1:13" s="10" customFormat="1" ht="23.25" customHeight="1">
      <c r="A154" s="842"/>
      <c r="B154" s="864"/>
      <c r="C154" s="39" t="s">
        <v>6</v>
      </c>
      <c r="D154" s="41">
        <f t="shared" si="11"/>
        <v>20856.189999999999</v>
      </c>
      <c r="E154" s="41">
        <f t="shared" si="11"/>
        <v>20856.189999999999</v>
      </c>
      <c r="F154" s="41">
        <f>E154</f>
        <v>20856.189999999999</v>
      </c>
      <c r="G154" s="37">
        <f t="shared" si="10"/>
        <v>1</v>
      </c>
      <c r="H154" s="861"/>
      <c r="I154" s="18" t="s">
        <v>48</v>
      </c>
      <c r="J154" s="19">
        <v>0</v>
      </c>
      <c r="K154" s="725"/>
      <c r="L154" s="909"/>
      <c r="M154" s="764"/>
    </row>
    <row r="155" spans="1:13" s="10" customFormat="1" ht="22.5" customHeight="1">
      <c r="A155" s="843"/>
      <c r="B155" s="865"/>
      <c r="C155" s="39" t="s">
        <v>7</v>
      </c>
      <c r="D155" s="41">
        <v>0</v>
      </c>
      <c r="E155" s="41">
        <v>0</v>
      </c>
      <c r="F155" s="41">
        <v>0</v>
      </c>
      <c r="G155" s="37">
        <f t="shared" si="10"/>
        <v>0</v>
      </c>
      <c r="H155" s="862"/>
      <c r="I155" s="18" t="s">
        <v>49</v>
      </c>
      <c r="J155" s="20">
        <f>(J152+0.5*J153)/J151</f>
        <v>1</v>
      </c>
      <c r="K155" s="725"/>
      <c r="L155" s="909"/>
      <c r="M155" s="834"/>
    </row>
    <row r="156" spans="1:13" ht="15" customHeight="1">
      <c r="A156" s="710" t="s">
        <v>15</v>
      </c>
      <c r="B156" s="840" t="s">
        <v>120</v>
      </c>
      <c r="C156" s="175" t="s">
        <v>3</v>
      </c>
      <c r="D156" s="185">
        <f>SUM(D157:D160)</f>
        <v>10666.666669999999</v>
      </c>
      <c r="E156" s="180">
        <f>SUM(E157:E160)</f>
        <v>10666.666669999999</v>
      </c>
      <c r="F156" s="180">
        <f>SUM(F157:F160)</f>
        <v>10666.666669999999</v>
      </c>
      <c r="G156" s="174">
        <f t="shared" si="10"/>
        <v>1</v>
      </c>
      <c r="H156" s="772" t="s">
        <v>77</v>
      </c>
      <c r="I156" s="1274" t="s">
        <v>1065</v>
      </c>
      <c r="J156" s="727" t="s">
        <v>177</v>
      </c>
      <c r="K156" s="704" t="s">
        <v>92</v>
      </c>
      <c r="L156" s="701"/>
      <c r="M156" s="675">
        <v>823</v>
      </c>
    </row>
    <row r="157" spans="1:13" ht="15" customHeight="1">
      <c r="A157" s="711"/>
      <c r="B157" s="866"/>
      <c r="C157" s="175" t="s">
        <v>4</v>
      </c>
      <c r="D157" s="182">
        <f>'912-ПП'!F386</f>
        <v>6400</v>
      </c>
      <c r="E157" s="182">
        <f>Документ!R172</f>
        <v>6400</v>
      </c>
      <c r="F157" s="182">
        <f>E157</f>
        <v>6400</v>
      </c>
      <c r="G157" s="174">
        <f t="shared" si="10"/>
        <v>1</v>
      </c>
      <c r="H157" s="773"/>
      <c r="I157" s="1077"/>
      <c r="J157" s="667"/>
      <c r="K157" s="667"/>
      <c r="L157" s="702"/>
      <c r="M157" s="676"/>
    </row>
    <row r="158" spans="1:13" ht="19.5" customHeight="1">
      <c r="A158" s="711"/>
      <c r="B158" s="866"/>
      <c r="C158" s="175" t="s">
        <v>5</v>
      </c>
      <c r="D158" s="183">
        <v>0</v>
      </c>
      <c r="E158" s="182">
        <v>0</v>
      </c>
      <c r="F158" s="182">
        <v>0</v>
      </c>
      <c r="G158" s="174">
        <f t="shared" si="10"/>
        <v>0</v>
      </c>
      <c r="H158" s="773"/>
      <c r="I158" s="1077"/>
      <c r="J158" s="667"/>
      <c r="K158" s="667"/>
      <c r="L158" s="702"/>
      <c r="M158" s="676"/>
    </row>
    <row r="159" spans="1:13" ht="21.75" customHeight="1">
      <c r="A159" s="711"/>
      <c r="B159" s="866"/>
      <c r="C159" s="175" t="s">
        <v>6</v>
      </c>
      <c r="D159" s="183">
        <f>'912-ПП'!H386</f>
        <v>4266.6666699999996</v>
      </c>
      <c r="E159" s="182">
        <f>D159</f>
        <v>4266.6666699999996</v>
      </c>
      <c r="F159" s="182">
        <f>E159</f>
        <v>4266.6666699999996</v>
      </c>
      <c r="G159" s="174">
        <f t="shared" si="10"/>
        <v>1</v>
      </c>
      <c r="H159" s="773"/>
      <c r="I159" s="1077"/>
      <c r="J159" s="667"/>
      <c r="K159" s="667"/>
      <c r="L159" s="702"/>
      <c r="M159" s="676"/>
    </row>
    <row r="160" spans="1:13" ht="22.5" customHeight="1">
      <c r="A160" s="712"/>
      <c r="B160" s="867"/>
      <c r="C160" s="175" t="s">
        <v>7</v>
      </c>
      <c r="D160" s="183">
        <v>0</v>
      </c>
      <c r="E160" s="182">
        <v>0</v>
      </c>
      <c r="F160" s="182">
        <v>0</v>
      </c>
      <c r="G160" s="174">
        <f t="shared" si="10"/>
        <v>0</v>
      </c>
      <c r="H160" s="774"/>
      <c r="I160" s="1078"/>
      <c r="J160" s="668"/>
      <c r="K160" s="668"/>
      <c r="L160" s="703"/>
      <c r="M160" s="677"/>
    </row>
    <row r="161" spans="1:13" ht="21.75" customHeight="1">
      <c r="A161" s="719" t="s">
        <v>16</v>
      </c>
      <c r="B161" s="792" t="s">
        <v>78</v>
      </c>
      <c r="C161" s="181" t="s">
        <v>3</v>
      </c>
      <c r="D161" s="180">
        <f>SUM(D162:D165)</f>
        <v>57989.523329999996</v>
      </c>
      <c r="E161" s="180">
        <f>SUM(E162:E165)</f>
        <v>57989.523329999996</v>
      </c>
      <c r="F161" s="180">
        <f>SUM(F162:F165)</f>
        <v>57989.523329999996</v>
      </c>
      <c r="G161" s="174">
        <f t="shared" si="10"/>
        <v>1</v>
      </c>
      <c r="H161" s="772" t="s">
        <v>79</v>
      </c>
      <c r="I161" s="701" t="s">
        <v>95</v>
      </c>
      <c r="J161" s="727" t="s">
        <v>177</v>
      </c>
      <c r="K161" s="709" t="s">
        <v>65</v>
      </c>
      <c r="L161" s="701"/>
      <c r="M161" s="675">
        <v>823</v>
      </c>
    </row>
    <row r="162" spans="1:13" ht="23.25" customHeight="1">
      <c r="A162" s="720"/>
      <c r="B162" s="850"/>
      <c r="C162" s="181" t="s">
        <v>4</v>
      </c>
      <c r="D162" s="189">
        <f>'912-ПП'!F393</f>
        <v>41400</v>
      </c>
      <c r="E162" s="182">
        <f>Документ!R170</f>
        <v>41400</v>
      </c>
      <c r="F162" s="182">
        <f>E162</f>
        <v>41400</v>
      </c>
      <c r="G162" s="174">
        <f t="shared" si="10"/>
        <v>1</v>
      </c>
      <c r="H162" s="773"/>
      <c r="I162" s="702" t="s">
        <v>46</v>
      </c>
      <c r="J162" s="667"/>
      <c r="K162" s="673"/>
      <c r="L162" s="702"/>
      <c r="M162" s="676"/>
    </row>
    <row r="163" spans="1:13" ht="24" customHeight="1">
      <c r="A163" s="720"/>
      <c r="B163" s="850"/>
      <c r="C163" s="181" t="s">
        <v>5</v>
      </c>
      <c r="D163" s="187">
        <v>0</v>
      </c>
      <c r="E163" s="182">
        <v>0</v>
      </c>
      <c r="F163" s="182">
        <v>0</v>
      </c>
      <c r="G163" s="174">
        <f t="shared" si="10"/>
        <v>0</v>
      </c>
      <c r="H163" s="773"/>
      <c r="I163" s="702" t="s">
        <v>47</v>
      </c>
      <c r="J163" s="667"/>
      <c r="K163" s="673"/>
      <c r="L163" s="702"/>
      <c r="M163" s="676"/>
    </row>
    <row r="164" spans="1:13" ht="24" customHeight="1">
      <c r="A164" s="720"/>
      <c r="B164" s="850"/>
      <c r="C164" s="181" t="s">
        <v>6</v>
      </c>
      <c r="D164" s="187">
        <f>'912-ПП'!H393</f>
        <v>16589.52333</v>
      </c>
      <c r="E164" s="182">
        <f>D164</f>
        <v>16589.52333</v>
      </c>
      <c r="F164" s="182">
        <f>E164</f>
        <v>16589.52333</v>
      </c>
      <c r="G164" s="174">
        <f t="shared" si="10"/>
        <v>1</v>
      </c>
      <c r="H164" s="773"/>
      <c r="I164" s="702" t="s">
        <v>48</v>
      </c>
      <c r="J164" s="667"/>
      <c r="K164" s="673"/>
      <c r="L164" s="702"/>
      <c r="M164" s="676"/>
    </row>
    <row r="165" spans="1:13" ht="23.25" customHeight="1">
      <c r="A165" s="721"/>
      <c r="B165" s="851"/>
      <c r="C165" s="181" t="s">
        <v>7</v>
      </c>
      <c r="D165" s="187">
        <v>0</v>
      </c>
      <c r="E165" s="182">
        <v>0</v>
      </c>
      <c r="F165" s="182">
        <v>0</v>
      </c>
      <c r="G165" s="174">
        <f t="shared" si="10"/>
        <v>0</v>
      </c>
      <c r="H165" s="774"/>
      <c r="I165" s="703" t="s">
        <v>49</v>
      </c>
      <c r="J165" s="668"/>
      <c r="K165" s="674"/>
      <c r="L165" s="703"/>
      <c r="M165" s="677"/>
    </row>
    <row r="166" spans="1:13" s="10" customFormat="1">
      <c r="A166" s="728" t="s">
        <v>97</v>
      </c>
      <c r="B166" s="913" t="s">
        <v>96</v>
      </c>
      <c r="C166" s="39" t="s">
        <v>3</v>
      </c>
      <c r="D166" s="55">
        <f>SUM(D167:D170)</f>
        <v>9781.5055100000009</v>
      </c>
      <c r="E166" s="55">
        <f>SUM(E167:E170)</f>
        <v>9781.5053000000007</v>
      </c>
      <c r="F166" s="55">
        <f>SUM(F167:F170)</f>
        <v>9781.5053000000007</v>
      </c>
      <c r="G166" s="37">
        <f t="shared" si="10"/>
        <v>0.99999997853091227</v>
      </c>
      <c r="H166" s="734" t="s">
        <v>80</v>
      </c>
      <c r="I166" s="60" t="s">
        <v>45</v>
      </c>
      <c r="J166" s="61">
        <f>SUM(J167:J169)</f>
        <v>2</v>
      </c>
      <c r="K166" s="761" t="s">
        <v>68</v>
      </c>
      <c r="L166" s="910"/>
      <c r="M166" s="763">
        <v>823</v>
      </c>
    </row>
    <row r="167" spans="1:13" s="10" customFormat="1">
      <c r="A167" s="729"/>
      <c r="B167" s="914"/>
      <c r="C167" s="39" t="s">
        <v>4</v>
      </c>
      <c r="D167" s="55">
        <f t="shared" ref="D167:E169" si="12">SUM(D172,D177)</f>
        <v>1718.8468699999999</v>
      </c>
      <c r="E167" s="55">
        <f t="shared" si="12"/>
        <v>1718.8466599999999</v>
      </c>
      <c r="F167" s="55">
        <f>E167</f>
        <v>1718.8466599999999</v>
      </c>
      <c r="G167" s="37">
        <f t="shared" si="10"/>
        <v>0.99999987782506772</v>
      </c>
      <c r="H167" s="735"/>
      <c r="I167" s="60" t="s">
        <v>46</v>
      </c>
      <c r="J167" s="61">
        <f>COUNTIF($J$171:$J$180,"Да")</f>
        <v>2</v>
      </c>
      <c r="K167" s="762"/>
      <c r="L167" s="911"/>
      <c r="M167" s="764"/>
    </row>
    <row r="168" spans="1:13" s="10" customFormat="1">
      <c r="A168" s="729"/>
      <c r="B168" s="914"/>
      <c r="C168" s="39" t="s">
        <v>5</v>
      </c>
      <c r="D168" s="55">
        <f t="shared" si="12"/>
        <v>8062.6586400000006</v>
      </c>
      <c r="E168" s="55">
        <f t="shared" si="12"/>
        <v>8062.6586400000006</v>
      </c>
      <c r="F168" s="55">
        <f>E168</f>
        <v>8062.6586400000006</v>
      </c>
      <c r="G168" s="37">
        <f t="shared" si="10"/>
        <v>1</v>
      </c>
      <c r="H168" s="735"/>
      <c r="I168" s="60" t="s">
        <v>47</v>
      </c>
      <c r="J168" s="61">
        <f>COUNTIF($J$171:$J$180,"Частично")</f>
        <v>0</v>
      </c>
      <c r="K168" s="762"/>
      <c r="L168" s="911"/>
      <c r="M168" s="764"/>
    </row>
    <row r="169" spans="1:13" s="10" customFormat="1">
      <c r="A169" s="729"/>
      <c r="B169" s="914"/>
      <c r="C169" s="39" t="s">
        <v>6</v>
      </c>
      <c r="D169" s="55">
        <f t="shared" si="12"/>
        <v>0</v>
      </c>
      <c r="E169" s="55">
        <f t="shared" si="12"/>
        <v>0</v>
      </c>
      <c r="F169" s="55">
        <f>E169</f>
        <v>0</v>
      </c>
      <c r="G169" s="37">
        <f t="shared" si="10"/>
        <v>0</v>
      </c>
      <c r="H169" s="735"/>
      <c r="I169" s="60" t="s">
        <v>48</v>
      </c>
      <c r="J169" s="61">
        <f>COUNTIF($J$171:$J$180,"Нет")</f>
        <v>0</v>
      </c>
      <c r="K169" s="762"/>
      <c r="L169" s="911"/>
      <c r="M169" s="764"/>
    </row>
    <row r="170" spans="1:13" s="10" customFormat="1">
      <c r="A170" s="730"/>
      <c r="B170" s="915"/>
      <c r="C170" s="39" t="s">
        <v>7</v>
      </c>
      <c r="D170" s="55">
        <v>0</v>
      </c>
      <c r="E170" s="55">
        <v>0</v>
      </c>
      <c r="F170" s="55">
        <v>0</v>
      </c>
      <c r="G170" s="37">
        <f t="shared" si="10"/>
        <v>0</v>
      </c>
      <c r="H170" s="736"/>
      <c r="I170" s="60" t="s">
        <v>49</v>
      </c>
      <c r="J170" s="62">
        <f>(J167+0.5*J168)/J166</f>
        <v>1</v>
      </c>
      <c r="K170" s="771"/>
      <c r="L170" s="912"/>
      <c r="M170" s="834"/>
    </row>
    <row r="171" spans="1:13" ht="33.75" customHeight="1">
      <c r="A171" s="872" t="s">
        <v>98</v>
      </c>
      <c r="B171" s="740" t="s">
        <v>147</v>
      </c>
      <c r="C171" s="175" t="s">
        <v>3</v>
      </c>
      <c r="D171" s="180">
        <f>SUM(D172:D175)</f>
        <v>4859.9562100000003</v>
      </c>
      <c r="E171" s="180">
        <f>SUM(E172:E175)</f>
        <v>4859.9560000000001</v>
      </c>
      <c r="F171" s="180">
        <f>SUM(F172:F175)</f>
        <v>4859.9560000000001</v>
      </c>
      <c r="G171" s="174">
        <f t="shared" si="10"/>
        <v>0.99999995678973408</v>
      </c>
      <c r="H171" s="772" t="s">
        <v>1060</v>
      </c>
      <c r="I171" s="701" t="s">
        <v>644</v>
      </c>
      <c r="J171" s="727" t="s">
        <v>177</v>
      </c>
      <c r="K171" s="709" t="s">
        <v>675</v>
      </c>
      <c r="L171" s="896"/>
      <c r="M171" s="675">
        <v>823</v>
      </c>
    </row>
    <row r="172" spans="1:13" ht="34.5" customHeight="1">
      <c r="A172" s="711"/>
      <c r="B172" s="741"/>
      <c r="C172" s="175" t="s">
        <v>4</v>
      </c>
      <c r="D172" s="176">
        <f>'912-ПП'!F406</f>
        <v>291.59756999999996</v>
      </c>
      <c r="E172" s="182">
        <f>'2024'!H105</f>
        <v>291.59735999999998</v>
      </c>
      <c r="F172" s="182">
        <f>E172</f>
        <v>291.59735999999998</v>
      </c>
      <c r="G172" s="174">
        <f t="shared" si="10"/>
        <v>0.99999927982938963</v>
      </c>
      <c r="H172" s="773"/>
      <c r="I172" s="702"/>
      <c r="J172" s="667"/>
      <c r="K172" s="673"/>
      <c r="L172" s="897"/>
      <c r="M172" s="676"/>
    </row>
    <row r="173" spans="1:13" ht="32.25" customHeight="1">
      <c r="A173" s="711"/>
      <c r="B173" s="741"/>
      <c r="C173" s="175" t="s">
        <v>5</v>
      </c>
      <c r="D173" s="183">
        <f>'912-ПП'!G406</f>
        <v>4568.3586400000004</v>
      </c>
      <c r="E173" s="182">
        <f>'2024'!H104</f>
        <v>4568.3586400000004</v>
      </c>
      <c r="F173" s="182">
        <f>E173</f>
        <v>4568.3586400000004</v>
      </c>
      <c r="G173" s="174">
        <f t="shared" si="10"/>
        <v>1</v>
      </c>
      <c r="H173" s="773"/>
      <c r="I173" s="702"/>
      <c r="J173" s="667"/>
      <c r="K173" s="673"/>
      <c r="L173" s="897"/>
      <c r="M173" s="676"/>
    </row>
    <row r="174" spans="1:13" ht="36" customHeight="1">
      <c r="A174" s="711"/>
      <c r="B174" s="741"/>
      <c r="C174" s="175" t="s">
        <v>6</v>
      </c>
      <c r="D174" s="183">
        <v>0</v>
      </c>
      <c r="E174" s="182">
        <v>0</v>
      </c>
      <c r="F174" s="182">
        <v>0</v>
      </c>
      <c r="G174" s="174">
        <f t="shared" si="10"/>
        <v>0</v>
      </c>
      <c r="H174" s="773"/>
      <c r="I174" s="702"/>
      <c r="J174" s="667"/>
      <c r="K174" s="673"/>
      <c r="L174" s="897"/>
      <c r="M174" s="676"/>
    </row>
    <row r="175" spans="1:13" ht="21.75" customHeight="1">
      <c r="A175" s="712"/>
      <c r="B175" s="742"/>
      <c r="C175" s="175" t="s">
        <v>7</v>
      </c>
      <c r="D175" s="183">
        <v>0</v>
      </c>
      <c r="E175" s="182">
        <v>0</v>
      </c>
      <c r="F175" s="182">
        <v>0</v>
      </c>
      <c r="G175" s="174">
        <f t="shared" si="10"/>
        <v>0</v>
      </c>
      <c r="H175" s="774"/>
      <c r="I175" s="703"/>
      <c r="J175" s="668"/>
      <c r="K175" s="674"/>
      <c r="L175" s="898"/>
      <c r="M175" s="677"/>
    </row>
    <row r="176" spans="1:13" ht="15" customHeight="1">
      <c r="A176" s="872" t="s">
        <v>99</v>
      </c>
      <c r="B176" s="740" t="s">
        <v>146</v>
      </c>
      <c r="C176" s="175" t="s">
        <v>3</v>
      </c>
      <c r="D176" s="180">
        <f>SUM(D177:D180)</f>
        <v>4921.5493000000006</v>
      </c>
      <c r="E176" s="180">
        <f>SUM(E177:E180)</f>
        <v>4921.5493000000006</v>
      </c>
      <c r="F176" s="180">
        <f>SUM(F177:F180)</f>
        <v>4921.5493000000006</v>
      </c>
      <c r="G176" s="174">
        <f t="shared" si="10"/>
        <v>1</v>
      </c>
      <c r="H176" s="772" t="s">
        <v>145</v>
      </c>
      <c r="I176" s="701" t="s">
        <v>1061</v>
      </c>
      <c r="J176" s="727" t="s">
        <v>177</v>
      </c>
      <c r="K176" s="709" t="s">
        <v>647</v>
      </c>
      <c r="L176" s="701" t="s">
        <v>674</v>
      </c>
      <c r="M176" s="675">
        <v>823</v>
      </c>
    </row>
    <row r="177" spans="1:13">
      <c r="A177" s="711"/>
      <c r="B177" s="741"/>
      <c r="C177" s="175" t="s">
        <v>4</v>
      </c>
      <c r="D177" s="193">
        <f>'912-ПП'!F412</f>
        <v>1427.2492999999999</v>
      </c>
      <c r="E177" s="193">
        <f>'2024'!H108</f>
        <v>1427.2492999999999</v>
      </c>
      <c r="F177" s="193">
        <f>E177</f>
        <v>1427.2492999999999</v>
      </c>
      <c r="G177" s="174">
        <f t="shared" si="10"/>
        <v>1</v>
      </c>
      <c r="H177" s="773"/>
      <c r="I177" s="702"/>
      <c r="J177" s="667"/>
      <c r="K177" s="673"/>
      <c r="L177" s="702"/>
      <c r="M177" s="676"/>
    </row>
    <row r="178" spans="1:13" ht="15" customHeight="1">
      <c r="A178" s="711"/>
      <c r="B178" s="741"/>
      <c r="C178" s="175" t="s">
        <v>5</v>
      </c>
      <c r="D178" s="187">
        <f>'912-ПП'!G412</f>
        <v>3494.3</v>
      </c>
      <c r="E178" s="187">
        <f>'2024'!H107</f>
        <v>3494.3</v>
      </c>
      <c r="F178" s="187">
        <f>E178</f>
        <v>3494.3</v>
      </c>
      <c r="G178" s="174">
        <f t="shared" si="10"/>
        <v>1</v>
      </c>
      <c r="H178" s="773"/>
      <c r="I178" s="702"/>
      <c r="J178" s="667"/>
      <c r="K178" s="673"/>
      <c r="L178" s="702"/>
      <c r="M178" s="676"/>
    </row>
    <row r="179" spans="1:13" ht="60" customHeight="1">
      <c r="A179" s="711"/>
      <c r="B179" s="741"/>
      <c r="C179" s="175" t="s">
        <v>6</v>
      </c>
      <c r="D179" s="183">
        <v>0</v>
      </c>
      <c r="E179" s="182">
        <v>0</v>
      </c>
      <c r="F179" s="182">
        <v>0</v>
      </c>
      <c r="G179" s="174">
        <f t="shared" si="10"/>
        <v>0</v>
      </c>
      <c r="H179" s="773"/>
      <c r="I179" s="702"/>
      <c r="J179" s="667"/>
      <c r="K179" s="673"/>
      <c r="L179" s="702"/>
      <c r="M179" s="676"/>
    </row>
    <row r="180" spans="1:13" ht="55.5" customHeight="1">
      <c r="A180" s="712"/>
      <c r="B180" s="742"/>
      <c r="C180" s="175" t="s">
        <v>7</v>
      </c>
      <c r="D180" s="183">
        <v>0</v>
      </c>
      <c r="E180" s="182">
        <v>0</v>
      </c>
      <c r="F180" s="182">
        <v>0</v>
      </c>
      <c r="G180" s="174">
        <f t="shared" si="10"/>
        <v>0</v>
      </c>
      <c r="H180" s="774"/>
      <c r="I180" s="703"/>
      <c r="J180" s="668"/>
      <c r="K180" s="674"/>
      <c r="L180" s="703"/>
      <c r="M180" s="677"/>
    </row>
    <row r="181" spans="1:13">
      <c r="A181" s="869" t="s">
        <v>17</v>
      </c>
      <c r="B181" s="899" t="s">
        <v>18</v>
      </c>
      <c r="C181" s="49" t="s">
        <v>3</v>
      </c>
      <c r="D181" s="50">
        <f>SUM(D182:D185)</f>
        <v>1412077.9338110527</v>
      </c>
      <c r="E181" s="50">
        <f>SUM(E182:E185)</f>
        <v>1384971.5516899999</v>
      </c>
      <c r="F181" s="50">
        <f>SUM(F182:F185)</f>
        <v>1384971.5516899999</v>
      </c>
      <c r="G181" s="48">
        <f t="shared" si="10"/>
        <v>0.98080390503100956</v>
      </c>
      <c r="H181" s="899"/>
      <c r="I181" s="18" t="s">
        <v>45</v>
      </c>
      <c r="J181" s="34">
        <f>SUM(J186,J226,J261,J196,J216,J246,)</f>
        <v>12</v>
      </c>
      <c r="K181" s="751" t="s">
        <v>105</v>
      </c>
      <c r="L181" s="873"/>
      <c r="M181" s="822" t="s">
        <v>35</v>
      </c>
    </row>
    <row r="182" spans="1:13">
      <c r="A182" s="870"/>
      <c r="B182" s="900"/>
      <c r="C182" s="49" t="s">
        <v>4</v>
      </c>
      <c r="D182" s="51">
        <f>SUM(D187,D227,D262,D197,D217,D247,)</f>
        <v>764592.11939000001</v>
      </c>
      <c r="E182" s="51">
        <f>SUM(E187,E227,E262,E197,E217,E247)</f>
        <v>748485.78327000001</v>
      </c>
      <c r="F182" s="51">
        <f>E182</f>
        <v>748485.78327000001</v>
      </c>
      <c r="G182" s="48">
        <f t="shared" si="10"/>
        <v>0.978934734335413</v>
      </c>
      <c r="H182" s="900"/>
      <c r="I182" s="18" t="s">
        <v>46</v>
      </c>
      <c r="J182" s="34">
        <f>SUM(J187,J227,J262,J197,J217,J247)</f>
        <v>9</v>
      </c>
      <c r="K182" s="752"/>
      <c r="L182" s="874"/>
      <c r="M182" s="823"/>
    </row>
    <row r="183" spans="1:13">
      <c r="A183" s="870"/>
      <c r="B183" s="900"/>
      <c r="C183" s="49" t="s">
        <v>5</v>
      </c>
      <c r="D183" s="51">
        <f>SUM(D188,D228,D263,D198,D218,D248,)</f>
        <v>624810.89999999991</v>
      </c>
      <c r="E183" s="52">
        <f>SUM(E188,E228,E263,E218)</f>
        <v>624810.89999999991</v>
      </c>
      <c r="F183" s="52">
        <f>E183</f>
        <v>624810.89999999991</v>
      </c>
      <c r="G183" s="48">
        <f t="shared" si="10"/>
        <v>1</v>
      </c>
      <c r="H183" s="900"/>
      <c r="I183" s="18" t="s">
        <v>47</v>
      </c>
      <c r="J183" s="34">
        <f>SUM(J188,J228,J263,J198,J218,J248,)</f>
        <v>2</v>
      </c>
      <c r="K183" s="752"/>
      <c r="L183" s="874"/>
      <c r="M183" s="823"/>
    </row>
    <row r="184" spans="1:13">
      <c r="A184" s="870"/>
      <c r="B184" s="900"/>
      <c r="C184" s="49" t="s">
        <v>6</v>
      </c>
      <c r="D184" s="51">
        <f>SUM(D189,D229,D264,D199,D219,D249,)</f>
        <v>11674.914421052632</v>
      </c>
      <c r="E184" s="52">
        <f>SUM(E189,E229,E264,E249,)</f>
        <v>11674.868419999999</v>
      </c>
      <c r="F184" s="52">
        <f>E184</f>
        <v>11674.868419999999</v>
      </c>
      <c r="G184" s="48">
        <f t="shared" si="10"/>
        <v>0.99999605983813034</v>
      </c>
      <c r="H184" s="900"/>
      <c r="I184" s="18" t="s">
        <v>48</v>
      </c>
      <c r="J184" s="34">
        <f>SUM(J189,J229,J264,J199,J219,J249,)</f>
        <v>1</v>
      </c>
      <c r="K184" s="752"/>
      <c r="L184" s="874"/>
      <c r="M184" s="823"/>
    </row>
    <row r="185" spans="1:13">
      <c r="A185" s="871"/>
      <c r="B185" s="901"/>
      <c r="C185" s="49" t="s">
        <v>7</v>
      </c>
      <c r="D185" s="51">
        <f>SUM(D190,D230,D265,D200,D220,D250,)</f>
        <v>11000</v>
      </c>
      <c r="E185" s="52">
        <v>0</v>
      </c>
      <c r="F185" s="52">
        <v>0</v>
      </c>
      <c r="G185" s="48">
        <f t="shared" si="10"/>
        <v>0</v>
      </c>
      <c r="H185" s="901"/>
      <c r="I185" s="18" t="s">
        <v>49</v>
      </c>
      <c r="J185" s="20">
        <f>(J182+0.5*J183)/J181</f>
        <v>0.83333333333333337</v>
      </c>
      <c r="K185" s="905"/>
      <c r="L185" s="875"/>
      <c r="M185" s="892"/>
    </row>
    <row r="186" spans="1:13">
      <c r="A186" s="841" t="s">
        <v>383</v>
      </c>
      <c r="B186" s="731" t="s">
        <v>384</v>
      </c>
      <c r="C186" s="39" t="s">
        <v>3</v>
      </c>
      <c r="D186" s="59">
        <f>SUM(D187:D190)</f>
        <v>14179.368421052632</v>
      </c>
      <c r="E186" s="59">
        <f>SUM(E187:E190)</f>
        <v>3179.3684200000002</v>
      </c>
      <c r="F186" s="59">
        <f>SUM(F187:F190)</f>
        <v>3179.3684200000002</v>
      </c>
      <c r="G186" s="37">
        <f t="shared" si="10"/>
        <v>0.22422496726155128</v>
      </c>
      <c r="H186" s="883" t="s">
        <v>385</v>
      </c>
      <c r="I186" s="18" t="s">
        <v>45</v>
      </c>
      <c r="J186" s="32">
        <v>1</v>
      </c>
      <c r="K186" s="761" t="s">
        <v>598</v>
      </c>
      <c r="L186" s="761"/>
      <c r="M186" s="763">
        <v>823</v>
      </c>
    </row>
    <row r="187" spans="1:13">
      <c r="A187" s="842"/>
      <c r="B187" s="732"/>
      <c r="C187" s="39" t="s">
        <v>4</v>
      </c>
      <c r="D187" s="59">
        <f>SUM(D192)</f>
        <v>3020.4</v>
      </c>
      <c r="E187" s="59">
        <f>SUM(E192)</f>
        <v>3020.4</v>
      </c>
      <c r="F187" s="59">
        <f>E187</f>
        <v>3020.4</v>
      </c>
      <c r="G187" s="37">
        <f t="shared" si="10"/>
        <v>1</v>
      </c>
      <c r="H187" s="884"/>
      <c r="I187" s="18" t="s">
        <v>46</v>
      </c>
      <c r="J187" s="32">
        <v>0</v>
      </c>
      <c r="K187" s="762"/>
      <c r="L187" s="762"/>
      <c r="M187" s="764"/>
    </row>
    <row r="188" spans="1:13">
      <c r="A188" s="842"/>
      <c r="B188" s="732"/>
      <c r="C188" s="39" t="s">
        <v>5</v>
      </c>
      <c r="D188" s="59">
        <v>0</v>
      </c>
      <c r="E188" s="59">
        <v>0</v>
      </c>
      <c r="F188" s="59">
        <f>E188</f>
        <v>0</v>
      </c>
      <c r="G188" s="37">
        <f t="shared" si="10"/>
        <v>0</v>
      </c>
      <c r="H188" s="884"/>
      <c r="I188" s="18" t="s">
        <v>47</v>
      </c>
      <c r="J188" s="32">
        <v>0</v>
      </c>
      <c r="K188" s="762"/>
      <c r="L188" s="762"/>
      <c r="M188" s="764"/>
    </row>
    <row r="189" spans="1:13">
      <c r="A189" s="842"/>
      <c r="B189" s="732"/>
      <c r="C189" s="39" t="s">
        <v>6</v>
      </c>
      <c r="D189" s="59">
        <f>SUM(D194)</f>
        <v>158.96842105263158</v>
      </c>
      <c r="E189" s="59">
        <f>SUM(E194)</f>
        <v>158.96842000000001</v>
      </c>
      <c r="F189" s="59">
        <f>E189</f>
        <v>158.96842000000001</v>
      </c>
      <c r="G189" s="37">
        <f t="shared" si="10"/>
        <v>0.99999999337836054</v>
      </c>
      <c r="H189" s="884"/>
      <c r="I189" s="18" t="s">
        <v>48</v>
      </c>
      <c r="J189" s="32">
        <v>1</v>
      </c>
      <c r="K189" s="762"/>
      <c r="L189" s="762"/>
      <c r="M189" s="764"/>
    </row>
    <row r="190" spans="1:13">
      <c r="A190" s="843"/>
      <c r="B190" s="733"/>
      <c r="C190" s="39" t="s">
        <v>7</v>
      </c>
      <c r="D190" s="59">
        <f>SUM(D195)</f>
        <v>11000</v>
      </c>
      <c r="E190" s="59">
        <v>0</v>
      </c>
      <c r="F190" s="59">
        <f>E190</f>
        <v>0</v>
      </c>
      <c r="G190" s="37">
        <f t="shared" si="10"/>
        <v>0</v>
      </c>
      <c r="H190" s="885"/>
      <c r="I190" s="18" t="s">
        <v>49</v>
      </c>
      <c r="J190" s="20">
        <f>(J187+0.5*J188)/J186</f>
        <v>0</v>
      </c>
      <c r="K190" s="771"/>
      <c r="L190" s="771"/>
      <c r="M190" s="834"/>
    </row>
    <row r="191" spans="1:13" ht="15.75" customHeight="1">
      <c r="A191" s="872" t="s">
        <v>706</v>
      </c>
      <c r="B191" s="1105" t="s">
        <v>672</v>
      </c>
      <c r="C191" s="175" t="s">
        <v>3</v>
      </c>
      <c r="D191" s="187">
        <f>SUM(D192:D195)</f>
        <v>14179.368421052632</v>
      </c>
      <c r="E191" s="187">
        <f>SUM(E192:E195)</f>
        <v>3179.3684200000002</v>
      </c>
      <c r="F191" s="187">
        <f>SUM(F192:F195)</f>
        <v>3179.3684200000002</v>
      </c>
      <c r="G191" s="174">
        <f t="shared" si="10"/>
        <v>0.22422496726155128</v>
      </c>
      <c r="H191" s="1045" t="s">
        <v>673</v>
      </c>
      <c r="I191" s="666" t="s">
        <v>1044</v>
      </c>
      <c r="J191" s="918" t="s">
        <v>206</v>
      </c>
      <c r="K191" s="1275" t="s">
        <v>129</v>
      </c>
      <c r="L191" s="1278" t="s">
        <v>1074</v>
      </c>
      <c r="M191" s="1281">
        <v>807</v>
      </c>
    </row>
    <row r="192" spans="1:13" ht="15.75" customHeight="1">
      <c r="A192" s="711"/>
      <c r="B192" s="741"/>
      <c r="C192" s="175" t="s">
        <v>4</v>
      </c>
      <c r="D192" s="187">
        <f>'912-ПП'!F580</f>
        <v>3020.4</v>
      </c>
      <c r="E192" s="28">
        <f>МИНСТРОЙ!E192</f>
        <v>3020.4</v>
      </c>
      <c r="F192" s="187">
        <f>МИНСТРОЙ!F192</f>
        <v>3020.4</v>
      </c>
      <c r="G192" s="174">
        <f t="shared" si="10"/>
        <v>1</v>
      </c>
      <c r="H192" s="817"/>
      <c r="I192" s="667"/>
      <c r="J192" s="919"/>
      <c r="K192" s="1276"/>
      <c r="L192" s="1279"/>
      <c r="M192" s="676"/>
    </row>
    <row r="193" spans="1:13" ht="15.75" customHeight="1">
      <c r="A193" s="711"/>
      <c r="B193" s="741"/>
      <c r="C193" s="175" t="s">
        <v>5</v>
      </c>
      <c r="D193" s="187">
        <v>0</v>
      </c>
      <c r="E193" s="187">
        <v>0</v>
      </c>
      <c r="F193" s="187">
        <f>E193</f>
        <v>0</v>
      </c>
      <c r="G193" s="174">
        <f t="shared" si="10"/>
        <v>0</v>
      </c>
      <c r="H193" s="817"/>
      <c r="I193" s="667"/>
      <c r="J193" s="919"/>
      <c r="K193" s="1276"/>
      <c r="L193" s="1279"/>
      <c r="M193" s="676"/>
    </row>
    <row r="194" spans="1:13" ht="15.75" customHeight="1">
      <c r="A194" s="711"/>
      <c r="B194" s="741"/>
      <c r="C194" s="175" t="s">
        <v>6</v>
      </c>
      <c r="D194" s="187">
        <f>'912-ПП'!H580</f>
        <v>158.96842105263158</v>
      </c>
      <c r="E194" s="187">
        <f>МИНСТРОЙ!E194</f>
        <v>158.96842000000001</v>
      </c>
      <c r="F194" s="187">
        <f>E194</f>
        <v>158.96842000000001</v>
      </c>
      <c r="G194" s="174">
        <f t="shared" si="10"/>
        <v>0.99999999337836054</v>
      </c>
      <c r="H194" s="817"/>
      <c r="I194" s="667"/>
      <c r="J194" s="919"/>
      <c r="K194" s="1276"/>
      <c r="L194" s="1279"/>
      <c r="M194" s="676"/>
    </row>
    <row r="195" spans="1:13" ht="15.75" customHeight="1">
      <c r="A195" s="712"/>
      <c r="B195" s="742"/>
      <c r="C195" s="175" t="s">
        <v>7</v>
      </c>
      <c r="D195" s="187">
        <f>'912-ПП'!I580</f>
        <v>11000</v>
      </c>
      <c r="E195" s="187">
        <v>0</v>
      </c>
      <c r="F195" s="187">
        <f>E195</f>
        <v>0</v>
      </c>
      <c r="G195" s="174">
        <f t="shared" si="10"/>
        <v>0</v>
      </c>
      <c r="H195" s="876"/>
      <c r="I195" s="668"/>
      <c r="J195" s="920"/>
      <c r="K195" s="1277"/>
      <c r="L195" s="1280"/>
      <c r="M195" s="677"/>
    </row>
    <row r="196" spans="1:13" ht="15.75" customHeight="1">
      <c r="A196" s="841" t="s">
        <v>651</v>
      </c>
      <c r="B196" s="877" t="s">
        <v>60</v>
      </c>
      <c r="C196" s="39" t="s">
        <v>3</v>
      </c>
      <c r="D196" s="59">
        <f>SUM(D197:D200)</f>
        <v>11926.269</v>
      </c>
      <c r="E196" s="59">
        <f>SUM(E197:E200)</f>
        <v>11355.4</v>
      </c>
      <c r="F196" s="59">
        <f>SUM(F197:F200)</f>
        <v>11355.4</v>
      </c>
      <c r="G196" s="37">
        <f t="shared" si="10"/>
        <v>0.95213347946453319</v>
      </c>
      <c r="H196" s="734" t="s">
        <v>83</v>
      </c>
      <c r="I196" s="18" t="s">
        <v>45</v>
      </c>
      <c r="J196" s="169">
        <f>SUM(J197:J199)</f>
        <v>3</v>
      </c>
      <c r="K196" s="761" t="str">
        <f>'[1]Пр ГП 19-20'!$K$167</f>
        <v>Министерство строительства МО, администрации муниципальных образований</v>
      </c>
      <c r="L196" s="214"/>
      <c r="M196" s="215"/>
    </row>
    <row r="197" spans="1:13">
      <c r="A197" s="842"/>
      <c r="B197" s="878"/>
      <c r="C197" s="39" t="s">
        <v>4</v>
      </c>
      <c r="D197" s="59">
        <f>SUM(D212,D207,D202)</f>
        <v>11926.269</v>
      </c>
      <c r="E197" s="59">
        <v>11355.4</v>
      </c>
      <c r="F197" s="59">
        <f>E197</f>
        <v>11355.4</v>
      </c>
      <c r="G197" s="37">
        <f t="shared" si="10"/>
        <v>0.95213347946453319</v>
      </c>
      <c r="H197" s="735"/>
      <c r="I197" s="18" t="s">
        <v>46</v>
      </c>
      <c r="J197" s="169">
        <v>3</v>
      </c>
      <c r="K197" s="762"/>
      <c r="L197" s="214"/>
      <c r="M197" s="215"/>
    </row>
    <row r="198" spans="1:13">
      <c r="A198" s="842"/>
      <c r="B198" s="878"/>
      <c r="C198" s="39" t="s">
        <v>5</v>
      </c>
      <c r="D198" s="59">
        <v>0</v>
      </c>
      <c r="E198" s="59">
        <v>0</v>
      </c>
      <c r="F198" s="59">
        <f>E198</f>
        <v>0</v>
      </c>
      <c r="G198" s="37">
        <f t="shared" si="10"/>
        <v>0</v>
      </c>
      <c r="H198" s="735"/>
      <c r="I198" s="18" t="s">
        <v>47</v>
      </c>
      <c r="J198" s="169">
        <f>COUNTIF($J$201:$J$215,"Частично")</f>
        <v>0</v>
      </c>
      <c r="K198" s="762"/>
      <c r="L198" s="214"/>
      <c r="M198" s="215"/>
    </row>
    <row r="199" spans="1:13">
      <c r="A199" s="842"/>
      <c r="B199" s="878"/>
      <c r="C199" s="39" t="s">
        <v>6</v>
      </c>
      <c r="D199" s="59">
        <v>0</v>
      </c>
      <c r="E199" s="59">
        <v>0</v>
      </c>
      <c r="F199" s="59">
        <f>E199</f>
        <v>0</v>
      </c>
      <c r="G199" s="37">
        <f t="shared" si="10"/>
        <v>0</v>
      </c>
      <c r="H199" s="735"/>
      <c r="I199" s="18" t="s">
        <v>48</v>
      </c>
      <c r="J199" s="169">
        <v>0</v>
      </c>
      <c r="K199" s="762"/>
      <c r="L199" s="214"/>
      <c r="M199" s="215"/>
    </row>
    <row r="200" spans="1:13">
      <c r="A200" s="843"/>
      <c r="B200" s="879"/>
      <c r="C200" s="39" t="s">
        <v>7</v>
      </c>
      <c r="D200" s="59">
        <v>0</v>
      </c>
      <c r="E200" s="59">
        <v>0</v>
      </c>
      <c r="F200" s="59">
        <f>E200</f>
        <v>0</v>
      </c>
      <c r="G200" s="37">
        <f t="shared" si="10"/>
        <v>0</v>
      </c>
      <c r="H200" s="736"/>
      <c r="I200" s="18" t="s">
        <v>49</v>
      </c>
      <c r="J200" s="22">
        <f>(J197+0.5*J198)/J196</f>
        <v>1</v>
      </c>
      <c r="K200" s="771"/>
      <c r="L200" s="214"/>
      <c r="M200" s="215"/>
    </row>
    <row r="201" spans="1:13" s="221" customFormat="1" ht="15" customHeight="1">
      <c r="A201" s="696" t="s">
        <v>126</v>
      </c>
      <c r="B201" s="695" t="s">
        <v>19</v>
      </c>
      <c r="C201" s="179" t="s">
        <v>3</v>
      </c>
      <c r="D201" s="185">
        <f>SUM(D202:D205)</f>
        <v>6000</v>
      </c>
      <c r="E201" s="188">
        <f>SUM(E202:E205)</f>
        <v>6000</v>
      </c>
      <c r="F201" s="188">
        <f>SUM(F202:F205)</f>
        <v>6000</v>
      </c>
      <c r="G201" s="174">
        <f t="shared" si="10"/>
        <v>1</v>
      </c>
      <c r="H201" s="786" t="s">
        <v>144</v>
      </c>
      <c r="I201" s="709" t="s">
        <v>1034</v>
      </c>
      <c r="J201" s="699" t="s">
        <v>177</v>
      </c>
      <c r="K201" s="709" t="s">
        <v>142</v>
      </c>
      <c r="L201" s="701"/>
      <c r="M201" s="675">
        <v>823</v>
      </c>
    </row>
    <row r="202" spans="1:13" s="221" customFormat="1" ht="15" customHeight="1">
      <c r="A202" s="661"/>
      <c r="B202" s="683"/>
      <c r="C202" s="181" t="s">
        <v>4</v>
      </c>
      <c r="D202" s="195">
        <f>'912-ПП'!F601</f>
        <v>6000</v>
      </c>
      <c r="E202" s="188">
        <f>'2024'!H110</f>
        <v>6000</v>
      </c>
      <c r="F202" s="188">
        <f>E202</f>
        <v>6000</v>
      </c>
      <c r="G202" s="174">
        <f t="shared" si="10"/>
        <v>1</v>
      </c>
      <c r="H202" s="787"/>
      <c r="I202" s="673"/>
      <c r="J202" s="670"/>
      <c r="K202" s="673"/>
      <c r="L202" s="702"/>
      <c r="M202" s="676"/>
    </row>
    <row r="203" spans="1:13" s="221" customFormat="1" ht="15" customHeight="1">
      <c r="A203" s="661"/>
      <c r="B203" s="683"/>
      <c r="C203" s="181" t="s">
        <v>5</v>
      </c>
      <c r="D203" s="195">
        <v>0</v>
      </c>
      <c r="E203" s="188">
        <v>0</v>
      </c>
      <c r="F203" s="188">
        <v>0</v>
      </c>
      <c r="G203" s="174">
        <f t="shared" si="10"/>
        <v>0</v>
      </c>
      <c r="H203" s="787"/>
      <c r="I203" s="673"/>
      <c r="J203" s="670"/>
      <c r="K203" s="673"/>
      <c r="L203" s="702"/>
      <c r="M203" s="676"/>
    </row>
    <row r="204" spans="1:13" s="221" customFormat="1" ht="15" customHeight="1">
      <c r="A204" s="661"/>
      <c r="B204" s="683"/>
      <c r="C204" s="181" t="s">
        <v>6</v>
      </c>
      <c r="D204" s="195">
        <v>0</v>
      </c>
      <c r="E204" s="188">
        <v>0</v>
      </c>
      <c r="F204" s="188">
        <v>0</v>
      </c>
      <c r="G204" s="174">
        <f t="shared" si="10"/>
        <v>0</v>
      </c>
      <c r="H204" s="787"/>
      <c r="I204" s="673"/>
      <c r="J204" s="670"/>
      <c r="K204" s="673"/>
      <c r="L204" s="702"/>
      <c r="M204" s="676"/>
    </row>
    <row r="205" spans="1:13" s="221" customFormat="1" ht="15" customHeight="1">
      <c r="A205" s="662"/>
      <c r="B205" s="684"/>
      <c r="C205" s="181" t="s">
        <v>7</v>
      </c>
      <c r="D205" s="195">
        <v>0</v>
      </c>
      <c r="E205" s="188">
        <v>0</v>
      </c>
      <c r="F205" s="188">
        <v>0</v>
      </c>
      <c r="G205" s="174">
        <f t="shared" si="10"/>
        <v>0</v>
      </c>
      <c r="H205" s="788"/>
      <c r="I205" s="674"/>
      <c r="J205" s="671"/>
      <c r="K205" s="674"/>
      <c r="L205" s="703"/>
      <c r="M205" s="677"/>
    </row>
    <row r="206" spans="1:13" s="221" customFormat="1" ht="15" customHeight="1">
      <c r="A206" s="660" t="s">
        <v>686</v>
      </c>
      <c r="B206" s="682" t="s">
        <v>461</v>
      </c>
      <c r="C206" s="179" t="s">
        <v>3</v>
      </c>
      <c r="D206" s="195">
        <f>SUM(D207:D210)</f>
        <v>4801.7</v>
      </c>
      <c r="E206" s="188">
        <f>SUM(E207:E210)</f>
        <v>4801.7297799999997</v>
      </c>
      <c r="F206" s="188">
        <f>SUM(F207:F210)</f>
        <v>4801.7297799999997</v>
      </c>
      <c r="G206" s="174">
        <f t="shared" si="10"/>
        <v>1.0000062019701355</v>
      </c>
      <c r="H206" s="1090" t="s">
        <v>462</v>
      </c>
      <c r="I206" s="709" t="s">
        <v>1062</v>
      </c>
      <c r="J206" s="669" t="s">
        <v>177</v>
      </c>
      <c r="K206" s="672" t="s">
        <v>241</v>
      </c>
      <c r="L206" s="701"/>
      <c r="M206" s="1281">
        <v>823</v>
      </c>
    </row>
    <row r="207" spans="1:13" s="221" customFormat="1" ht="15" customHeight="1">
      <c r="A207" s="661"/>
      <c r="B207" s="683"/>
      <c r="C207" s="181" t="s">
        <v>4</v>
      </c>
      <c r="D207" s="195">
        <f>'912-ПП'!F608</f>
        <v>4801.7</v>
      </c>
      <c r="E207" s="188">
        <f>'2024'!H112</f>
        <v>4801.7297799999997</v>
      </c>
      <c r="F207" s="188">
        <f>E207</f>
        <v>4801.7297799999997</v>
      </c>
      <c r="G207" s="174">
        <f t="shared" si="10"/>
        <v>1.0000062019701355</v>
      </c>
      <c r="H207" s="787"/>
      <c r="I207" s="673"/>
      <c r="J207" s="670"/>
      <c r="K207" s="673"/>
      <c r="L207" s="702"/>
      <c r="M207" s="676"/>
    </row>
    <row r="208" spans="1:13" s="221" customFormat="1" ht="15" customHeight="1">
      <c r="A208" s="661"/>
      <c r="B208" s="683"/>
      <c r="C208" s="181" t="s">
        <v>5</v>
      </c>
      <c r="D208" s="195">
        <v>0</v>
      </c>
      <c r="E208" s="188">
        <v>0</v>
      </c>
      <c r="F208" s="188">
        <v>0</v>
      </c>
      <c r="G208" s="174">
        <f t="shared" si="10"/>
        <v>0</v>
      </c>
      <c r="H208" s="787"/>
      <c r="I208" s="673"/>
      <c r="J208" s="670"/>
      <c r="K208" s="673"/>
      <c r="L208" s="702"/>
      <c r="M208" s="676"/>
    </row>
    <row r="209" spans="1:13" s="221" customFormat="1" ht="15" customHeight="1">
      <c r="A209" s="661"/>
      <c r="B209" s="683"/>
      <c r="C209" s="181" t="s">
        <v>6</v>
      </c>
      <c r="D209" s="195">
        <v>0</v>
      </c>
      <c r="E209" s="188">
        <v>0</v>
      </c>
      <c r="F209" s="188">
        <v>0</v>
      </c>
      <c r="G209" s="174">
        <f t="shared" si="10"/>
        <v>0</v>
      </c>
      <c r="H209" s="787"/>
      <c r="I209" s="673"/>
      <c r="J209" s="670"/>
      <c r="K209" s="673"/>
      <c r="L209" s="702"/>
      <c r="M209" s="676"/>
    </row>
    <row r="210" spans="1:13" s="221" customFormat="1" ht="15" customHeight="1">
      <c r="A210" s="662"/>
      <c r="B210" s="684"/>
      <c r="C210" s="181" t="s">
        <v>7</v>
      </c>
      <c r="D210" s="195">
        <v>0</v>
      </c>
      <c r="E210" s="188">
        <v>0</v>
      </c>
      <c r="F210" s="188">
        <v>0</v>
      </c>
      <c r="G210" s="174">
        <f t="shared" si="10"/>
        <v>0</v>
      </c>
      <c r="H210" s="788"/>
      <c r="I210" s="674"/>
      <c r="J210" s="671"/>
      <c r="K210" s="674"/>
      <c r="L210" s="703"/>
      <c r="M210" s="677"/>
    </row>
    <row r="211" spans="1:13" ht="15" customHeight="1">
      <c r="A211" s="696" t="s">
        <v>127</v>
      </c>
      <c r="B211" s="695" t="s">
        <v>124</v>
      </c>
      <c r="C211" s="181" t="s">
        <v>3</v>
      </c>
      <c r="D211" s="196">
        <f>SUM(D212:D215)</f>
        <v>1124.569</v>
      </c>
      <c r="E211" s="197">
        <f>SUM(E212:E215)</f>
        <v>1124.568</v>
      </c>
      <c r="F211" s="197">
        <f>SUM(F212:F215)</f>
        <v>1124.568</v>
      </c>
      <c r="G211" s="174">
        <f t="shared" si="10"/>
        <v>0.99999911077043746</v>
      </c>
      <c r="H211" s="770" t="s">
        <v>176</v>
      </c>
      <c r="I211" s="704" t="s">
        <v>676</v>
      </c>
      <c r="J211" s="727" t="s">
        <v>177</v>
      </c>
      <c r="K211" s="709" t="s">
        <v>142</v>
      </c>
      <c r="L211" s="701"/>
      <c r="M211" s="675">
        <v>823</v>
      </c>
    </row>
    <row r="212" spans="1:13" ht="15" customHeight="1">
      <c r="A212" s="661"/>
      <c r="B212" s="683"/>
      <c r="C212" s="181" t="s">
        <v>4</v>
      </c>
      <c r="D212" s="198">
        <f>'912-ПП'!F713</f>
        <v>1124.569</v>
      </c>
      <c r="E212" s="197">
        <f>'[2]2024'!H97</f>
        <v>1124.568</v>
      </c>
      <c r="F212" s="197">
        <f>E212</f>
        <v>1124.568</v>
      </c>
      <c r="G212" s="174">
        <f t="shared" si="10"/>
        <v>0.99999911077043746</v>
      </c>
      <c r="H212" s="664"/>
      <c r="I212" s="667"/>
      <c r="J212" s="667"/>
      <c r="K212" s="673"/>
      <c r="L212" s="702"/>
      <c r="M212" s="676"/>
    </row>
    <row r="213" spans="1:13" ht="15" customHeight="1">
      <c r="A213" s="661"/>
      <c r="B213" s="683"/>
      <c r="C213" s="181" t="s">
        <v>5</v>
      </c>
      <c r="D213" s="199">
        <v>0</v>
      </c>
      <c r="E213" s="197">
        <v>0</v>
      </c>
      <c r="F213" s="197">
        <v>0</v>
      </c>
      <c r="G213" s="174">
        <f t="shared" si="10"/>
        <v>0</v>
      </c>
      <c r="H213" s="664"/>
      <c r="I213" s="667"/>
      <c r="J213" s="667"/>
      <c r="K213" s="673"/>
      <c r="L213" s="702"/>
      <c r="M213" s="676"/>
    </row>
    <row r="214" spans="1:13" ht="15" customHeight="1">
      <c r="A214" s="661"/>
      <c r="B214" s="683"/>
      <c r="C214" s="181" t="s">
        <v>6</v>
      </c>
      <c r="D214" s="200">
        <v>0</v>
      </c>
      <c r="E214" s="197">
        <v>0</v>
      </c>
      <c r="F214" s="197">
        <v>0</v>
      </c>
      <c r="G214" s="174">
        <f t="shared" si="10"/>
        <v>0</v>
      </c>
      <c r="H214" s="664"/>
      <c r="I214" s="667"/>
      <c r="J214" s="667"/>
      <c r="K214" s="673"/>
      <c r="L214" s="702"/>
      <c r="M214" s="676"/>
    </row>
    <row r="215" spans="1:13" ht="15" customHeight="1">
      <c r="A215" s="662"/>
      <c r="B215" s="684"/>
      <c r="C215" s="201" t="s">
        <v>7</v>
      </c>
      <c r="D215" s="200">
        <v>0</v>
      </c>
      <c r="E215" s="197">
        <v>0</v>
      </c>
      <c r="F215" s="197">
        <v>0</v>
      </c>
      <c r="G215" s="174">
        <f t="shared" si="10"/>
        <v>0</v>
      </c>
      <c r="H215" s="665"/>
      <c r="I215" s="668"/>
      <c r="J215" s="668"/>
      <c r="K215" s="674"/>
      <c r="L215" s="703"/>
      <c r="M215" s="677"/>
    </row>
    <row r="216" spans="1:13" s="10" customFormat="1" ht="15" customHeight="1">
      <c r="A216" s="880" t="s">
        <v>556</v>
      </c>
      <c r="B216" s="1282" t="s">
        <v>557</v>
      </c>
      <c r="C216" s="218" t="s">
        <v>3</v>
      </c>
      <c r="D216" s="85">
        <f>SUM(D217:D220)</f>
        <v>99088.647920000003</v>
      </c>
      <c r="E216" s="86">
        <f>SUM(E217:E220)</f>
        <v>98859.154930000004</v>
      </c>
      <c r="F216" s="86">
        <f>SUM(F217:F220)</f>
        <v>98859.154930000004</v>
      </c>
      <c r="G216" s="37">
        <f t="shared" si="10"/>
        <v>0.99768396284723471</v>
      </c>
      <c r="H216" s="1283" t="s">
        <v>81</v>
      </c>
      <c r="I216" s="18" t="s">
        <v>45</v>
      </c>
      <c r="J216" s="32">
        <f>SUM(J217:J219)</f>
        <v>1</v>
      </c>
      <c r="K216" s="762"/>
      <c r="L216" s="929"/>
      <c r="M216" s="1289"/>
    </row>
    <row r="217" spans="1:13" s="10" customFormat="1" ht="15" customHeight="1">
      <c r="A217" s="881"/>
      <c r="B217" s="925"/>
      <c r="C217" s="218" t="s">
        <v>4</v>
      </c>
      <c r="D217" s="85">
        <f>D222</f>
        <v>28898.647919999999</v>
      </c>
      <c r="E217" s="86">
        <f>E222</f>
        <v>28669.154930000001</v>
      </c>
      <c r="F217" s="86">
        <f t="shared" ref="F217:F223" si="13">E217</f>
        <v>28669.154930000001</v>
      </c>
      <c r="G217" s="37">
        <f t="shared" si="10"/>
        <v>0.9920586945577764</v>
      </c>
      <c r="H217" s="1283"/>
      <c r="I217" s="18" t="s">
        <v>46</v>
      </c>
      <c r="J217" s="32">
        <f>COUNTIF($J$221:$J$225,"Да")</f>
        <v>1</v>
      </c>
      <c r="K217" s="762"/>
      <c r="L217" s="762"/>
      <c r="M217" s="1289"/>
    </row>
    <row r="218" spans="1:13" s="10" customFormat="1" ht="15" customHeight="1">
      <c r="A218" s="881"/>
      <c r="B218" s="925"/>
      <c r="C218" s="218" t="s">
        <v>5</v>
      </c>
      <c r="D218" s="85">
        <f>D223</f>
        <v>70190</v>
      </c>
      <c r="E218" s="86">
        <f>E223</f>
        <v>70190</v>
      </c>
      <c r="F218" s="86">
        <f t="shared" si="13"/>
        <v>70190</v>
      </c>
      <c r="G218" s="37">
        <f t="shared" ref="G218:G290" si="14">IFERROR(F218/D218,0)</f>
        <v>1</v>
      </c>
      <c r="H218" s="1283"/>
      <c r="I218" s="18" t="s">
        <v>47</v>
      </c>
      <c r="J218" s="32">
        <v>0</v>
      </c>
      <c r="K218" s="762"/>
      <c r="L218" s="762"/>
      <c r="M218" s="1289"/>
    </row>
    <row r="219" spans="1:13" s="10" customFormat="1" ht="15" customHeight="1">
      <c r="A219" s="881"/>
      <c r="B219" s="925"/>
      <c r="C219" s="218" t="s">
        <v>6</v>
      </c>
      <c r="D219" s="85">
        <v>0</v>
      </c>
      <c r="E219" s="86">
        <f>E224</f>
        <v>0</v>
      </c>
      <c r="F219" s="86">
        <f t="shared" si="13"/>
        <v>0</v>
      </c>
      <c r="G219" s="37">
        <f t="shared" si="14"/>
        <v>0</v>
      </c>
      <c r="H219" s="1283"/>
      <c r="I219" s="18" t="s">
        <v>48</v>
      </c>
      <c r="J219" s="32">
        <f>COUNTIF($J$221:$J$225,"Нет")</f>
        <v>0</v>
      </c>
      <c r="K219" s="762"/>
      <c r="L219" s="762"/>
      <c r="M219" s="1289"/>
    </row>
    <row r="220" spans="1:13" s="10" customFormat="1" ht="15" customHeight="1">
      <c r="A220" s="882"/>
      <c r="B220" s="926"/>
      <c r="C220" s="218" t="s">
        <v>7</v>
      </c>
      <c r="D220" s="85">
        <v>0</v>
      </c>
      <c r="E220" s="86">
        <v>0</v>
      </c>
      <c r="F220" s="86">
        <f t="shared" si="13"/>
        <v>0</v>
      </c>
      <c r="G220" s="37">
        <f t="shared" si="14"/>
        <v>0</v>
      </c>
      <c r="H220" s="1283"/>
      <c r="I220" s="18" t="s">
        <v>49</v>
      </c>
      <c r="J220" s="20">
        <f>(J217+0.5*J218)/J216</f>
        <v>1</v>
      </c>
      <c r="K220" s="771"/>
      <c r="L220" s="771"/>
      <c r="M220" s="1289"/>
    </row>
    <row r="221" spans="1:13" ht="15">
      <c r="A221" s="1284" t="s">
        <v>558</v>
      </c>
      <c r="B221" s="789" t="s">
        <v>559</v>
      </c>
      <c r="C221" s="181" t="s">
        <v>3</v>
      </c>
      <c r="D221" s="1407">
        <f>SUM(D222:D225)</f>
        <v>99088.647920000003</v>
      </c>
      <c r="E221" s="1408">
        <f>SUM(E222:E225)</f>
        <v>98859.154930000004</v>
      </c>
      <c r="F221" s="197">
        <f t="shared" si="13"/>
        <v>98859.154930000004</v>
      </c>
      <c r="G221" s="174">
        <f t="shared" si="14"/>
        <v>0.99768396284723471</v>
      </c>
      <c r="H221" s="664" t="s">
        <v>560</v>
      </c>
      <c r="I221" s="666" t="s">
        <v>1035</v>
      </c>
      <c r="J221" s="699" t="s">
        <v>177</v>
      </c>
      <c r="K221" s="709" t="s">
        <v>140</v>
      </c>
      <c r="L221" s="701"/>
      <c r="M221" s="613"/>
    </row>
    <row r="222" spans="1:13" ht="15">
      <c r="A222" s="1284"/>
      <c r="B222" s="789"/>
      <c r="C222" s="181" t="s">
        <v>4</v>
      </c>
      <c r="D222" s="1407">
        <f>Документ!R79</f>
        <v>28898.647919999999</v>
      </c>
      <c r="E222" s="1408">
        <f>'2024'!H117</f>
        <v>28669.154930000001</v>
      </c>
      <c r="F222" s="197">
        <f t="shared" si="13"/>
        <v>28669.154930000001</v>
      </c>
      <c r="G222" s="174">
        <f t="shared" si="14"/>
        <v>0.9920586945577764</v>
      </c>
      <c r="H222" s="664"/>
      <c r="I222" s="667"/>
      <c r="J222" s="670"/>
      <c r="K222" s="673"/>
      <c r="L222" s="702"/>
      <c r="M222" s="613"/>
    </row>
    <row r="223" spans="1:13" ht="15">
      <c r="A223" s="1284"/>
      <c r="B223" s="789"/>
      <c r="C223" s="181" t="s">
        <v>5</v>
      </c>
      <c r="D223" s="1407">
        <f>'912-ПП'!G853</f>
        <v>70190</v>
      </c>
      <c r="E223" s="1408">
        <f>'2024'!H116</f>
        <v>70190</v>
      </c>
      <c r="F223" s="197">
        <f t="shared" si="13"/>
        <v>70190</v>
      </c>
      <c r="G223" s="174">
        <f t="shared" si="14"/>
        <v>1</v>
      </c>
      <c r="H223" s="664"/>
      <c r="I223" s="667"/>
      <c r="J223" s="670"/>
      <c r="K223" s="673"/>
      <c r="L223" s="702"/>
      <c r="M223" s="613"/>
    </row>
    <row r="224" spans="1:13" ht="15">
      <c r="A224" s="1284"/>
      <c r="B224" s="789"/>
      <c r="C224" s="181" t="s">
        <v>6</v>
      </c>
      <c r="D224" s="1407">
        <v>0</v>
      </c>
      <c r="E224" s="1408">
        <v>0</v>
      </c>
      <c r="F224" s="197">
        <v>0</v>
      </c>
      <c r="G224" s="174">
        <f t="shared" si="14"/>
        <v>0</v>
      </c>
      <c r="H224" s="664"/>
      <c r="I224" s="667"/>
      <c r="J224" s="670"/>
      <c r="K224" s="673"/>
      <c r="L224" s="702"/>
      <c r="M224" s="613"/>
    </row>
    <row r="225" spans="1:13" ht="15">
      <c r="A225" s="1284"/>
      <c r="B225" s="789"/>
      <c r="C225" s="201" t="s">
        <v>7</v>
      </c>
      <c r="D225" s="200">
        <v>0</v>
      </c>
      <c r="E225" s="197">
        <v>0</v>
      </c>
      <c r="F225" s="197">
        <v>0</v>
      </c>
      <c r="G225" s="174">
        <f t="shared" si="14"/>
        <v>0</v>
      </c>
      <c r="H225" s="665"/>
      <c r="I225" s="668"/>
      <c r="J225" s="671"/>
      <c r="K225" s="674"/>
      <c r="L225" s="703"/>
      <c r="M225" s="613"/>
    </row>
    <row r="226" spans="1:13" s="10" customFormat="1" ht="15" customHeight="1">
      <c r="A226" s="880" t="s">
        <v>138</v>
      </c>
      <c r="B226" s="844" t="s">
        <v>137</v>
      </c>
      <c r="C226" s="84" t="s">
        <v>3</v>
      </c>
      <c r="D226" s="85">
        <f>SUM(D227:D230)</f>
        <v>987968.1484699999</v>
      </c>
      <c r="E226" s="86">
        <f>SUM(E227:E230)</f>
        <v>972662.17833999987</v>
      </c>
      <c r="F226" s="86">
        <f>SUM(F227:F230)</f>
        <v>674367.42828999995</v>
      </c>
      <c r="G226" s="81">
        <f t="shared" si="14"/>
        <v>0.68258013108453708</v>
      </c>
      <c r="H226" s="883" t="s">
        <v>216</v>
      </c>
      <c r="I226" s="18" t="s">
        <v>45</v>
      </c>
      <c r="J226" s="32">
        <f>SUM(J227:J229)</f>
        <v>3</v>
      </c>
      <c r="K226" s="725" t="s">
        <v>136</v>
      </c>
      <c r="L226" s="725"/>
      <c r="M226" s="763">
        <v>807</v>
      </c>
    </row>
    <row r="227" spans="1:13" s="10" customFormat="1" ht="15" customHeight="1">
      <c r="A227" s="881"/>
      <c r="B227" s="845"/>
      <c r="C227" s="84" t="s">
        <v>4</v>
      </c>
      <c r="D227" s="85">
        <f>SUM(D232,D237,D242)</f>
        <v>433347.24846999999</v>
      </c>
      <c r="E227" s="86">
        <f t="shared" ref="D227:F230" si="15">SUM(E232,E237,E242)</f>
        <v>418041.27834000002</v>
      </c>
      <c r="F227" s="86">
        <f t="shared" si="15"/>
        <v>261007.30507</v>
      </c>
      <c r="G227" s="81">
        <f t="shared" si="14"/>
        <v>0.60230520902469553</v>
      </c>
      <c r="H227" s="884"/>
      <c r="I227" s="18" t="s">
        <v>46</v>
      </c>
      <c r="J227" s="32">
        <f>COUNTIF($J$231:$J$245,"Да")</f>
        <v>2</v>
      </c>
      <c r="K227" s="725"/>
      <c r="L227" s="725"/>
      <c r="M227" s="764"/>
    </row>
    <row r="228" spans="1:13" s="10" customFormat="1" ht="15" customHeight="1">
      <c r="A228" s="881"/>
      <c r="B228" s="845"/>
      <c r="C228" s="84" t="s">
        <v>5</v>
      </c>
      <c r="D228" s="87">
        <f t="shared" si="15"/>
        <v>554620.89999999991</v>
      </c>
      <c r="E228" s="86">
        <f t="shared" si="15"/>
        <v>554620.89999999991</v>
      </c>
      <c r="F228" s="86">
        <f t="shared" si="15"/>
        <v>413360.12321999995</v>
      </c>
      <c r="G228" s="81">
        <f t="shared" si="14"/>
        <v>0.7453021031482947</v>
      </c>
      <c r="H228" s="884"/>
      <c r="I228" s="18" t="s">
        <v>47</v>
      </c>
      <c r="J228" s="32">
        <f>COUNTIF($J$231:$J$245,"Частично")</f>
        <v>1</v>
      </c>
      <c r="K228" s="725"/>
      <c r="L228" s="725"/>
      <c r="M228" s="764"/>
    </row>
    <row r="229" spans="1:13" s="10" customFormat="1" ht="15" customHeight="1">
      <c r="A229" s="881"/>
      <c r="B229" s="845"/>
      <c r="C229" s="84" t="s">
        <v>6</v>
      </c>
      <c r="D229" s="85">
        <f t="shared" si="15"/>
        <v>0</v>
      </c>
      <c r="E229" s="86">
        <f t="shared" si="15"/>
        <v>0</v>
      </c>
      <c r="F229" s="86">
        <f t="shared" si="15"/>
        <v>0</v>
      </c>
      <c r="G229" s="81">
        <f t="shared" si="14"/>
        <v>0</v>
      </c>
      <c r="H229" s="884"/>
      <c r="I229" s="18" t="s">
        <v>48</v>
      </c>
      <c r="J229" s="32">
        <f>COUNTIF($J$231:$J$245,"Нет")</f>
        <v>0</v>
      </c>
      <c r="K229" s="725"/>
      <c r="L229" s="725"/>
      <c r="M229" s="764"/>
    </row>
    <row r="230" spans="1:13" s="10" customFormat="1" ht="15" customHeight="1">
      <c r="A230" s="882"/>
      <c r="B230" s="846"/>
      <c r="C230" s="88" t="s">
        <v>7</v>
      </c>
      <c r="D230" s="85">
        <f t="shared" si="15"/>
        <v>0</v>
      </c>
      <c r="E230" s="86">
        <f t="shared" si="15"/>
        <v>0</v>
      </c>
      <c r="F230" s="86">
        <f t="shared" si="15"/>
        <v>0</v>
      </c>
      <c r="G230" s="81">
        <f t="shared" si="14"/>
        <v>0</v>
      </c>
      <c r="H230" s="885"/>
      <c r="I230" s="18" t="s">
        <v>49</v>
      </c>
      <c r="J230" s="20">
        <f>(J227+0.5*J228)/J226</f>
        <v>0.83333333333333337</v>
      </c>
      <c r="K230" s="725"/>
      <c r="L230" s="725"/>
      <c r="M230" s="834"/>
    </row>
    <row r="231" spans="1:13" ht="15" customHeight="1">
      <c r="A231" s="696" t="s">
        <v>61</v>
      </c>
      <c r="B231" s="695" t="s">
        <v>82</v>
      </c>
      <c r="C231" s="181" t="s">
        <v>3</v>
      </c>
      <c r="D231" s="200">
        <f>SUM(D232:D235)</f>
        <v>635921.6484699999</v>
      </c>
      <c r="E231" s="197">
        <f>SUM(E232:E235)</f>
        <v>620615.67833999998</v>
      </c>
      <c r="F231" s="197">
        <f>SUM(F232:F235)</f>
        <v>322320.92829000001</v>
      </c>
      <c r="G231" s="206">
        <f t="shared" si="14"/>
        <v>0.50685635418371155</v>
      </c>
      <c r="H231" s="697" t="s">
        <v>133</v>
      </c>
      <c r="I231" s="1285" t="s">
        <v>1050</v>
      </c>
      <c r="J231" s="699" t="s">
        <v>178</v>
      </c>
      <c r="K231" s="700" t="s">
        <v>135</v>
      </c>
      <c r="L231" s="701" t="s">
        <v>1051</v>
      </c>
      <c r="M231" s="675">
        <v>807</v>
      </c>
    </row>
    <row r="232" spans="1:13" ht="15" customHeight="1">
      <c r="A232" s="661"/>
      <c r="B232" s="683"/>
      <c r="C232" s="181" t="s">
        <v>4</v>
      </c>
      <c r="D232" s="200">
        <f>'912-ПП'!F867</f>
        <v>265813.04846999998</v>
      </c>
      <c r="E232" s="197">
        <f>МИНСТРОЙ!E237</f>
        <v>250507.07834000001</v>
      </c>
      <c r="F232" s="197">
        <f>МИНСТРОЙ!F237</f>
        <v>93473.105070000005</v>
      </c>
      <c r="G232" s="206">
        <f t="shared" si="14"/>
        <v>0.35164979901484972</v>
      </c>
      <c r="H232" s="697"/>
      <c r="I232" s="1285"/>
      <c r="J232" s="670"/>
      <c r="K232" s="700"/>
      <c r="L232" s="702"/>
      <c r="M232" s="676"/>
    </row>
    <row r="233" spans="1:13" ht="15" customHeight="1">
      <c r="A233" s="661"/>
      <c r="B233" s="683"/>
      <c r="C233" s="181" t="s">
        <v>5</v>
      </c>
      <c r="D233" s="200">
        <f>'912-ПП'!G867</f>
        <v>370108.6</v>
      </c>
      <c r="E233" s="197">
        <f>МИНСТРОЙ!E238</f>
        <v>370108.6</v>
      </c>
      <c r="F233" s="197">
        <f>МИНСТРОЙ!F238</f>
        <v>228847.82321999999</v>
      </c>
      <c r="G233" s="206">
        <f t="shared" si="14"/>
        <v>0.61832614324552304</v>
      </c>
      <c r="H233" s="697"/>
      <c r="I233" s="1285"/>
      <c r="J233" s="670"/>
      <c r="K233" s="700"/>
      <c r="L233" s="702"/>
      <c r="M233" s="676"/>
    </row>
    <row r="234" spans="1:13" ht="15" customHeight="1">
      <c r="A234" s="661"/>
      <c r="B234" s="683"/>
      <c r="C234" s="181" t="s">
        <v>6</v>
      </c>
      <c r="D234" s="200">
        <v>0</v>
      </c>
      <c r="E234" s="197">
        <f>МИНСТРОЙ!E239</f>
        <v>0</v>
      </c>
      <c r="F234" s="197">
        <f>МИНСТРОЙ!F239</f>
        <v>0</v>
      </c>
      <c r="G234" s="206">
        <f t="shared" si="14"/>
        <v>0</v>
      </c>
      <c r="H234" s="697"/>
      <c r="I234" s="1285"/>
      <c r="J234" s="670"/>
      <c r="K234" s="700"/>
      <c r="L234" s="702"/>
      <c r="M234" s="676"/>
    </row>
    <row r="235" spans="1:13" ht="29.25" customHeight="1">
      <c r="A235" s="662"/>
      <c r="B235" s="684"/>
      <c r="C235" s="201" t="s">
        <v>7</v>
      </c>
      <c r="D235" s="200">
        <v>0</v>
      </c>
      <c r="E235" s="197">
        <f>МИНСТРОЙ!E240</f>
        <v>0</v>
      </c>
      <c r="F235" s="197">
        <f>МИНСТРОЙ!F240</f>
        <v>0</v>
      </c>
      <c r="G235" s="206">
        <f t="shared" si="14"/>
        <v>0</v>
      </c>
      <c r="H235" s="697"/>
      <c r="I235" s="1285"/>
      <c r="J235" s="671"/>
      <c r="K235" s="700"/>
      <c r="L235" s="703"/>
      <c r="M235" s="677"/>
    </row>
    <row r="236" spans="1:13" ht="30" customHeight="1">
      <c r="A236" s="696" t="s">
        <v>62</v>
      </c>
      <c r="B236" s="695" t="s">
        <v>563</v>
      </c>
      <c r="C236" s="181" t="s">
        <v>3</v>
      </c>
      <c r="D236" s="200">
        <f>SUM(D237:D240)</f>
        <v>92170</v>
      </c>
      <c r="E236" s="197">
        <f>SUM(E237:E240)</f>
        <v>92170</v>
      </c>
      <c r="F236" s="197">
        <f>SUM(F237:F240)</f>
        <v>92170</v>
      </c>
      <c r="G236" s="206">
        <f t="shared" si="14"/>
        <v>1</v>
      </c>
      <c r="H236" s="697" t="s">
        <v>133</v>
      </c>
      <c r="I236" s="1285" t="s">
        <v>681</v>
      </c>
      <c r="J236" s="699" t="s">
        <v>177</v>
      </c>
      <c r="K236" s="700" t="s">
        <v>134</v>
      </c>
      <c r="L236" s="701"/>
      <c r="M236" s="675">
        <v>807</v>
      </c>
    </row>
    <row r="237" spans="1:13" ht="24.75" customHeight="1">
      <c r="A237" s="661"/>
      <c r="B237" s="683"/>
      <c r="C237" s="181" t="s">
        <v>4</v>
      </c>
      <c r="D237" s="200">
        <f>'912-ПП'!F874</f>
        <v>92170</v>
      </c>
      <c r="E237" s="197">
        <f>92170000/1000</f>
        <v>92170</v>
      </c>
      <c r="F237" s="197">
        <f>92170000/1000</f>
        <v>92170</v>
      </c>
      <c r="G237" s="206">
        <f t="shared" si="14"/>
        <v>1</v>
      </c>
      <c r="H237" s="697"/>
      <c r="I237" s="1285"/>
      <c r="J237" s="670"/>
      <c r="K237" s="700"/>
      <c r="L237" s="702"/>
      <c r="M237" s="676"/>
    </row>
    <row r="238" spans="1:13" ht="27" customHeight="1">
      <c r="A238" s="661"/>
      <c r="B238" s="683"/>
      <c r="C238" s="181" t="s">
        <v>5</v>
      </c>
      <c r="D238" s="200">
        <v>0</v>
      </c>
      <c r="E238" s="197">
        <v>0</v>
      </c>
      <c r="F238" s="197">
        <v>0</v>
      </c>
      <c r="G238" s="206">
        <f t="shared" si="14"/>
        <v>0</v>
      </c>
      <c r="H238" s="697"/>
      <c r="I238" s="1285"/>
      <c r="J238" s="670"/>
      <c r="K238" s="700"/>
      <c r="L238" s="702"/>
      <c r="M238" s="676"/>
    </row>
    <row r="239" spans="1:13" ht="29.25" customHeight="1">
      <c r="A239" s="661"/>
      <c r="B239" s="683"/>
      <c r="C239" s="181" t="s">
        <v>6</v>
      </c>
      <c r="D239" s="200">
        <v>0</v>
      </c>
      <c r="E239" s="197">
        <v>0</v>
      </c>
      <c r="F239" s="197">
        <v>0</v>
      </c>
      <c r="G239" s="206">
        <f t="shared" si="14"/>
        <v>0</v>
      </c>
      <c r="H239" s="697"/>
      <c r="I239" s="1285"/>
      <c r="J239" s="670"/>
      <c r="K239" s="700"/>
      <c r="L239" s="702"/>
      <c r="M239" s="676"/>
    </row>
    <row r="240" spans="1:13" ht="24" customHeight="1">
      <c r="A240" s="662"/>
      <c r="B240" s="684"/>
      <c r="C240" s="201" t="s">
        <v>7</v>
      </c>
      <c r="D240" s="200">
        <v>0</v>
      </c>
      <c r="E240" s="197">
        <v>0</v>
      </c>
      <c r="F240" s="197">
        <v>0</v>
      </c>
      <c r="G240" s="206">
        <f t="shared" si="14"/>
        <v>0</v>
      </c>
      <c r="H240" s="697"/>
      <c r="I240" s="1285"/>
      <c r="J240" s="671"/>
      <c r="K240" s="700"/>
      <c r="L240" s="703"/>
      <c r="M240" s="677"/>
    </row>
    <row r="241" spans="1:13" ht="34.5" customHeight="1">
      <c r="A241" s="696" t="s">
        <v>56</v>
      </c>
      <c r="B241" s="695" t="s">
        <v>566</v>
      </c>
      <c r="C241" s="181" t="s">
        <v>3</v>
      </c>
      <c r="D241" s="200">
        <f>SUM(D242:D245)</f>
        <v>259876.5</v>
      </c>
      <c r="E241" s="197">
        <f>SUM(E242:E245)</f>
        <v>259876.5</v>
      </c>
      <c r="F241" s="197">
        <f>SUM(F242:F245)</f>
        <v>259876.5</v>
      </c>
      <c r="G241" s="206">
        <f t="shared" si="14"/>
        <v>1</v>
      </c>
      <c r="H241" s="697" t="s">
        <v>133</v>
      </c>
      <c r="I241" s="704" t="s">
        <v>1052</v>
      </c>
      <c r="J241" s="699" t="s">
        <v>177</v>
      </c>
      <c r="K241" s="709" t="s">
        <v>132</v>
      </c>
      <c r="L241" s="701"/>
      <c r="M241" s="675">
        <v>807</v>
      </c>
    </row>
    <row r="242" spans="1:13" ht="34.5" customHeight="1">
      <c r="A242" s="661"/>
      <c r="B242" s="683"/>
      <c r="C242" s="181" t="s">
        <v>4</v>
      </c>
      <c r="D242" s="200">
        <f>'912-ПП'!F881</f>
        <v>75364.2</v>
      </c>
      <c r="E242" s="197">
        <f>МИНСТРОЙ!E247</f>
        <v>75364.2</v>
      </c>
      <c r="F242" s="197">
        <f>МИНСТРОЙ!F247</f>
        <v>75364.2</v>
      </c>
      <c r="G242" s="206">
        <f t="shared" si="14"/>
        <v>1</v>
      </c>
      <c r="H242" s="697"/>
      <c r="I242" s="667"/>
      <c r="J242" s="670"/>
      <c r="K242" s="673"/>
      <c r="L242" s="702"/>
      <c r="M242" s="676"/>
    </row>
    <row r="243" spans="1:13" ht="31.5" customHeight="1">
      <c r="A243" s="661"/>
      <c r="B243" s="683"/>
      <c r="C243" s="181" t="s">
        <v>5</v>
      </c>
      <c r="D243" s="200">
        <f>'912-ПП'!G881</f>
        <v>184512.3</v>
      </c>
      <c r="E243" s="197">
        <f>МИНСТРОЙ!E248</f>
        <v>184512.3</v>
      </c>
      <c r="F243" s="197">
        <f>МИНСТРОЙ!F248</f>
        <v>184512.3</v>
      </c>
      <c r="G243" s="206">
        <f t="shared" si="14"/>
        <v>1</v>
      </c>
      <c r="H243" s="697"/>
      <c r="I243" s="667"/>
      <c r="J243" s="670"/>
      <c r="K243" s="673"/>
      <c r="L243" s="702"/>
      <c r="M243" s="676"/>
    </row>
    <row r="244" spans="1:13" ht="25.5" customHeight="1">
      <c r="A244" s="661"/>
      <c r="B244" s="683"/>
      <c r="C244" s="181" t="s">
        <v>6</v>
      </c>
      <c r="D244" s="200">
        <v>0</v>
      </c>
      <c r="E244" s="197">
        <f>МИНСТРОЙ!E249</f>
        <v>0</v>
      </c>
      <c r="F244" s="197">
        <f>МИНСТРОЙ!F249</f>
        <v>0</v>
      </c>
      <c r="G244" s="206">
        <f t="shared" si="14"/>
        <v>0</v>
      </c>
      <c r="H244" s="697"/>
      <c r="I244" s="667"/>
      <c r="J244" s="670"/>
      <c r="K244" s="673"/>
      <c r="L244" s="702"/>
      <c r="M244" s="676"/>
    </row>
    <row r="245" spans="1:13" ht="23.25" customHeight="1">
      <c r="A245" s="662"/>
      <c r="B245" s="684"/>
      <c r="C245" s="201" t="s">
        <v>7</v>
      </c>
      <c r="D245" s="200">
        <v>0</v>
      </c>
      <c r="E245" s="197">
        <f>МИНСТРОЙ!E250</f>
        <v>0</v>
      </c>
      <c r="F245" s="197">
        <f>МИНСТРОЙ!F250</f>
        <v>0</v>
      </c>
      <c r="G245" s="206">
        <f t="shared" si="14"/>
        <v>0</v>
      </c>
      <c r="H245" s="697"/>
      <c r="I245" s="668"/>
      <c r="J245" s="671"/>
      <c r="K245" s="674"/>
      <c r="L245" s="703"/>
      <c r="M245" s="677"/>
    </row>
    <row r="246" spans="1:13" s="10" customFormat="1" ht="23.25" customHeight="1">
      <c r="A246" s="1286" t="s">
        <v>567</v>
      </c>
      <c r="B246" s="1287" t="s">
        <v>568</v>
      </c>
      <c r="C246" s="39" t="s">
        <v>3</v>
      </c>
      <c r="D246" s="85">
        <f>SUM(D247:D250)</f>
        <v>80355</v>
      </c>
      <c r="E246" s="86">
        <f>SUM(E247:E250)</f>
        <v>80354.95</v>
      </c>
      <c r="F246" s="86">
        <f>SUM(F247:F250)</f>
        <v>80354.95</v>
      </c>
      <c r="G246" s="81">
        <f t="shared" si="14"/>
        <v>0.99999937776118475</v>
      </c>
      <c r="H246" s="1288" t="s">
        <v>614</v>
      </c>
      <c r="I246" s="18" t="s">
        <v>45</v>
      </c>
      <c r="J246" s="32">
        <f>SUM(J247:J249)</f>
        <v>2</v>
      </c>
      <c r="K246" s="725"/>
      <c r="L246" s="725"/>
      <c r="M246" s="679">
        <v>807</v>
      </c>
    </row>
    <row r="247" spans="1:13" s="10" customFormat="1" ht="23.25" customHeight="1">
      <c r="A247" s="1286"/>
      <c r="B247" s="1287"/>
      <c r="C247" s="39" t="s">
        <v>4</v>
      </c>
      <c r="D247" s="85">
        <f>SUM(D252,D257,)</f>
        <v>79551.453999999998</v>
      </c>
      <c r="E247" s="86">
        <f>SUM(E252,E257,)</f>
        <v>79551.45</v>
      </c>
      <c r="F247" s="86">
        <f>SUM(F252,F257,)</f>
        <v>79551.45</v>
      </c>
      <c r="G247" s="81">
        <f t="shared" si="14"/>
        <v>0.99999994971807804</v>
      </c>
      <c r="H247" s="689"/>
      <c r="I247" s="18" t="s">
        <v>46</v>
      </c>
      <c r="J247" s="32">
        <f>COUNTIF($J$251:$J$260,"Да")</f>
        <v>2</v>
      </c>
      <c r="K247" s="725"/>
      <c r="L247" s="725"/>
      <c r="M247" s="680"/>
    </row>
    <row r="248" spans="1:13" s="10" customFormat="1" ht="23.25" customHeight="1">
      <c r="A248" s="1286"/>
      <c r="B248" s="1287"/>
      <c r="C248" s="39" t="s">
        <v>5</v>
      </c>
      <c r="D248" s="85">
        <f>SUM(D253,D258,)</f>
        <v>0</v>
      </c>
      <c r="E248" s="86">
        <f>SUM(E253,E258,)</f>
        <v>0</v>
      </c>
      <c r="F248" s="86">
        <f>SUM(F253,F258,F263)</f>
        <v>0</v>
      </c>
      <c r="G248" s="81">
        <f t="shared" si="14"/>
        <v>0</v>
      </c>
      <c r="H248" s="689"/>
      <c r="I248" s="18" t="s">
        <v>47</v>
      </c>
      <c r="J248" s="32">
        <v>0</v>
      </c>
      <c r="K248" s="725"/>
      <c r="L248" s="725"/>
      <c r="M248" s="680"/>
    </row>
    <row r="249" spans="1:13" s="10" customFormat="1" ht="23.25" customHeight="1">
      <c r="A249" s="1286"/>
      <c r="B249" s="1287"/>
      <c r="C249" s="39" t="s">
        <v>6</v>
      </c>
      <c r="D249" s="85">
        <f>SUM(D254,D259,)</f>
        <v>803.54600000000005</v>
      </c>
      <c r="E249" s="86">
        <v>803.5</v>
      </c>
      <c r="F249" s="86">
        <v>803.5</v>
      </c>
      <c r="G249" s="81">
        <f t="shared" si="14"/>
        <v>0.99994275374402952</v>
      </c>
      <c r="H249" s="689"/>
      <c r="I249" s="18" t="s">
        <v>48</v>
      </c>
      <c r="J249" s="32">
        <f>COUNTIF($J$251:$J$260,"Нет")</f>
        <v>0</v>
      </c>
      <c r="K249" s="725"/>
      <c r="L249" s="725"/>
      <c r="M249" s="680"/>
    </row>
    <row r="250" spans="1:13" s="10" customFormat="1" ht="23.25" customHeight="1">
      <c r="A250" s="1286"/>
      <c r="B250" s="1287"/>
      <c r="C250" s="58" t="s">
        <v>7</v>
      </c>
      <c r="D250" s="85">
        <f>SUM(D255,D260,D265)</f>
        <v>0</v>
      </c>
      <c r="E250" s="86">
        <f>SUM(E255,E260,E265)</f>
        <v>0</v>
      </c>
      <c r="F250" s="86">
        <f>SUM(F255,F260,F265)</f>
        <v>0</v>
      </c>
      <c r="G250" s="81">
        <f t="shared" si="14"/>
        <v>0</v>
      </c>
      <c r="H250" s="690"/>
      <c r="I250" s="18" t="s">
        <v>49</v>
      </c>
      <c r="J250" s="20">
        <f>(J247+0.5*J248)/J246</f>
        <v>1</v>
      </c>
      <c r="K250" s="725"/>
      <c r="L250" s="725"/>
      <c r="M250" s="681"/>
    </row>
    <row r="251" spans="1:13" ht="23.25" customHeight="1">
      <c r="A251" s="696" t="s">
        <v>571</v>
      </c>
      <c r="B251" s="695" t="s">
        <v>572</v>
      </c>
      <c r="C251" s="181" t="s">
        <v>3</v>
      </c>
      <c r="D251" s="200">
        <f>SUM(D252:D255)</f>
        <v>59324.6</v>
      </c>
      <c r="E251" s="197">
        <f>SUM(E252:E255)</f>
        <v>59324.553999999996</v>
      </c>
      <c r="F251" s="197">
        <f>SUM(F252:F255)</f>
        <v>59324.553999999996</v>
      </c>
      <c r="G251" s="206">
        <f t="shared" si="14"/>
        <v>0.99999922460496993</v>
      </c>
      <c r="H251" s="770" t="s">
        <v>573</v>
      </c>
      <c r="I251" s="704" t="s">
        <v>682</v>
      </c>
      <c r="J251" s="699" t="s">
        <v>177</v>
      </c>
      <c r="K251" s="709" t="s">
        <v>650</v>
      </c>
      <c r="L251" s="709"/>
      <c r="M251" s="675">
        <v>807</v>
      </c>
    </row>
    <row r="252" spans="1:13" ht="23.25" customHeight="1">
      <c r="A252" s="661"/>
      <c r="B252" s="683"/>
      <c r="C252" s="181" t="s">
        <v>4</v>
      </c>
      <c r="D252" s="200">
        <f>'[2]334-ПП'!F879</f>
        <v>58731.353999999999</v>
      </c>
      <c r="E252" s="197">
        <f>58731354/1000</f>
        <v>58731.353999999999</v>
      </c>
      <c r="F252" s="197">
        <f>58731354/1000</f>
        <v>58731.353999999999</v>
      </c>
      <c r="G252" s="206">
        <f t="shared" si="14"/>
        <v>1</v>
      </c>
      <c r="H252" s="664"/>
      <c r="I252" s="667"/>
      <c r="J252" s="670"/>
      <c r="K252" s="673"/>
      <c r="L252" s="673"/>
      <c r="M252" s="676"/>
    </row>
    <row r="253" spans="1:13" ht="23.25" customHeight="1">
      <c r="A253" s="661"/>
      <c r="B253" s="683"/>
      <c r="C253" s="181" t="s">
        <v>5</v>
      </c>
      <c r="D253" s="200">
        <v>0</v>
      </c>
      <c r="E253" s="197">
        <v>0</v>
      </c>
      <c r="F253" s="197">
        <v>0</v>
      </c>
      <c r="G253" s="206">
        <f t="shared" si="14"/>
        <v>0</v>
      </c>
      <c r="H253" s="664"/>
      <c r="I253" s="667"/>
      <c r="J253" s="670"/>
      <c r="K253" s="673"/>
      <c r="L253" s="673"/>
      <c r="M253" s="676"/>
    </row>
    <row r="254" spans="1:13" ht="23.25" customHeight="1">
      <c r="A254" s="661"/>
      <c r="B254" s="683"/>
      <c r="C254" s="181" t="s">
        <v>6</v>
      </c>
      <c r="D254" s="200">
        <f>'[2]334-ПП'!H879</f>
        <v>593.24599999999998</v>
      </c>
      <c r="E254" s="197">
        <v>593.20000000000005</v>
      </c>
      <c r="F254" s="197">
        <v>593.20000000000005</v>
      </c>
      <c r="G254" s="206">
        <f t="shared" si="14"/>
        <v>0.99992246049699463</v>
      </c>
      <c r="H254" s="664"/>
      <c r="I254" s="667"/>
      <c r="J254" s="670"/>
      <c r="K254" s="673"/>
      <c r="L254" s="673"/>
      <c r="M254" s="676"/>
    </row>
    <row r="255" spans="1:13" ht="23.25" customHeight="1">
      <c r="A255" s="662"/>
      <c r="B255" s="684"/>
      <c r="C255" s="201" t="s">
        <v>7</v>
      </c>
      <c r="D255" s="200">
        <v>0</v>
      </c>
      <c r="E255" s="197">
        <v>0</v>
      </c>
      <c r="F255" s="197">
        <v>0</v>
      </c>
      <c r="G255" s="206">
        <f t="shared" si="14"/>
        <v>0</v>
      </c>
      <c r="H255" s="665"/>
      <c r="I255" s="668"/>
      <c r="J255" s="671"/>
      <c r="K255" s="674"/>
      <c r="L255" s="674"/>
      <c r="M255" s="677"/>
    </row>
    <row r="256" spans="1:13" ht="23.25" customHeight="1">
      <c r="A256" s="1284" t="s">
        <v>575</v>
      </c>
      <c r="B256" s="789" t="s">
        <v>576</v>
      </c>
      <c r="C256" s="181" t="s">
        <v>3</v>
      </c>
      <c r="D256" s="200">
        <f>SUM(D257:D260)</f>
        <v>21030.399999999998</v>
      </c>
      <c r="E256" s="197">
        <f>SUM(E257:E260)</f>
        <v>21030.396000000001</v>
      </c>
      <c r="F256" s="197">
        <f>SUM(F257:F260)</f>
        <v>21030.396000000001</v>
      </c>
      <c r="G256" s="206">
        <f t="shared" si="14"/>
        <v>0.99999980979914804</v>
      </c>
      <c r="H256" s="770" t="s">
        <v>573</v>
      </c>
      <c r="I256" s="704" t="s">
        <v>683</v>
      </c>
      <c r="J256" s="699" t="s">
        <v>177</v>
      </c>
      <c r="K256" s="709" t="s">
        <v>650</v>
      </c>
      <c r="L256" s="709"/>
      <c r="M256" s="675">
        <v>807</v>
      </c>
    </row>
    <row r="257" spans="1:13" ht="23.25" customHeight="1">
      <c r="A257" s="1284"/>
      <c r="B257" s="789"/>
      <c r="C257" s="181" t="s">
        <v>4</v>
      </c>
      <c r="D257" s="200">
        <f>'[2]334-ПП'!F886</f>
        <v>20820.099999999999</v>
      </c>
      <c r="E257" s="197">
        <f>20820096/1000</f>
        <v>20820.096000000001</v>
      </c>
      <c r="F257" s="197">
        <f>E257</f>
        <v>20820.096000000001</v>
      </c>
      <c r="G257" s="206">
        <f t="shared" si="14"/>
        <v>0.99999980787796416</v>
      </c>
      <c r="H257" s="664"/>
      <c r="I257" s="667"/>
      <c r="J257" s="670"/>
      <c r="K257" s="673"/>
      <c r="L257" s="673"/>
      <c r="M257" s="676"/>
    </row>
    <row r="258" spans="1:13" ht="23.25" customHeight="1">
      <c r="A258" s="1284"/>
      <c r="B258" s="789"/>
      <c r="C258" s="181" t="s">
        <v>5</v>
      </c>
      <c r="D258" s="200">
        <v>0</v>
      </c>
      <c r="E258" s="197">
        <v>0</v>
      </c>
      <c r="F258" s="197">
        <f>E258</f>
        <v>0</v>
      </c>
      <c r="G258" s="206">
        <f t="shared" si="14"/>
        <v>0</v>
      </c>
      <c r="H258" s="664"/>
      <c r="I258" s="667"/>
      <c r="J258" s="670"/>
      <c r="K258" s="673"/>
      <c r="L258" s="673"/>
      <c r="M258" s="676"/>
    </row>
    <row r="259" spans="1:13" ht="23.25" customHeight="1">
      <c r="A259" s="1284"/>
      <c r="B259" s="789"/>
      <c r="C259" s="181" t="s">
        <v>6</v>
      </c>
      <c r="D259" s="200">
        <f>'[2]334-ПП'!H886</f>
        <v>210.3</v>
      </c>
      <c r="E259" s="197">
        <f>210.3</f>
        <v>210.3</v>
      </c>
      <c r="F259" s="197">
        <f>E259</f>
        <v>210.3</v>
      </c>
      <c r="G259" s="206">
        <f t="shared" si="14"/>
        <v>1</v>
      </c>
      <c r="H259" s="664"/>
      <c r="I259" s="667"/>
      <c r="J259" s="670"/>
      <c r="K259" s="673"/>
      <c r="L259" s="673"/>
      <c r="M259" s="676"/>
    </row>
    <row r="260" spans="1:13" ht="23.25" customHeight="1">
      <c r="A260" s="1284"/>
      <c r="B260" s="789"/>
      <c r="C260" s="201" t="s">
        <v>7</v>
      </c>
      <c r="D260" s="200">
        <v>0</v>
      </c>
      <c r="E260" s="197">
        <v>0</v>
      </c>
      <c r="F260" s="197">
        <v>0</v>
      </c>
      <c r="G260" s="206">
        <f t="shared" si="14"/>
        <v>0</v>
      </c>
      <c r="H260" s="665"/>
      <c r="I260" s="668"/>
      <c r="J260" s="671"/>
      <c r="K260" s="674"/>
      <c r="L260" s="674"/>
      <c r="M260" s="677"/>
    </row>
    <row r="261" spans="1:13" s="10" customFormat="1">
      <c r="A261" s="728" t="s">
        <v>100</v>
      </c>
      <c r="B261" s="877" t="s">
        <v>55</v>
      </c>
      <c r="C261" s="39" t="s">
        <v>3</v>
      </c>
      <c r="D261" s="40">
        <f>SUM(D262:D265)</f>
        <v>218560.5</v>
      </c>
      <c r="E261" s="40">
        <f>SUM(E262:E265)</f>
        <v>218560.5</v>
      </c>
      <c r="F261" s="40">
        <f>SUM(F262:F265)</f>
        <v>132027.49418000001</v>
      </c>
      <c r="G261" s="81">
        <f t="shared" si="14"/>
        <v>0.60407756287160763</v>
      </c>
      <c r="H261" s="734" t="s">
        <v>81</v>
      </c>
      <c r="I261" s="18" t="s">
        <v>45</v>
      </c>
      <c r="J261" s="82">
        <f>SUM(J262:J264)</f>
        <v>2</v>
      </c>
      <c r="K261" s="761" t="s">
        <v>70</v>
      </c>
      <c r="L261" s="761"/>
      <c r="M261" s="763" t="s">
        <v>35</v>
      </c>
    </row>
    <row r="262" spans="1:13" s="10" customFormat="1">
      <c r="A262" s="729"/>
      <c r="B262" s="878"/>
      <c r="C262" s="39" t="s">
        <v>4</v>
      </c>
      <c r="D262" s="56">
        <f t="shared" ref="D262:F263" si="16">SUM(D267,D272)</f>
        <v>207848.1</v>
      </c>
      <c r="E262" s="56">
        <f t="shared" si="16"/>
        <v>207848.1</v>
      </c>
      <c r="F262" s="56">
        <f t="shared" si="16"/>
        <v>121315.09418</v>
      </c>
      <c r="G262" s="81">
        <f t="shared" si="14"/>
        <v>0.58367189394562657</v>
      </c>
      <c r="H262" s="735"/>
      <c r="I262" s="18" t="s">
        <v>46</v>
      </c>
      <c r="J262" s="80">
        <f>COUNTIF($J$266:$J$275,"Да")</f>
        <v>1</v>
      </c>
      <c r="K262" s="762"/>
      <c r="L262" s="762"/>
      <c r="M262" s="764"/>
    </row>
    <row r="263" spans="1:13" s="10" customFormat="1">
      <c r="A263" s="729"/>
      <c r="B263" s="878"/>
      <c r="C263" s="39" t="s">
        <v>5</v>
      </c>
      <c r="D263" s="56">
        <f t="shared" si="16"/>
        <v>0</v>
      </c>
      <c r="E263" s="57">
        <f t="shared" si="16"/>
        <v>0</v>
      </c>
      <c r="F263" s="57">
        <f t="shared" si="16"/>
        <v>0</v>
      </c>
      <c r="G263" s="81">
        <f t="shared" si="14"/>
        <v>0</v>
      </c>
      <c r="H263" s="735"/>
      <c r="I263" s="18" t="s">
        <v>47</v>
      </c>
      <c r="J263" s="80">
        <f>COUNTIF($J$266:$J$275,"Частично")</f>
        <v>1</v>
      </c>
      <c r="K263" s="762"/>
      <c r="L263" s="762"/>
      <c r="M263" s="764"/>
    </row>
    <row r="264" spans="1:13" s="10" customFormat="1">
      <c r="A264" s="729"/>
      <c r="B264" s="878"/>
      <c r="C264" s="39" t="s">
        <v>6</v>
      </c>
      <c r="D264" s="56">
        <f>SUM(D274,D269)</f>
        <v>10712.4</v>
      </c>
      <c r="E264" s="56">
        <f>SUM(E269,E274)</f>
        <v>10712.4</v>
      </c>
      <c r="F264" s="56">
        <f>SUM(F274,F269)</f>
        <v>10712.4</v>
      </c>
      <c r="G264" s="81">
        <f t="shared" si="14"/>
        <v>1</v>
      </c>
      <c r="H264" s="735"/>
      <c r="I264" s="18" t="s">
        <v>48</v>
      </c>
      <c r="J264" s="80">
        <f>COUNTIF($J$266:$J$275,"Нет")</f>
        <v>0</v>
      </c>
      <c r="K264" s="762"/>
      <c r="L264" s="762"/>
      <c r="M264" s="764"/>
    </row>
    <row r="265" spans="1:13" s="10" customFormat="1">
      <c r="A265" s="730"/>
      <c r="B265" s="879"/>
      <c r="C265" s="58" t="s">
        <v>7</v>
      </c>
      <c r="D265" s="56">
        <v>0</v>
      </c>
      <c r="E265" s="56">
        <f>SUM(E270,E275)</f>
        <v>0</v>
      </c>
      <c r="F265" s="56">
        <f>SUM(F270,F275)</f>
        <v>0</v>
      </c>
      <c r="G265" s="81">
        <f t="shared" si="14"/>
        <v>0</v>
      </c>
      <c r="H265" s="736"/>
      <c r="I265" s="18" t="s">
        <v>49</v>
      </c>
      <c r="J265" s="62">
        <f>(J262+0.5*J263)/J261</f>
        <v>0.75</v>
      </c>
      <c r="K265" s="762"/>
      <c r="L265" s="771"/>
      <c r="M265" s="834"/>
    </row>
    <row r="266" spans="1:13" ht="15" customHeight="1">
      <c r="A266" s="710" t="s">
        <v>101</v>
      </c>
      <c r="B266" s="740" t="s">
        <v>44</v>
      </c>
      <c r="C266" s="175" t="s">
        <v>3</v>
      </c>
      <c r="D266" s="208">
        <f>SUM(D267:D270)</f>
        <v>4312.5</v>
      </c>
      <c r="E266" s="180">
        <f>SUM(E267:E270)</f>
        <v>4312.5</v>
      </c>
      <c r="F266" s="180">
        <f>SUM(F267:F270)</f>
        <v>4312.5</v>
      </c>
      <c r="G266" s="206">
        <f t="shared" si="14"/>
        <v>1</v>
      </c>
      <c r="H266" s="816" t="s">
        <v>615</v>
      </c>
      <c r="I266" s="709" t="s">
        <v>679</v>
      </c>
      <c r="J266" s="699" t="s">
        <v>177</v>
      </c>
      <c r="K266" s="709" t="s">
        <v>65</v>
      </c>
      <c r="L266" s="701"/>
      <c r="M266" s="675">
        <v>823</v>
      </c>
    </row>
    <row r="267" spans="1:13" ht="15" customHeight="1">
      <c r="A267" s="711"/>
      <c r="B267" s="741"/>
      <c r="C267" s="175" t="s">
        <v>4</v>
      </c>
      <c r="D267" s="189">
        <f>'[2]334-ПП'!F900</f>
        <v>4312.5</v>
      </c>
      <c r="E267" s="26">
        <f>'2024'!H114</f>
        <v>4312.5</v>
      </c>
      <c r="F267" s="183">
        <f>E267</f>
        <v>4312.5</v>
      </c>
      <c r="G267" s="206">
        <f t="shared" si="14"/>
        <v>1</v>
      </c>
      <c r="H267" s="817"/>
      <c r="I267" s="673"/>
      <c r="J267" s="670"/>
      <c r="K267" s="673"/>
      <c r="L267" s="702"/>
      <c r="M267" s="676"/>
    </row>
    <row r="268" spans="1:13" ht="15" customHeight="1">
      <c r="A268" s="711"/>
      <c r="B268" s="741"/>
      <c r="C268" s="175" t="s">
        <v>5</v>
      </c>
      <c r="D268" s="209">
        <v>0</v>
      </c>
      <c r="E268" s="26">
        <v>0</v>
      </c>
      <c r="F268" s="183">
        <v>0</v>
      </c>
      <c r="G268" s="206">
        <f t="shared" si="14"/>
        <v>0</v>
      </c>
      <c r="H268" s="817"/>
      <c r="I268" s="673"/>
      <c r="J268" s="670"/>
      <c r="K268" s="673"/>
      <c r="L268" s="702"/>
      <c r="M268" s="676"/>
    </row>
    <row r="269" spans="1:13" ht="15" customHeight="1">
      <c r="A269" s="711"/>
      <c r="B269" s="741"/>
      <c r="C269" s="175" t="s">
        <v>6</v>
      </c>
      <c r="D269" s="189">
        <v>0</v>
      </c>
      <c r="E269" s="1409">
        <v>0</v>
      </c>
      <c r="F269" s="182">
        <v>0</v>
      </c>
      <c r="G269" s="206">
        <f t="shared" si="14"/>
        <v>0</v>
      </c>
      <c r="H269" s="817"/>
      <c r="I269" s="673"/>
      <c r="J269" s="670"/>
      <c r="K269" s="673"/>
      <c r="L269" s="702"/>
      <c r="M269" s="676"/>
    </row>
    <row r="270" spans="1:13" ht="15" customHeight="1">
      <c r="A270" s="712"/>
      <c r="B270" s="742"/>
      <c r="C270" s="210" t="s">
        <v>7</v>
      </c>
      <c r="D270" s="211">
        <v>0</v>
      </c>
      <c r="E270" s="1409">
        <v>0</v>
      </c>
      <c r="F270" s="182">
        <v>0</v>
      </c>
      <c r="G270" s="206">
        <f t="shared" si="14"/>
        <v>0</v>
      </c>
      <c r="H270" s="876"/>
      <c r="I270" s="674"/>
      <c r="J270" s="671"/>
      <c r="K270" s="673"/>
      <c r="L270" s="703"/>
      <c r="M270" s="677"/>
    </row>
    <row r="271" spans="1:13" ht="15.75" customHeight="1">
      <c r="A271" s="695" t="s">
        <v>102</v>
      </c>
      <c r="B271" s="695" t="s">
        <v>131</v>
      </c>
      <c r="C271" s="175" t="s">
        <v>3</v>
      </c>
      <c r="D271" s="212">
        <f>SUM(D272:D275)</f>
        <v>214248</v>
      </c>
      <c r="E271" s="1410">
        <f>SUM(E272:E275)</f>
        <v>214248</v>
      </c>
      <c r="F271" s="212">
        <f>SUM(F272:F275)</f>
        <v>127714.99417999999</v>
      </c>
      <c r="G271" s="206">
        <f t="shared" si="14"/>
        <v>0.59610822122026808</v>
      </c>
      <c r="H271" s="770" t="s">
        <v>680</v>
      </c>
      <c r="I271" s="666" t="s">
        <v>1055</v>
      </c>
      <c r="J271" s="727" t="s">
        <v>178</v>
      </c>
      <c r="K271" s="700" t="s">
        <v>93</v>
      </c>
      <c r="L271" s="1292" t="s">
        <v>1054</v>
      </c>
      <c r="M271" s="1281">
        <v>807</v>
      </c>
    </row>
    <row r="272" spans="1:13" ht="15.75" customHeight="1">
      <c r="A272" s="683"/>
      <c r="B272" s="683"/>
      <c r="C272" s="175" t="s">
        <v>4</v>
      </c>
      <c r="D272" s="183">
        <f>'[2]334-ПП'!F921</f>
        <v>203535.6</v>
      </c>
      <c r="E272" s="25">
        <f>МИНСТРОЙ!E277</f>
        <v>203535.6</v>
      </c>
      <c r="F272" s="180">
        <f>МИНСТРОЙ!F277</f>
        <v>117002.59418</v>
      </c>
      <c r="G272" s="206">
        <f t="shared" si="14"/>
        <v>0.57485075917922956</v>
      </c>
      <c r="H272" s="664"/>
      <c r="I272" s="1290"/>
      <c r="J272" s="667"/>
      <c r="K272" s="700"/>
      <c r="L272" s="1293"/>
      <c r="M272" s="676"/>
    </row>
    <row r="273" spans="1:13" ht="15.75" customHeight="1">
      <c r="A273" s="683"/>
      <c r="B273" s="683"/>
      <c r="C273" s="175" t="s">
        <v>5</v>
      </c>
      <c r="D273" s="183">
        <v>0</v>
      </c>
      <c r="E273" s="25">
        <f>МИНСТРОЙ!E278</f>
        <v>0</v>
      </c>
      <c r="F273" s="180">
        <f>МИНСТРОЙ!F278</f>
        <v>0</v>
      </c>
      <c r="G273" s="206">
        <f t="shared" si="14"/>
        <v>0</v>
      </c>
      <c r="H273" s="664"/>
      <c r="I273" s="1290"/>
      <c r="J273" s="667"/>
      <c r="K273" s="700"/>
      <c r="L273" s="1293"/>
      <c r="M273" s="676"/>
    </row>
    <row r="274" spans="1:13" ht="15.75" customHeight="1">
      <c r="A274" s="683"/>
      <c r="B274" s="683"/>
      <c r="C274" s="175" t="s">
        <v>6</v>
      </c>
      <c r="D274" s="183">
        <f>'[2]334-ПП'!H921</f>
        <v>10712.4</v>
      </c>
      <c r="E274" s="180">
        <v>10712.4</v>
      </c>
      <c r="F274" s="180">
        <v>10712.4</v>
      </c>
      <c r="G274" s="206">
        <f t="shared" si="14"/>
        <v>1</v>
      </c>
      <c r="H274" s="664"/>
      <c r="I274" s="1290"/>
      <c r="J274" s="667"/>
      <c r="K274" s="700"/>
      <c r="L274" s="1293"/>
      <c r="M274" s="676"/>
    </row>
    <row r="275" spans="1:13" ht="15.75" customHeight="1">
      <c r="A275" s="684"/>
      <c r="B275" s="684"/>
      <c r="C275" s="213" t="s">
        <v>7</v>
      </c>
      <c r="D275" s="180">
        <v>0</v>
      </c>
      <c r="E275" s="180">
        <f>МИНСТРОЙ!E280</f>
        <v>0</v>
      </c>
      <c r="F275" s="180">
        <f>МИНСТРОЙ!F280</f>
        <v>0</v>
      </c>
      <c r="G275" s="206">
        <f t="shared" si="14"/>
        <v>0</v>
      </c>
      <c r="H275" s="665"/>
      <c r="I275" s="1291"/>
      <c r="J275" s="668"/>
      <c r="K275" s="700"/>
      <c r="L275" s="1294"/>
      <c r="M275" s="677"/>
    </row>
    <row r="276" spans="1:13" s="10" customFormat="1">
      <c r="A276" s="889" t="s">
        <v>20</v>
      </c>
      <c r="B276" s="899" t="s">
        <v>21</v>
      </c>
      <c r="C276" s="44" t="s">
        <v>3</v>
      </c>
      <c r="D276" s="47">
        <f>SUM(D277:D280)</f>
        <v>56948.595869999997</v>
      </c>
      <c r="E276" s="43">
        <f>SUM(E277:E280)</f>
        <v>55579.932139999997</v>
      </c>
      <c r="F276" s="43">
        <f>SUM(F277:F280)</f>
        <v>55579.932139999997</v>
      </c>
      <c r="G276" s="48">
        <f t="shared" si="14"/>
        <v>0.97596668172250756</v>
      </c>
      <c r="H276" s="893"/>
      <c r="I276" s="33" t="s">
        <v>45</v>
      </c>
      <c r="J276" s="77">
        <f>J281</f>
        <v>1</v>
      </c>
      <c r="K276" s="902" t="s">
        <v>65</v>
      </c>
      <c r="L276" s="751"/>
      <c r="M276" s="822">
        <v>823</v>
      </c>
    </row>
    <row r="277" spans="1:13" s="10" customFormat="1">
      <c r="A277" s="890"/>
      <c r="B277" s="900"/>
      <c r="C277" s="44" t="s">
        <v>4</v>
      </c>
      <c r="D277" s="53">
        <f>D282</f>
        <v>56948.595869999997</v>
      </c>
      <c r="E277" s="54">
        <f>E282</f>
        <v>55579.932139999997</v>
      </c>
      <c r="F277" s="54">
        <f>F282</f>
        <v>55579.932139999997</v>
      </c>
      <c r="G277" s="48">
        <f t="shared" si="14"/>
        <v>0.97596668172250756</v>
      </c>
      <c r="H277" s="894"/>
      <c r="I277" s="33" t="s">
        <v>46</v>
      </c>
      <c r="J277" s="78">
        <f>J282</f>
        <v>1</v>
      </c>
      <c r="K277" s="903"/>
      <c r="L277" s="752"/>
      <c r="M277" s="823"/>
    </row>
    <row r="278" spans="1:13" s="10" customFormat="1">
      <c r="A278" s="890"/>
      <c r="B278" s="900"/>
      <c r="C278" s="44" t="s">
        <v>5</v>
      </c>
      <c r="D278" s="53">
        <v>0</v>
      </c>
      <c r="E278" s="53">
        <v>0</v>
      </c>
      <c r="F278" s="53">
        <v>0</v>
      </c>
      <c r="G278" s="48">
        <f t="shared" si="14"/>
        <v>0</v>
      </c>
      <c r="H278" s="894"/>
      <c r="I278" s="33" t="s">
        <v>47</v>
      </c>
      <c r="J278" s="78">
        <f t="shared" ref="J278:J279" si="17">J283</f>
        <v>0</v>
      </c>
      <c r="K278" s="903"/>
      <c r="L278" s="752"/>
      <c r="M278" s="823"/>
    </row>
    <row r="279" spans="1:13" s="10" customFormat="1">
      <c r="A279" s="890"/>
      <c r="B279" s="900"/>
      <c r="C279" s="44" t="s">
        <v>6</v>
      </c>
      <c r="D279" s="53">
        <v>0</v>
      </c>
      <c r="E279" s="53">
        <v>0</v>
      </c>
      <c r="F279" s="53">
        <v>0</v>
      </c>
      <c r="G279" s="48">
        <f t="shared" si="14"/>
        <v>0</v>
      </c>
      <c r="H279" s="894"/>
      <c r="I279" s="33" t="s">
        <v>48</v>
      </c>
      <c r="J279" s="78">
        <f t="shared" si="17"/>
        <v>0</v>
      </c>
      <c r="K279" s="903"/>
      <c r="L279" s="752"/>
      <c r="M279" s="823"/>
    </row>
    <row r="280" spans="1:13" s="10" customFormat="1">
      <c r="A280" s="891"/>
      <c r="B280" s="901"/>
      <c r="C280" s="44" t="s">
        <v>7</v>
      </c>
      <c r="D280" s="53">
        <v>0</v>
      </c>
      <c r="E280" s="53">
        <v>0</v>
      </c>
      <c r="F280" s="53">
        <v>0</v>
      </c>
      <c r="G280" s="48">
        <f t="shared" si="14"/>
        <v>0</v>
      </c>
      <c r="H280" s="895"/>
      <c r="I280" s="33" t="s">
        <v>49</v>
      </c>
      <c r="J280" s="79">
        <f>(J277+0.5*J278)/J276</f>
        <v>1</v>
      </c>
      <c r="K280" s="904"/>
      <c r="L280" s="905"/>
      <c r="M280" s="892"/>
    </row>
    <row r="281" spans="1:13" s="10" customFormat="1" ht="21" customHeight="1">
      <c r="A281" s="877" t="s">
        <v>22</v>
      </c>
      <c r="B281" s="731" t="s">
        <v>59</v>
      </c>
      <c r="C281" s="72" t="s">
        <v>3</v>
      </c>
      <c r="D281" s="40">
        <f>SUM(D282:D285)</f>
        <v>56948.595869999997</v>
      </c>
      <c r="E281" s="35">
        <f>SUM(E282:E285)</f>
        <v>55579.932139999997</v>
      </c>
      <c r="F281" s="35">
        <f>SUM(F282:F285)</f>
        <v>55579.932139999997</v>
      </c>
      <c r="G281" s="37">
        <f t="shared" si="14"/>
        <v>0.97596668172250756</v>
      </c>
      <c r="H281" s="886"/>
      <c r="I281" s="18" t="s">
        <v>45</v>
      </c>
      <c r="J281" s="61">
        <f>SUM(J282:J284)</f>
        <v>1</v>
      </c>
      <c r="K281" s="761" t="s">
        <v>65</v>
      </c>
      <c r="L281" s="761"/>
      <c r="M281" s="763">
        <v>823</v>
      </c>
    </row>
    <row r="282" spans="1:13" s="10" customFormat="1">
      <c r="A282" s="878"/>
      <c r="B282" s="732"/>
      <c r="C282" s="39" t="s">
        <v>4</v>
      </c>
      <c r="D282" s="55">
        <f>D287</f>
        <v>56948.595869999997</v>
      </c>
      <c r="E282" s="35">
        <f>E287</f>
        <v>55579.932139999997</v>
      </c>
      <c r="F282" s="35">
        <f>F287</f>
        <v>55579.932139999997</v>
      </c>
      <c r="G282" s="37">
        <f t="shared" si="14"/>
        <v>0.97596668172250756</v>
      </c>
      <c r="H282" s="887"/>
      <c r="I282" s="18" t="s">
        <v>46</v>
      </c>
      <c r="J282" s="80">
        <f>COUNTIF($J$286,"Да")</f>
        <v>1</v>
      </c>
      <c r="K282" s="762"/>
      <c r="L282" s="762"/>
      <c r="M282" s="764"/>
    </row>
    <row r="283" spans="1:13" s="10" customFormat="1">
      <c r="A283" s="878"/>
      <c r="B283" s="732"/>
      <c r="C283" s="39" t="s">
        <v>5</v>
      </c>
      <c r="D283" s="55">
        <v>0</v>
      </c>
      <c r="E283" s="55">
        <v>0</v>
      </c>
      <c r="F283" s="55">
        <v>0</v>
      </c>
      <c r="G283" s="37">
        <f t="shared" si="14"/>
        <v>0</v>
      </c>
      <c r="H283" s="887"/>
      <c r="I283" s="18" t="s">
        <v>47</v>
      </c>
      <c r="J283" s="80">
        <f>COUNTIF($J$286,"Частично")</f>
        <v>0</v>
      </c>
      <c r="K283" s="762"/>
      <c r="L283" s="762"/>
      <c r="M283" s="764"/>
    </row>
    <row r="284" spans="1:13" s="10" customFormat="1">
      <c r="A284" s="878"/>
      <c r="B284" s="732"/>
      <c r="C284" s="39" t="s">
        <v>6</v>
      </c>
      <c r="D284" s="55">
        <v>0</v>
      </c>
      <c r="E284" s="55">
        <v>0</v>
      </c>
      <c r="F284" s="55">
        <v>0</v>
      </c>
      <c r="G284" s="37">
        <f t="shared" si="14"/>
        <v>0</v>
      </c>
      <c r="H284" s="887"/>
      <c r="I284" s="18" t="s">
        <v>48</v>
      </c>
      <c r="J284" s="80">
        <f>COUNTIF($J$286,"Нет")</f>
        <v>0</v>
      </c>
      <c r="K284" s="762"/>
      <c r="L284" s="762"/>
      <c r="M284" s="764"/>
    </row>
    <row r="285" spans="1:13" s="10" customFormat="1">
      <c r="A285" s="879"/>
      <c r="B285" s="733"/>
      <c r="C285" s="39" t="s">
        <v>7</v>
      </c>
      <c r="D285" s="55">
        <v>0</v>
      </c>
      <c r="E285" s="55">
        <v>0</v>
      </c>
      <c r="F285" s="55">
        <v>0</v>
      </c>
      <c r="G285" s="37">
        <f t="shared" si="14"/>
        <v>0</v>
      </c>
      <c r="H285" s="888"/>
      <c r="I285" s="18" t="s">
        <v>49</v>
      </c>
      <c r="J285" s="62">
        <f>(J282+0.5*J283)/J281</f>
        <v>1</v>
      </c>
      <c r="K285" s="771"/>
      <c r="L285" s="771"/>
      <c r="M285" s="834"/>
    </row>
    <row r="286" spans="1:13" ht="15" customHeight="1">
      <c r="A286" s="740" t="s">
        <v>23</v>
      </c>
      <c r="B286" s="840" t="s">
        <v>86</v>
      </c>
      <c r="C286" s="175" t="s">
        <v>3</v>
      </c>
      <c r="D286" s="180">
        <f>SUM(D287:D290)</f>
        <v>56948.595869999997</v>
      </c>
      <c r="E286" s="192">
        <f>SUM(E287:E290)</f>
        <v>55579.932139999997</v>
      </c>
      <c r="F286" s="192">
        <f>SUM(F287:F290)</f>
        <v>55579.932139999997</v>
      </c>
      <c r="G286" s="174">
        <f t="shared" si="14"/>
        <v>0.97596668172250756</v>
      </c>
      <c r="H286" s="772" t="s">
        <v>85</v>
      </c>
      <c r="I286" s="701" t="s">
        <v>224</v>
      </c>
      <c r="J286" s="727" t="s">
        <v>177</v>
      </c>
      <c r="K286" s="709" t="s">
        <v>69</v>
      </c>
      <c r="L286" s="896"/>
      <c r="M286" s="675">
        <v>823</v>
      </c>
    </row>
    <row r="287" spans="1:13" ht="15" customHeight="1">
      <c r="A287" s="741"/>
      <c r="B287" s="866"/>
      <c r="C287" s="175" t="s">
        <v>4</v>
      </c>
      <c r="D287" s="183">
        <f>'[2]334-ПП'!F942</f>
        <v>56948.595869999997</v>
      </c>
      <c r="E287" s="192">
        <f>'2024'!H118</f>
        <v>55579.932139999997</v>
      </c>
      <c r="F287" s="192">
        <f>E287</f>
        <v>55579.932139999997</v>
      </c>
      <c r="G287" s="174">
        <f t="shared" si="14"/>
        <v>0.97596668172250756</v>
      </c>
      <c r="H287" s="773"/>
      <c r="I287" s="702"/>
      <c r="J287" s="667"/>
      <c r="K287" s="673"/>
      <c r="L287" s="897"/>
      <c r="M287" s="676"/>
    </row>
    <row r="288" spans="1:13" ht="15" customHeight="1">
      <c r="A288" s="741"/>
      <c r="B288" s="866"/>
      <c r="C288" s="175" t="s">
        <v>5</v>
      </c>
      <c r="D288" s="183">
        <v>0</v>
      </c>
      <c r="E288" s="182">
        <v>0</v>
      </c>
      <c r="F288" s="182">
        <v>0</v>
      </c>
      <c r="G288" s="174">
        <f t="shared" si="14"/>
        <v>0</v>
      </c>
      <c r="H288" s="773"/>
      <c r="I288" s="702"/>
      <c r="J288" s="667"/>
      <c r="K288" s="673"/>
      <c r="L288" s="897"/>
      <c r="M288" s="676"/>
    </row>
    <row r="289" spans="1:13" ht="15" customHeight="1">
      <c r="A289" s="741"/>
      <c r="B289" s="866"/>
      <c r="C289" s="175" t="s">
        <v>6</v>
      </c>
      <c r="D289" s="183">
        <v>0</v>
      </c>
      <c r="E289" s="182">
        <v>0</v>
      </c>
      <c r="F289" s="182">
        <v>0</v>
      </c>
      <c r="G289" s="174">
        <f t="shared" si="14"/>
        <v>0</v>
      </c>
      <c r="H289" s="773"/>
      <c r="I289" s="702"/>
      <c r="J289" s="667"/>
      <c r="K289" s="673"/>
      <c r="L289" s="897"/>
      <c r="M289" s="676"/>
    </row>
    <row r="290" spans="1:13" ht="15" customHeight="1">
      <c r="A290" s="742"/>
      <c r="B290" s="867"/>
      <c r="C290" s="175" t="s">
        <v>7</v>
      </c>
      <c r="D290" s="183">
        <v>0</v>
      </c>
      <c r="E290" s="182">
        <v>0</v>
      </c>
      <c r="F290" s="182">
        <v>0</v>
      </c>
      <c r="G290" s="174">
        <f t="shared" si="14"/>
        <v>0</v>
      </c>
      <c r="H290" s="774"/>
      <c r="I290" s="703"/>
      <c r="J290" s="668"/>
      <c r="K290" s="674"/>
      <c r="L290" s="898"/>
      <c r="M290" s="677"/>
    </row>
    <row r="291" spans="1:13" s="3" customFormat="1">
      <c r="A291" s="1"/>
      <c r="B291" s="8"/>
      <c r="C291" s="5"/>
      <c r="D291" s="29"/>
      <c r="E291" s="9"/>
      <c r="F291" s="30"/>
      <c r="G291" s="31"/>
      <c r="H291" s="16"/>
      <c r="I291" s="69"/>
      <c r="J291" s="70"/>
      <c r="K291" s="71"/>
      <c r="L291" s="71"/>
      <c r="M291" s="5"/>
    </row>
    <row r="292" spans="1:13" s="3" customFormat="1">
      <c r="A292" s="1"/>
      <c r="B292" s="8"/>
      <c r="C292" s="5"/>
      <c r="D292" s="29"/>
      <c r="E292" s="9"/>
      <c r="F292" s="30"/>
      <c r="G292" s="31"/>
      <c r="H292" s="16"/>
      <c r="I292" s="69"/>
      <c r="J292" s="70"/>
      <c r="K292" s="71"/>
      <c r="L292" s="71"/>
      <c r="M292" s="5"/>
    </row>
    <row r="293" spans="1:13" s="3" customFormat="1">
      <c r="A293" s="1"/>
      <c r="B293" s="8"/>
      <c r="C293" s="5"/>
      <c r="D293" s="29"/>
      <c r="E293" s="9"/>
      <c r="F293" s="30"/>
      <c r="G293" s="31"/>
      <c r="H293" s="16"/>
      <c r="I293" s="69"/>
      <c r="J293" s="70"/>
      <c r="K293" s="71"/>
      <c r="L293" s="71"/>
      <c r="M293" s="5"/>
    </row>
    <row r="294" spans="1:13" s="3" customFormat="1">
      <c r="A294" s="1"/>
      <c r="B294" s="8"/>
      <c r="C294" s="5"/>
      <c r="D294" s="29"/>
      <c r="E294" s="9"/>
      <c r="F294" s="30"/>
      <c r="G294" s="31"/>
      <c r="H294" s="16"/>
      <c r="I294" s="69"/>
      <c r="J294" s="70"/>
      <c r="K294" s="71"/>
      <c r="L294" s="71"/>
      <c r="M294" s="5"/>
    </row>
    <row r="295" spans="1:13" s="3" customFormat="1">
      <c r="A295" s="1"/>
      <c r="B295" s="8"/>
      <c r="C295" s="5"/>
      <c r="D295" s="29"/>
      <c r="E295" s="9"/>
      <c r="F295" s="30"/>
      <c r="G295" s="31"/>
      <c r="H295" s="16"/>
      <c r="I295" s="69"/>
      <c r="J295" s="70"/>
      <c r="K295" s="71"/>
      <c r="L295" s="71"/>
      <c r="M295" s="5"/>
    </row>
    <row r="296" spans="1:13" s="3" customFormat="1">
      <c r="A296" s="1"/>
      <c r="B296" s="8"/>
      <c r="C296" s="5"/>
      <c r="D296" s="29"/>
      <c r="E296" s="9"/>
      <c r="F296" s="30"/>
      <c r="G296" s="31"/>
      <c r="H296" s="16"/>
      <c r="I296" s="69"/>
      <c r="J296" s="70"/>
      <c r="K296" s="71"/>
      <c r="L296" s="71"/>
      <c r="M296" s="5"/>
    </row>
    <row r="297" spans="1:13" s="3" customFormat="1">
      <c r="A297" s="1"/>
      <c r="B297" s="8"/>
      <c r="C297" s="5"/>
      <c r="D297" s="29"/>
      <c r="E297" s="9"/>
      <c r="F297" s="30"/>
      <c r="G297" s="31"/>
      <c r="H297" s="16"/>
      <c r="I297" s="69"/>
      <c r="J297" s="70"/>
      <c r="K297" s="71"/>
      <c r="L297" s="71"/>
      <c r="M297" s="5"/>
    </row>
    <row r="298" spans="1:13" s="3" customFormat="1">
      <c r="A298" s="1"/>
      <c r="B298" s="8"/>
      <c r="C298" s="5"/>
      <c r="D298" s="29"/>
      <c r="E298" s="9"/>
      <c r="F298" s="30"/>
      <c r="G298" s="31"/>
      <c r="H298" s="16"/>
      <c r="I298" s="69"/>
      <c r="J298" s="70"/>
      <c r="K298" s="71"/>
      <c r="L298" s="71"/>
      <c r="M298" s="5"/>
    </row>
    <row r="299" spans="1:13" s="3" customFormat="1">
      <c r="A299" s="1"/>
      <c r="B299" s="8"/>
      <c r="C299" s="5"/>
      <c r="D299" s="29"/>
      <c r="E299" s="9"/>
      <c r="F299" s="30"/>
      <c r="G299" s="31"/>
      <c r="H299" s="16"/>
      <c r="I299" s="69"/>
      <c r="J299" s="70"/>
      <c r="K299" s="71"/>
      <c r="L299" s="71"/>
      <c r="M299" s="5"/>
    </row>
    <row r="300" spans="1:13" s="3" customFormat="1">
      <c r="A300" s="1"/>
      <c r="B300" s="8"/>
      <c r="C300" s="5"/>
      <c r="D300" s="29"/>
      <c r="E300" s="9"/>
      <c r="F300" s="30"/>
      <c r="G300" s="31"/>
      <c r="H300" s="16"/>
      <c r="I300" s="69"/>
      <c r="J300" s="70"/>
      <c r="K300" s="71"/>
      <c r="L300" s="71"/>
      <c r="M300" s="5"/>
    </row>
    <row r="301" spans="1:13" s="3" customFormat="1">
      <c r="A301" s="1"/>
      <c r="B301" s="8"/>
      <c r="C301" s="5"/>
      <c r="D301" s="29"/>
      <c r="E301" s="9"/>
      <c r="F301" s="30"/>
      <c r="G301" s="31"/>
      <c r="H301" s="16"/>
      <c r="I301" s="69"/>
      <c r="J301" s="70"/>
      <c r="K301" s="71"/>
      <c r="L301" s="71"/>
      <c r="M301" s="5"/>
    </row>
    <row r="302" spans="1:13" s="3" customFormat="1">
      <c r="A302" s="1"/>
      <c r="B302" s="8"/>
      <c r="C302" s="5"/>
      <c r="D302" s="29"/>
      <c r="E302" s="9"/>
      <c r="F302" s="30"/>
      <c r="G302" s="31"/>
      <c r="H302" s="16"/>
      <c r="I302" s="69"/>
      <c r="J302" s="70"/>
      <c r="K302" s="71"/>
      <c r="L302" s="71"/>
      <c r="M302" s="5"/>
    </row>
    <row r="303" spans="1:13" s="3" customFormat="1">
      <c r="A303" s="1"/>
      <c r="B303" s="8"/>
      <c r="C303" s="5"/>
      <c r="D303" s="29"/>
      <c r="E303" s="9"/>
      <c r="F303" s="30"/>
      <c r="G303" s="31"/>
      <c r="H303" s="16"/>
      <c r="I303" s="69"/>
      <c r="J303" s="70"/>
      <c r="K303" s="71"/>
      <c r="L303" s="71"/>
      <c r="M303" s="5"/>
    </row>
    <row r="304" spans="1:13" s="3" customFormat="1">
      <c r="A304" s="1"/>
      <c r="B304" s="8"/>
      <c r="C304" s="5"/>
      <c r="D304" s="29"/>
      <c r="E304" s="9"/>
      <c r="F304" s="30"/>
      <c r="G304" s="31"/>
      <c r="H304" s="16"/>
      <c r="I304" s="69"/>
      <c r="J304" s="70"/>
      <c r="K304" s="71"/>
      <c r="L304" s="71"/>
      <c r="M304" s="5"/>
    </row>
    <row r="305" spans="1:13" s="3" customFormat="1">
      <c r="A305" s="1"/>
      <c r="B305" s="8"/>
      <c r="C305" s="5"/>
      <c r="D305" s="29"/>
      <c r="E305" s="9"/>
      <c r="F305" s="30"/>
      <c r="G305" s="31"/>
      <c r="H305" s="16"/>
      <c r="I305" s="69"/>
      <c r="J305" s="70"/>
      <c r="K305" s="71"/>
      <c r="L305" s="71"/>
      <c r="M305" s="5"/>
    </row>
    <row r="306" spans="1:13" s="3" customFormat="1">
      <c r="A306" s="1"/>
      <c r="B306" s="8"/>
      <c r="C306" s="5"/>
      <c r="D306" s="29"/>
      <c r="E306" s="9"/>
      <c r="F306" s="30"/>
      <c r="G306" s="31"/>
      <c r="H306" s="16"/>
      <c r="I306" s="69"/>
      <c r="J306" s="70"/>
      <c r="K306" s="71"/>
      <c r="L306" s="71"/>
      <c r="M306" s="5"/>
    </row>
    <row r="307" spans="1:13" s="3" customFormat="1">
      <c r="A307" s="1"/>
      <c r="B307" s="8"/>
      <c r="C307" s="5"/>
      <c r="D307" s="29"/>
      <c r="E307" s="9"/>
      <c r="F307" s="30"/>
      <c r="G307" s="31"/>
      <c r="H307" s="16"/>
      <c r="I307" s="69"/>
      <c r="J307" s="70"/>
      <c r="K307" s="71"/>
      <c r="L307" s="71"/>
      <c r="M307" s="5"/>
    </row>
    <row r="308" spans="1:13" s="3" customFormat="1">
      <c r="A308" s="1"/>
      <c r="B308" s="8"/>
      <c r="C308" s="5"/>
      <c r="D308" s="29"/>
      <c r="E308" s="9"/>
      <c r="F308" s="30"/>
      <c r="G308" s="31"/>
      <c r="H308" s="16"/>
      <c r="I308" s="69"/>
      <c r="J308" s="70"/>
      <c r="K308" s="71"/>
      <c r="L308" s="71"/>
      <c r="M308" s="5"/>
    </row>
    <row r="309" spans="1:13" s="3" customFormat="1">
      <c r="A309" s="1"/>
      <c r="B309" s="8"/>
      <c r="C309" s="5"/>
      <c r="D309" s="29"/>
      <c r="E309" s="9"/>
      <c r="F309" s="30"/>
      <c r="G309" s="31"/>
      <c r="H309" s="16"/>
      <c r="I309" s="69"/>
      <c r="J309" s="70"/>
      <c r="K309" s="71"/>
      <c r="L309" s="71"/>
      <c r="M309" s="5"/>
    </row>
    <row r="310" spans="1:13" s="3" customFormat="1">
      <c r="A310" s="1"/>
      <c r="B310" s="8"/>
      <c r="C310" s="5"/>
      <c r="D310" s="29"/>
      <c r="E310" s="9"/>
      <c r="F310" s="30"/>
      <c r="G310" s="31"/>
      <c r="H310" s="16"/>
      <c r="I310" s="69"/>
      <c r="J310" s="70"/>
      <c r="K310" s="71"/>
      <c r="L310" s="71"/>
      <c r="M310" s="5"/>
    </row>
    <row r="311" spans="1:13" s="3" customFormat="1">
      <c r="A311" s="1"/>
      <c r="B311" s="8"/>
      <c r="C311" s="5"/>
      <c r="D311" s="29"/>
      <c r="E311" s="9"/>
      <c r="F311" s="30"/>
      <c r="G311" s="31"/>
      <c r="H311" s="16"/>
      <c r="I311" s="69"/>
      <c r="J311" s="70"/>
      <c r="K311" s="71"/>
      <c r="L311" s="71"/>
      <c r="M311" s="5"/>
    </row>
    <row r="312" spans="1:13" s="3" customFormat="1">
      <c r="A312" s="1"/>
      <c r="B312" s="8"/>
      <c r="C312" s="5"/>
      <c r="D312" s="29"/>
      <c r="E312" s="9"/>
      <c r="F312" s="30"/>
      <c r="G312" s="31"/>
      <c r="H312" s="16"/>
      <c r="I312" s="69"/>
      <c r="J312" s="70"/>
      <c r="K312" s="71"/>
      <c r="L312" s="71"/>
      <c r="M312" s="5"/>
    </row>
    <row r="313" spans="1:13" s="3" customFormat="1">
      <c r="A313" s="1"/>
      <c r="B313" s="8"/>
      <c r="C313" s="5"/>
      <c r="D313" s="29"/>
      <c r="E313" s="9"/>
      <c r="F313" s="30"/>
      <c r="G313" s="31"/>
      <c r="H313" s="16"/>
      <c r="I313" s="69"/>
      <c r="J313" s="70"/>
      <c r="K313" s="71"/>
      <c r="L313" s="71"/>
      <c r="M313" s="5"/>
    </row>
    <row r="314" spans="1:13" s="3" customFormat="1">
      <c r="A314" s="1"/>
      <c r="B314" s="8"/>
      <c r="C314" s="5"/>
      <c r="D314" s="29"/>
      <c r="E314" s="9"/>
      <c r="F314" s="30"/>
      <c r="G314" s="31"/>
      <c r="H314" s="16"/>
      <c r="I314" s="69"/>
      <c r="J314" s="70"/>
      <c r="K314" s="71"/>
      <c r="L314" s="71"/>
      <c r="M314" s="5"/>
    </row>
    <row r="315" spans="1:13" s="3" customFormat="1">
      <c r="A315" s="1"/>
      <c r="B315" s="8"/>
      <c r="C315" s="5"/>
      <c r="D315" s="29"/>
      <c r="E315" s="9"/>
      <c r="F315" s="30"/>
      <c r="G315" s="31"/>
      <c r="H315" s="16"/>
      <c r="I315" s="69"/>
      <c r="J315" s="70"/>
      <c r="K315" s="71"/>
      <c r="L315" s="71"/>
      <c r="M315" s="5"/>
    </row>
    <row r="316" spans="1:13" s="3" customFormat="1">
      <c r="A316" s="1"/>
      <c r="B316" s="8"/>
      <c r="C316" s="5"/>
      <c r="D316" s="29"/>
      <c r="E316" s="9"/>
      <c r="F316" s="30"/>
      <c r="G316" s="31"/>
      <c r="H316" s="16"/>
      <c r="I316" s="69"/>
      <c r="J316" s="70"/>
      <c r="K316" s="71"/>
      <c r="L316" s="71"/>
      <c r="M316" s="5"/>
    </row>
    <row r="317" spans="1:13" s="3" customFormat="1">
      <c r="A317" s="1"/>
      <c r="B317" s="8"/>
      <c r="C317" s="5"/>
      <c r="D317" s="29"/>
      <c r="E317" s="9"/>
      <c r="F317" s="30"/>
      <c r="G317" s="31"/>
      <c r="H317" s="16"/>
      <c r="I317" s="69"/>
      <c r="J317" s="70"/>
      <c r="K317" s="71"/>
      <c r="L317" s="71"/>
      <c r="M317" s="5"/>
    </row>
    <row r="318" spans="1:13" s="3" customFormat="1">
      <c r="A318" s="1"/>
      <c r="B318" s="8"/>
      <c r="C318" s="5"/>
      <c r="D318" s="29"/>
      <c r="E318" s="9"/>
      <c r="F318" s="30"/>
      <c r="G318" s="31"/>
      <c r="H318" s="16"/>
      <c r="I318" s="69"/>
      <c r="J318" s="70"/>
      <c r="K318" s="71"/>
      <c r="L318" s="71"/>
      <c r="M318" s="5"/>
    </row>
    <row r="319" spans="1:13" s="3" customFormat="1">
      <c r="A319" s="1"/>
      <c r="B319" s="8"/>
      <c r="C319" s="5"/>
      <c r="D319" s="29"/>
      <c r="E319" s="9"/>
      <c r="F319" s="30"/>
      <c r="G319" s="31"/>
      <c r="H319" s="16"/>
      <c r="I319" s="69"/>
      <c r="J319" s="70"/>
      <c r="K319" s="71"/>
      <c r="L319" s="71"/>
      <c r="M319" s="5"/>
    </row>
    <row r="320" spans="1:13" s="3" customFormat="1">
      <c r="A320" s="1"/>
      <c r="B320" s="8"/>
      <c r="C320" s="5"/>
      <c r="D320" s="29"/>
      <c r="E320" s="9"/>
      <c r="F320" s="30"/>
      <c r="G320" s="31"/>
      <c r="H320" s="16"/>
      <c r="I320" s="69"/>
      <c r="J320" s="70"/>
      <c r="K320" s="71"/>
      <c r="L320" s="71"/>
      <c r="M320" s="5"/>
    </row>
    <row r="321" spans="1:13" s="3" customFormat="1">
      <c r="A321" s="1"/>
      <c r="B321" s="8"/>
      <c r="C321" s="5"/>
      <c r="D321" s="29"/>
      <c r="E321" s="9"/>
      <c r="F321" s="30"/>
      <c r="G321" s="31"/>
      <c r="H321" s="16"/>
      <c r="I321" s="69"/>
      <c r="J321" s="70"/>
      <c r="K321" s="71"/>
      <c r="L321" s="71"/>
      <c r="M321" s="5"/>
    </row>
    <row r="322" spans="1:13" s="3" customFormat="1">
      <c r="A322" s="1"/>
      <c r="B322" s="8"/>
      <c r="C322" s="5"/>
      <c r="D322" s="29"/>
      <c r="E322" s="9"/>
      <c r="F322" s="30"/>
      <c r="G322" s="31"/>
      <c r="H322" s="16"/>
      <c r="I322" s="69"/>
      <c r="J322" s="70"/>
      <c r="K322" s="71"/>
      <c r="L322" s="71"/>
      <c r="M322" s="5"/>
    </row>
    <row r="323" spans="1:13" s="3" customFormat="1">
      <c r="A323" s="1"/>
      <c r="B323" s="8"/>
      <c r="C323" s="5"/>
      <c r="D323" s="29"/>
      <c r="E323" s="9"/>
      <c r="F323" s="30"/>
      <c r="G323" s="31"/>
      <c r="H323" s="16"/>
      <c r="I323" s="69"/>
      <c r="J323" s="70"/>
      <c r="K323" s="71"/>
      <c r="L323" s="71"/>
      <c r="M323" s="5"/>
    </row>
    <row r="324" spans="1:13" s="3" customFormat="1">
      <c r="A324" s="1"/>
      <c r="B324" s="8"/>
      <c r="C324" s="5"/>
      <c r="D324" s="29"/>
      <c r="E324" s="9"/>
      <c r="F324" s="30"/>
      <c r="G324" s="31"/>
      <c r="H324" s="16"/>
      <c r="I324" s="69"/>
      <c r="J324" s="70"/>
      <c r="K324" s="71"/>
      <c r="L324" s="71"/>
      <c r="M324" s="5"/>
    </row>
    <row r="325" spans="1:13" s="3" customFormat="1">
      <c r="A325" s="1"/>
      <c r="B325" s="8"/>
      <c r="C325" s="5"/>
      <c r="D325" s="29"/>
      <c r="E325" s="9"/>
      <c r="F325" s="30"/>
      <c r="G325" s="31"/>
      <c r="H325" s="16"/>
      <c r="I325" s="69"/>
      <c r="J325" s="70"/>
      <c r="K325" s="71"/>
      <c r="L325" s="71"/>
      <c r="M325" s="5"/>
    </row>
    <row r="326" spans="1:13" s="3" customFormat="1">
      <c r="A326" s="1"/>
      <c r="B326" s="8"/>
      <c r="C326" s="5"/>
      <c r="D326" s="29"/>
      <c r="E326" s="9"/>
      <c r="F326" s="30"/>
      <c r="G326" s="31"/>
      <c r="H326" s="16"/>
      <c r="I326" s="69"/>
      <c r="J326" s="70"/>
      <c r="K326" s="71"/>
      <c r="L326" s="71"/>
      <c r="M326" s="5"/>
    </row>
    <row r="327" spans="1:13" s="3" customFormat="1">
      <c r="A327" s="1"/>
      <c r="B327" s="8"/>
      <c r="C327" s="5"/>
      <c r="D327" s="29"/>
      <c r="E327" s="9"/>
      <c r="F327" s="30"/>
      <c r="G327" s="31"/>
      <c r="H327" s="16"/>
      <c r="I327" s="69"/>
      <c r="J327" s="70"/>
      <c r="K327" s="71"/>
      <c r="L327" s="71"/>
      <c r="M327" s="5"/>
    </row>
    <row r="328" spans="1:13" s="3" customFormat="1">
      <c r="A328" s="1"/>
      <c r="B328" s="8"/>
      <c r="C328" s="5"/>
      <c r="D328" s="12"/>
      <c r="E328" s="9"/>
      <c r="F328" s="9"/>
      <c r="G328" s="5"/>
      <c r="H328" s="16"/>
      <c r="I328" s="69"/>
      <c r="J328" s="70"/>
      <c r="K328" s="71"/>
      <c r="L328" s="71"/>
      <c r="M328" s="5"/>
    </row>
    <row r="329" spans="1:13" s="3" customFormat="1">
      <c r="A329" s="1"/>
      <c r="B329" s="8"/>
      <c r="C329" s="5"/>
      <c r="D329" s="12"/>
      <c r="E329" s="9"/>
      <c r="F329" s="9"/>
      <c r="G329" s="5"/>
      <c r="H329" s="16"/>
      <c r="I329" s="69"/>
      <c r="J329" s="70"/>
      <c r="K329" s="71"/>
      <c r="L329" s="71"/>
      <c r="M329" s="5"/>
    </row>
    <row r="330" spans="1:13" s="3" customFormat="1">
      <c r="A330" s="1"/>
      <c r="B330" s="8"/>
      <c r="C330" s="5"/>
      <c r="D330" s="12"/>
      <c r="E330" s="9"/>
      <c r="F330" s="9"/>
      <c r="G330" s="5"/>
      <c r="H330" s="16"/>
      <c r="I330" s="69"/>
      <c r="J330" s="70"/>
      <c r="K330" s="71"/>
      <c r="L330" s="71"/>
      <c r="M330" s="5"/>
    </row>
    <row r="331" spans="1:13" s="3" customFormat="1">
      <c r="A331" s="1"/>
      <c r="B331" s="8"/>
      <c r="C331" s="5"/>
      <c r="D331" s="12"/>
      <c r="E331" s="9"/>
      <c r="F331" s="9"/>
      <c r="G331" s="5"/>
      <c r="H331" s="16"/>
      <c r="I331" s="69"/>
      <c r="J331" s="70"/>
      <c r="K331" s="71"/>
      <c r="L331" s="71"/>
      <c r="M331" s="5"/>
    </row>
    <row r="332" spans="1:13" s="3" customFormat="1">
      <c r="A332" s="1"/>
      <c r="B332" s="8"/>
      <c r="C332" s="5"/>
      <c r="D332" s="12"/>
      <c r="E332" s="9"/>
      <c r="F332" s="9"/>
      <c r="G332" s="5"/>
      <c r="H332" s="16"/>
      <c r="I332" s="69"/>
      <c r="J332" s="70"/>
      <c r="K332" s="71"/>
      <c r="L332" s="71"/>
      <c r="M332" s="5"/>
    </row>
    <row r="333" spans="1:13" s="3" customFormat="1">
      <c r="A333" s="1"/>
      <c r="B333" s="8"/>
      <c r="C333" s="5"/>
      <c r="D333" s="12"/>
      <c r="E333" s="9"/>
      <c r="F333" s="9"/>
      <c r="G333" s="5"/>
      <c r="H333" s="16"/>
      <c r="I333" s="69"/>
      <c r="J333" s="70"/>
      <c r="K333" s="71"/>
      <c r="L333" s="71"/>
      <c r="M333" s="5"/>
    </row>
    <row r="334" spans="1:13" s="3" customFormat="1">
      <c r="A334" s="1"/>
      <c r="B334" s="8"/>
      <c r="C334" s="5"/>
      <c r="D334" s="12"/>
      <c r="E334" s="9"/>
      <c r="F334" s="9"/>
      <c r="G334" s="5"/>
      <c r="H334" s="16"/>
      <c r="I334" s="69"/>
      <c r="J334" s="70"/>
      <c r="K334" s="71"/>
      <c r="L334" s="71"/>
      <c r="M334" s="5"/>
    </row>
    <row r="335" spans="1:13" s="3" customFormat="1">
      <c r="A335" s="1"/>
      <c r="B335" s="8"/>
      <c r="C335" s="5"/>
      <c r="D335" s="12"/>
      <c r="E335" s="9"/>
      <c r="F335" s="9"/>
      <c r="G335" s="5"/>
      <c r="H335" s="16"/>
      <c r="I335" s="69"/>
      <c r="J335" s="70"/>
      <c r="K335" s="71"/>
      <c r="L335" s="71"/>
      <c r="M335" s="5"/>
    </row>
    <row r="336" spans="1:13" s="3" customFormat="1">
      <c r="A336" s="1"/>
      <c r="B336" s="8"/>
      <c r="C336" s="5"/>
      <c r="D336" s="12"/>
      <c r="E336" s="9"/>
      <c r="F336" s="9"/>
      <c r="G336" s="5"/>
      <c r="H336" s="16"/>
      <c r="I336" s="69"/>
      <c r="J336" s="70"/>
      <c r="K336" s="71"/>
      <c r="L336" s="71"/>
      <c r="M336" s="5"/>
    </row>
    <row r="337" spans="1:13" s="3" customFormat="1">
      <c r="A337" s="1"/>
      <c r="B337" s="8"/>
      <c r="C337" s="5"/>
      <c r="D337" s="12"/>
      <c r="E337" s="9"/>
      <c r="F337" s="9"/>
      <c r="G337" s="5"/>
      <c r="H337" s="16"/>
      <c r="I337" s="69"/>
      <c r="J337" s="70"/>
      <c r="K337" s="71"/>
      <c r="L337" s="71"/>
      <c r="M337" s="5"/>
    </row>
    <row r="338" spans="1:13" s="3" customFormat="1">
      <c r="A338" s="1"/>
      <c r="B338" s="8"/>
      <c r="C338" s="5"/>
      <c r="D338" s="12"/>
      <c r="E338" s="9"/>
      <c r="F338" s="9"/>
      <c r="G338" s="5"/>
      <c r="H338" s="16"/>
      <c r="I338" s="69"/>
      <c r="J338" s="70"/>
      <c r="K338" s="71"/>
      <c r="L338" s="71"/>
      <c r="M338" s="5"/>
    </row>
    <row r="339" spans="1:13" s="3" customFormat="1">
      <c r="A339" s="1"/>
      <c r="B339" s="8"/>
      <c r="C339" s="5"/>
      <c r="D339" s="12"/>
      <c r="E339" s="9"/>
      <c r="F339" s="9"/>
      <c r="G339" s="5"/>
      <c r="H339" s="16"/>
      <c r="I339" s="69"/>
      <c r="J339" s="70"/>
      <c r="K339" s="71"/>
      <c r="L339" s="71"/>
      <c r="M339" s="5"/>
    </row>
    <row r="340" spans="1:13" s="3" customFormat="1">
      <c r="A340" s="1"/>
      <c r="B340" s="8"/>
      <c r="C340" s="5"/>
      <c r="D340" s="12"/>
      <c r="E340" s="9"/>
      <c r="F340" s="9"/>
      <c r="G340" s="5"/>
      <c r="H340" s="16"/>
      <c r="I340" s="69"/>
      <c r="J340" s="70"/>
      <c r="K340" s="71"/>
      <c r="L340" s="71"/>
      <c r="M340" s="5"/>
    </row>
    <row r="341" spans="1:13" s="3" customFormat="1">
      <c r="A341" s="1"/>
      <c r="B341" s="8"/>
      <c r="C341" s="5"/>
      <c r="D341" s="12"/>
      <c r="E341" s="9"/>
      <c r="F341" s="9"/>
      <c r="G341" s="5"/>
      <c r="H341" s="16"/>
      <c r="I341" s="69"/>
      <c r="J341" s="70"/>
      <c r="K341" s="71"/>
      <c r="L341" s="71"/>
      <c r="M341" s="5"/>
    </row>
    <row r="342" spans="1:13" s="3" customFormat="1">
      <c r="A342" s="1"/>
      <c r="B342" s="8"/>
      <c r="C342" s="5"/>
      <c r="D342" s="12"/>
      <c r="E342" s="9"/>
      <c r="F342" s="9"/>
      <c r="G342" s="5"/>
      <c r="H342" s="16"/>
      <c r="I342" s="69"/>
      <c r="J342" s="70"/>
      <c r="K342" s="71"/>
      <c r="L342" s="71"/>
      <c r="M342" s="5"/>
    </row>
    <row r="343" spans="1:13" s="3" customFormat="1">
      <c r="A343" s="1"/>
      <c r="B343" s="8"/>
      <c r="C343" s="5"/>
      <c r="D343" s="12"/>
      <c r="E343" s="9"/>
      <c r="F343" s="9"/>
      <c r="G343" s="5"/>
      <c r="H343" s="16"/>
      <c r="I343" s="69"/>
      <c r="J343" s="70"/>
      <c r="K343" s="71"/>
      <c r="L343" s="71"/>
      <c r="M343" s="5"/>
    </row>
    <row r="344" spans="1:13" s="3" customFormat="1">
      <c r="A344" s="1"/>
      <c r="B344" s="8"/>
      <c r="C344" s="5"/>
      <c r="D344" s="12"/>
      <c r="E344" s="9"/>
      <c r="F344" s="9"/>
      <c r="G344" s="5"/>
      <c r="H344" s="16"/>
      <c r="I344" s="69"/>
      <c r="J344" s="70"/>
      <c r="K344" s="71"/>
      <c r="L344" s="71"/>
      <c r="M344" s="5"/>
    </row>
    <row r="345" spans="1:13" s="3" customFormat="1">
      <c r="A345" s="1"/>
      <c r="B345" s="8"/>
      <c r="C345" s="5"/>
      <c r="D345" s="12"/>
      <c r="E345" s="9"/>
      <c r="F345" s="9"/>
      <c r="G345" s="5"/>
      <c r="H345" s="16"/>
      <c r="I345" s="69"/>
      <c r="J345" s="70"/>
      <c r="K345" s="71"/>
      <c r="L345" s="71"/>
      <c r="M345" s="5"/>
    </row>
    <row r="346" spans="1:13" s="3" customFormat="1">
      <c r="A346" s="1"/>
      <c r="B346" s="8"/>
      <c r="C346" s="5"/>
      <c r="D346" s="12"/>
      <c r="E346" s="9"/>
      <c r="F346" s="9"/>
      <c r="G346" s="5"/>
      <c r="H346" s="16"/>
      <c r="I346" s="69"/>
      <c r="J346" s="70"/>
      <c r="K346" s="71"/>
      <c r="L346" s="71"/>
      <c r="M346" s="5"/>
    </row>
    <row r="347" spans="1:13" s="3" customFormat="1">
      <c r="A347" s="1"/>
      <c r="B347" s="8"/>
      <c r="C347" s="5"/>
      <c r="D347" s="12"/>
      <c r="E347" s="9"/>
      <c r="F347" s="9"/>
      <c r="G347" s="5"/>
      <c r="H347" s="16"/>
      <c r="I347" s="69"/>
      <c r="J347" s="70"/>
      <c r="K347" s="71"/>
      <c r="L347" s="71"/>
      <c r="M347" s="5"/>
    </row>
    <row r="348" spans="1:13" s="3" customFormat="1">
      <c r="A348" s="1"/>
      <c r="B348" s="8"/>
      <c r="C348" s="5"/>
      <c r="D348" s="12"/>
      <c r="E348" s="9"/>
      <c r="F348" s="9"/>
      <c r="G348" s="5"/>
      <c r="H348" s="16"/>
      <c r="I348" s="69"/>
      <c r="J348" s="70"/>
      <c r="K348" s="71"/>
      <c r="L348" s="71"/>
      <c r="M348" s="5"/>
    </row>
    <row r="349" spans="1:13" s="3" customFormat="1">
      <c r="A349" s="1"/>
      <c r="B349" s="8"/>
      <c r="C349" s="5"/>
      <c r="D349" s="12"/>
      <c r="E349" s="9"/>
      <c r="F349" s="9"/>
      <c r="G349" s="5"/>
      <c r="H349" s="16"/>
      <c r="I349" s="69"/>
      <c r="J349" s="70"/>
      <c r="K349" s="71"/>
      <c r="L349" s="71"/>
      <c r="M349" s="5"/>
    </row>
    <row r="350" spans="1:13" s="3" customFormat="1">
      <c r="A350" s="1"/>
      <c r="B350" s="8"/>
      <c r="C350" s="5"/>
      <c r="D350" s="12"/>
      <c r="E350" s="9"/>
      <c r="F350" s="9"/>
      <c r="G350" s="5"/>
      <c r="H350" s="16"/>
      <c r="I350" s="69"/>
      <c r="J350" s="70"/>
      <c r="K350" s="71"/>
      <c r="L350" s="71"/>
      <c r="M350" s="5"/>
    </row>
    <row r="351" spans="1:13" s="3" customFormat="1">
      <c r="A351" s="1"/>
      <c r="B351" s="8"/>
      <c r="C351" s="5"/>
      <c r="D351" s="12"/>
      <c r="E351" s="9"/>
      <c r="F351" s="9"/>
      <c r="G351" s="5"/>
      <c r="H351" s="16"/>
      <c r="I351" s="69"/>
      <c r="J351" s="70"/>
      <c r="K351" s="71"/>
      <c r="L351" s="71"/>
      <c r="M351" s="5"/>
    </row>
    <row r="352" spans="1:13" s="3" customFormat="1">
      <c r="A352" s="1"/>
      <c r="B352" s="8"/>
      <c r="C352" s="5"/>
      <c r="D352" s="12"/>
      <c r="E352" s="9"/>
      <c r="F352" s="9"/>
      <c r="G352" s="5"/>
      <c r="H352" s="16"/>
      <c r="I352" s="69"/>
      <c r="J352" s="70"/>
      <c r="K352" s="71"/>
      <c r="L352" s="71"/>
      <c r="M352" s="5"/>
    </row>
    <row r="353" spans="1:13" s="3" customFormat="1">
      <c r="A353" s="1"/>
      <c r="B353" s="8"/>
      <c r="C353" s="5"/>
      <c r="D353" s="12"/>
      <c r="E353" s="9"/>
      <c r="F353" s="9"/>
      <c r="G353" s="5"/>
      <c r="H353" s="16"/>
      <c r="I353" s="69"/>
      <c r="J353" s="70"/>
      <c r="K353" s="71"/>
      <c r="L353" s="71"/>
      <c r="M353" s="5"/>
    </row>
    <row r="354" spans="1:13" s="3" customFormat="1">
      <c r="A354" s="1"/>
      <c r="B354" s="8"/>
      <c r="C354" s="5"/>
      <c r="D354" s="12"/>
      <c r="E354" s="9"/>
      <c r="F354" s="9"/>
      <c r="G354" s="5"/>
      <c r="H354" s="16"/>
      <c r="I354" s="69"/>
      <c r="J354" s="70"/>
      <c r="K354" s="71"/>
      <c r="L354" s="71"/>
      <c r="M354" s="5"/>
    </row>
    <row r="355" spans="1:13" s="3" customFormat="1">
      <c r="A355" s="1"/>
      <c r="B355" s="8"/>
      <c r="C355" s="5"/>
      <c r="D355" s="12"/>
      <c r="E355" s="9"/>
      <c r="F355" s="9"/>
      <c r="G355" s="5"/>
      <c r="H355" s="16"/>
      <c r="I355" s="69"/>
      <c r="J355" s="70"/>
      <c r="K355" s="71"/>
      <c r="L355" s="71"/>
      <c r="M355" s="5"/>
    </row>
    <row r="356" spans="1:13" s="3" customFormat="1">
      <c r="A356" s="1"/>
      <c r="B356" s="8"/>
      <c r="C356" s="5"/>
      <c r="D356" s="12"/>
      <c r="E356" s="9"/>
      <c r="F356" s="9"/>
      <c r="G356" s="5"/>
      <c r="H356" s="16"/>
      <c r="I356" s="69"/>
      <c r="J356" s="70"/>
      <c r="K356" s="71"/>
      <c r="L356" s="71"/>
      <c r="M356" s="5"/>
    </row>
    <row r="357" spans="1:13" s="3" customFormat="1">
      <c r="A357" s="1"/>
      <c r="B357" s="8"/>
      <c r="C357" s="5"/>
      <c r="D357" s="12"/>
      <c r="E357" s="9"/>
      <c r="F357" s="9"/>
      <c r="G357" s="5"/>
      <c r="H357" s="16"/>
      <c r="I357" s="69"/>
      <c r="J357" s="70"/>
      <c r="K357" s="71"/>
      <c r="L357" s="71"/>
      <c r="M357" s="5"/>
    </row>
    <row r="358" spans="1:13" s="3" customFormat="1">
      <c r="A358" s="1"/>
      <c r="B358" s="8"/>
      <c r="C358" s="5"/>
      <c r="D358" s="12"/>
      <c r="E358" s="9"/>
      <c r="F358" s="9"/>
      <c r="G358" s="5"/>
      <c r="H358" s="16"/>
      <c r="I358" s="69"/>
      <c r="J358" s="70"/>
      <c r="K358" s="71"/>
      <c r="L358" s="71"/>
      <c r="M358" s="5"/>
    </row>
    <row r="359" spans="1:13" s="3" customFormat="1">
      <c r="A359" s="1"/>
      <c r="B359" s="8"/>
      <c r="C359" s="5"/>
      <c r="D359" s="12"/>
      <c r="E359" s="9"/>
      <c r="F359" s="9"/>
      <c r="G359" s="5"/>
      <c r="H359" s="16"/>
      <c r="I359" s="69"/>
      <c r="J359" s="70"/>
      <c r="K359" s="71"/>
      <c r="L359" s="71"/>
      <c r="M359" s="5"/>
    </row>
    <row r="360" spans="1:13" s="3" customFormat="1">
      <c r="A360" s="1"/>
      <c r="B360" s="8"/>
      <c r="C360" s="5"/>
      <c r="D360" s="12"/>
      <c r="E360" s="9"/>
      <c r="F360" s="9"/>
      <c r="G360" s="5"/>
      <c r="H360" s="16"/>
      <c r="I360" s="69"/>
      <c r="J360" s="70"/>
      <c r="K360" s="71"/>
      <c r="L360" s="71"/>
      <c r="M360" s="5"/>
    </row>
    <row r="361" spans="1:13" s="3" customFormat="1">
      <c r="A361" s="1"/>
      <c r="B361" s="8"/>
      <c r="C361" s="5"/>
      <c r="D361" s="12"/>
      <c r="E361" s="9"/>
      <c r="F361" s="9"/>
      <c r="G361" s="5"/>
      <c r="H361" s="16"/>
      <c r="I361" s="69"/>
      <c r="J361" s="70"/>
      <c r="K361" s="71"/>
      <c r="L361" s="71"/>
      <c r="M361" s="5"/>
    </row>
    <row r="362" spans="1:13" s="3" customFormat="1">
      <c r="A362" s="1"/>
      <c r="B362" s="8"/>
      <c r="C362" s="5"/>
      <c r="D362" s="12"/>
      <c r="E362" s="9"/>
      <c r="F362" s="9"/>
      <c r="G362" s="5"/>
      <c r="H362" s="16"/>
      <c r="I362" s="69"/>
      <c r="J362" s="70"/>
      <c r="K362" s="71"/>
      <c r="L362" s="71"/>
      <c r="M362" s="5"/>
    </row>
    <row r="363" spans="1:13" s="3" customFormat="1">
      <c r="A363" s="1"/>
      <c r="B363" s="8"/>
      <c r="C363" s="5"/>
      <c r="D363" s="12"/>
      <c r="E363" s="9"/>
      <c r="F363" s="9"/>
      <c r="G363" s="5"/>
      <c r="H363" s="16"/>
      <c r="I363" s="69"/>
      <c r="J363" s="70"/>
      <c r="K363" s="71"/>
      <c r="L363" s="71"/>
      <c r="M363" s="5"/>
    </row>
    <row r="364" spans="1:13" s="3" customFormat="1">
      <c r="A364" s="1"/>
      <c r="B364" s="8"/>
      <c r="C364" s="5"/>
      <c r="D364" s="12"/>
      <c r="E364" s="9"/>
      <c r="F364" s="9"/>
      <c r="G364" s="5"/>
      <c r="H364" s="16"/>
      <c r="I364" s="69"/>
      <c r="J364" s="70"/>
      <c r="K364" s="71"/>
      <c r="L364" s="71"/>
      <c r="M364" s="5"/>
    </row>
    <row r="365" spans="1:13" s="3" customFormat="1">
      <c r="A365" s="1"/>
      <c r="B365" s="8"/>
      <c r="C365" s="5"/>
      <c r="D365" s="12"/>
      <c r="E365" s="9"/>
      <c r="F365" s="9"/>
      <c r="G365" s="5"/>
      <c r="H365" s="16"/>
      <c r="I365" s="69"/>
      <c r="J365" s="70"/>
      <c r="K365" s="71"/>
      <c r="L365" s="71"/>
      <c r="M365" s="5"/>
    </row>
    <row r="366" spans="1:13" s="3" customFormat="1">
      <c r="A366" s="1"/>
      <c r="B366" s="8"/>
      <c r="C366" s="5"/>
      <c r="D366" s="12"/>
      <c r="E366" s="9"/>
      <c r="F366" s="9"/>
      <c r="G366" s="5"/>
      <c r="H366" s="16"/>
      <c r="I366" s="69"/>
      <c r="J366" s="70"/>
      <c r="K366" s="71"/>
      <c r="L366" s="71"/>
      <c r="M366" s="5"/>
    </row>
    <row r="367" spans="1:13" s="3" customFormat="1">
      <c r="A367" s="1"/>
      <c r="B367" s="8"/>
      <c r="C367" s="5"/>
      <c r="D367" s="12"/>
      <c r="E367" s="9"/>
      <c r="F367" s="9"/>
      <c r="G367" s="5"/>
      <c r="H367" s="16"/>
      <c r="I367" s="69"/>
      <c r="J367" s="70"/>
      <c r="K367" s="71"/>
      <c r="L367" s="71"/>
      <c r="M367" s="5"/>
    </row>
    <row r="368" spans="1:13" s="3" customFormat="1">
      <c r="A368" s="1"/>
      <c r="B368" s="8"/>
      <c r="C368" s="5"/>
      <c r="D368" s="12"/>
      <c r="E368" s="9"/>
      <c r="F368" s="9"/>
      <c r="G368" s="5"/>
      <c r="H368" s="16"/>
      <c r="I368" s="69"/>
      <c r="J368" s="70"/>
      <c r="K368" s="71"/>
      <c r="L368" s="71"/>
      <c r="M368" s="5"/>
    </row>
    <row r="369" spans="1:13" s="3" customFormat="1">
      <c r="A369" s="1"/>
      <c r="B369" s="8"/>
      <c r="C369" s="5"/>
      <c r="D369" s="12"/>
      <c r="E369" s="9"/>
      <c r="F369" s="9"/>
      <c r="G369" s="5"/>
      <c r="H369" s="16"/>
      <c r="I369" s="69"/>
      <c r="J369" s="70"/>
      <c r="K369" s="71"/>
      <c r="L369" s="71"/>
      <c r="M369" s="5"/>
    </row>
    <row r="370" spans="1:13" s="3" customFormat="1">
      <c r="A370" s="1"/>
      <c r="B370" s="8"/>
      <c r="C370" s="5"/>
      <c r="D370" s="12"/>
      <c r="E370" s="9"/>
      <c r="F370" s="9"/>
      <c r="G370" s="5"/>
      <c r="H370" s="16"/>
      <c r="I370" s="69"/>
      <c r="J370" s="70"/>
      <c r="K370" s="71"/>
      <c r="L370" s="71"/>
      <c r="M370" s="5"/>
    </row>
    <row r="371" spans="1:13" s="3" customFormat="1">
      <c r="A371" s="1"/>
      <c r="B371" s="8"/>
      <c r="C371" s="5"/>
      <c r="D371" s="12"/>
      <c r="E371" s="9"/>
      <c r="F371" s="9"/>
      <c r="G371" s="5"/>
      <c r="H371" s="16"/>
      <c r="I371" s="69"/>
      <c r="J371" s="70"/>
      <c r="K371" s="71"/>
      <c r="L371" s="71"/>
      <c r="M371" s="5"/>
    </row>
    <row r="372" spans="1:13" s="3" customFormat="1">
      <c r="A372" s="1"/>
      <c r="B372" s="8"/>
      <c r="C372" s="5"/>
      <c r="D372" s="12"/>
      <c r="E372" s="9"/>
      <c r="F372" s="9"/>
      <c r="G372" s="5"/>
      <c r="H372" s="16"/>
      <c r="I372" s="69"/>
      <c r="J372" s="70"/>
      <c r="K372" s="71"/>
      <c r="L372" s="71"/>
      <c r="M372" s="5"/>
    </row>
    <row r="373" spans="1:13" s="3" customFormat="1">
      <c r="A373" s="1"/>
      <c r="B373" s="8"/>
      <c r="C373" s="5"/>
      <c r="D373" s="12"/>
      <c r="E373" s="9"/>
      <c r="F373" s="9"/>
      <c r="G373" s="5"/>
      <c r="H373" s="16"/>
      <c r="I373" s="69"/>
      <c r="J373" s="70"/>
      <c r="K373" s="71"/>
      <c r="L373" s="71"/>
      <c r="M373" s="5"/>
    </row>
    <row r="374" spans="1:13" s="3" customFormat="1">
      <c r="A374" s="1"/>
      <c r="B374" s="8"/>
      <c r="C374" s="5"/>
      <c r="D374" s="12"/>
      <c r="E374" s="9"/>
      <c r="F374" s="9"/>
      <c r="G374" s="5"/>
      <c r="H374" s="16"/>
      <c r="I374" s="69"/>
      <c r="J374" s="70"/>
      <c r="K374" s="71"/>
      <c r="L374" s="71"/>
      <c r="M374" s="5"/>
    </row>
    <row r="375" spans="1:13" s="3" customFormat="1">
      <c r="A375" s="1"/>
      <c r="B375" s="8"/>
      <c r="C375" s="5"/>
      <c r="D375" s="12"/>
      <c r="E375" s="9"/>
      <c r="F375" s="9"/>
      <c r="G375" s="5"/>
      <c r="H375" s="16"/>
      <c r="I375" s="69"/>
      <c r="J375" s="70"/>
      <c r="K375" s="71"/>
      <c r="L375" s="71"/>
      <c r="M375" s="5"/>
    </row>
    <row r="376" spans="1:13" s="3" customFormat="1">
      <c r="A376" s="1"/>
      <c r="B376" s="8"/>
      <c r="C376" s="5"/>
      <c r="D376" s="12"/>
      <c r="E376" s="9"/>
      <c r="F376" s="9"/>
      <c r="G376" s="5"/>
      <c r="H376" s="16"/>
      <c r="I376" s="69"/>
      <c r="J376" s="70"/>
      <c r="K376" s="71"/>
      <c r="L376" s="71"/>
      <c r="M376" s="5"/>
    </row>
    <row r="377" spans="1:13" s="3" customFormat="1">
      <c r="A377" s="1"/>
      <c r="B377" s="8"/>
      <c r="C377" s="5"/>
      <c r="D377" s="12"/>
      <c r="E377" s="9"/>
      <c r="F377" s="9"/>
      <c r="G377" s="5"/>
      <c r="H377" s="16"/>
      <c r="I377" s="69"/>
      <c r="J377" s="70"/>
      <c r="K377" s="71"/>
      <c r="L377" s="71"/>
      <c r="M377" s="5"/>
    </row>
    <row r="378" spans="1:13" s="3" customFormat="1">
      <c r="A378" s="1"/>
      <c r="B378" s="8"/>
      <c r="C378" s="5"/>
      <c r="D378" s="12"/>
      <c r="E378" s="9"/>
      <c r="F378" s="9"/>
      <c r="G378" s="5"/>
      <c r="H378" s="16"/>
      <c r="I378" s="69"/>
      <c r="J378" s="70"/>
      <c r="K378" s="71"/>
      <c r="L378" s="71"/>
      <c r="M378" s="5"/>
    </row>
    <row r="379" spans="1:13" s="3" customFormat="1">
      <c r="A379" s="1"/>
      <c r="B379" s="8"/>
      <c r="C379" s="5"/>
      <c r="D379" s="12"/>
      <c r="E379" s="9"/>
      <c r="F379" s="9"/>
      <c r="G379" s="5"/>
      <c r="H379" s="16"/>
      <c r="I379" s="69"/>
      <c r="J379" s="70"/>
      <c r="K379" s="71"/>
      <c r="L379" s="71"/>
      <c r="M379" s="5"/>
    </row>
    <row r="380" spans="1:13" s="3" customFormat="1">
      <c r="A380" s="1"/>
      <c r="B380" s="8"/>
      <c r="C380" s="5"/>
      <c r="D380" s="12"/>
      <c r="E380" s="9"/>
      <c r="F380" s="9"/>
      <c r="G380" s="5"/>
      <c r="H380" s="16"/>
      <c r="I380" s="69"/>
      <c r="J380" s="70"/>
      <c r="K380" s="71"/>
      <c r="L380" s="71"/>
      <c r="M380" s="5"/>
    </row>
    <row r="381" spans="1:13" s="3" customFormat="1">
      <c r="A381" s="1"/>
      <c r="B381" s="8"/>
      <c r="C381" s="5"/>
      <c r="D381" s="12"/>
      <c r="E381" s="9"/>
      <c r="F381" s="9"/>
      <c r="G381" s="5"/>
      <c r="H381" s="16"/>
      <c r="I381" s="69"/>
      <c r="J381" s="70"/>
      <c r="K381" s="71"/>
      <c r="L381" s="71"/>
      <c r="M381" s="5"/>
    </row>
    <row r="382" spans="1:13" s="3" customFormat="1">
      <c r="A382" s="1"/>
      <c r="B382" s="8"/>
      <c r="C382" s="5"/>
      <c r="D382" s="12"/>
      <c r="E382" s="9"/>
      <c r="F382" s="9"/>
      <c r="G382" s="5"/>
      <c r="H382" s="16"/>
      <c r="I382" s="69"/>
      <c r="J382" s="70"/>
      <c r="K382" s="71"/>
      <c r="L382" s="71"/>
      <c r="M382" s="5"/>
    </row>
    <row r="383" spans="1:13" s="3" customFormat="1">
      <c r="A383" s="1"/>
      <c r="B383" s="8"/>
      <c r="C383" s="5"/>
      <c r="D383" s="12"/>
      <c r="E383" s="9"/>
      <c r="F383" s="9"/>
      <c r="G383" s="5"/>
      <c r="H383" s="16"/>
      <c r="I383" s="69"/>
      <c r="J383" s="70"/>
      <c r="K383" s="71"/>
      <c r="L383" s="71"/>
      <c r="M383" s="5"/>
    </row>
    <row r="384" spans="1:13" s="3" customFormat="1">
      <c r="A384" s="1"/>
      <c r="B384" s="8"/>
      <c r="C384" s="5"/>
      <c r="D384" s="12"/>
      <c r="E384" s="9"/>
      <c r="F384" s="9"/>
      <c r="G384" s="5"/>
      <c r="H384" s="16"/>
      <c r="I384" s="69"/>
      <c r="J384" s="70"/>
      <c r="K384" s="71"/>
      <c r="L384" s="71"/>
      <c r="M384" s="5"/>
    </row>
    <row r="385" spans="1:13" s="3" customFormat="1">
      <c r="A385" s="1"/>
      <c r="B385" s="8"/>
      <c r="C385" s="5"/>
      <c r="D385" s="12"/>
      <c r="E385" s="9"/>
      <c r="F385" s="9"/>
      <c r="G385" s="5"/>
      <c r="H385" s="16"/>
      <c r="I385" s="69"/>
      <c r="J385" s="70"/>
      <c r="K385" s="71"/>
      <c r="L385" s="71"/>
      <c r="M385" s="5"/>
    </row>
    <row r="386" spans="1:13" s="3" customFormat="1">
      <c r="A386" s="1"/>
      <c r="B386" s="8"/>
      <c r="C386" s="5"/>
      <c r="D386" s="12"/>
      <c r="E386" s="9"/>
      <c r="F386" s="9"/>
      <c r="G386" s="5"/>
      <c r="H386" s="16"/>
      <c r="I386" s="69"/>
      <c r="J386" s="70"/>
      <c r="K386" s="71"/>
      <c r="L386" s="71"/>
      <c r="M386" s="5"/>
    </row>
    <row r="387" spans="1:13" s="3" customFormat="1">
      <c r="A387" s="1"/>
      <c r="B387" s="8"/>
      <c r="C387" s="5"/>
      <c r="D387" s="12"/>
      <c r="E387" s="9"/>
      <c r="F387" s="9"/>
      <c r="G387" s="5"/>
      <c r="H387" s="16"/>
      <c r="I387" s="69"/>
      <c r="J387" s="70"/>
      <c r="K387" s="71"/>
      <c r="L387" s="71"/>
      <c r="M387" s="5"/>
    </row>
    <row r="388" spans="1:13" s="3" customFormat="1">
      <c r="A388" s="1"/>
      <c r="B388" s="8"/>
      <c r="C388" s="5"/>
      <c r="D388" s="12"/>
      <c r="E388" s="9"/>
      <c r="F388" s="9"/>
      <c r="G388" s="5"/>
      <c r="H388" s="16"/>
      <c r="I388" s="69"/>
      <c r="J388" s="70"/>
      <c r="K388" s="71"/>
      <c r="L388" s="71"/>
      <c r="M388" s="5"/>
    </row>
    <row r="389" spans="1:13" s="3" customFormat="1">
      <c r="A389" s="1"/>
      <c r="B389" s="8"/>
      <c r="C389" s="5"/>
      <c r="D389" s="12"/>
      <c r="E389" s="9"/>
      <c r="F389" s="9"/>
      <c r="G389" s="5"/>
      <c r="H389" s="16"/>
      <c r="I389" s="69"/>
      <c r="J389" s="70"/>
      <c r="K389" s="71"/>
      <c r="L389" s="71"/>
      <c r="M389" s="5"/>
    </row>
    <row r="390" spans="1:13" s="3" customFormat="1">
      <c r="A390" s="1"/>
      <c r="B390" s="8"/>
      <c r="C390" s="5"/>
      <c r="D390" s="12"/>
      <c r="E390" s="9"/>
      <c r="F390" s="9"/>
      <c r="G390" s="5"/>
      <c r="H390" s="16"/>
      <c r="I390" s="69"/>
      <c r="J390" s="70"/>
      <c r="K390" s="71"/>
      <c r="L390" s="71"/>
      <c r="M390" s="5"/>
    </row>
    <row r="391" spans="1:13" s="3" customFormat="1">
      <c r="A391" s="1"/>
      <c r="B391" s="8"/>
      <c r="C391" s="5"/>
      <c r="D391" s="12"/>
      <c r="E391" s="9"/>
      <c r="F391" s="9"/>
      <c r="G391" s="5"/>
      <c r="H391" s="16"/>
      <c r="I391" s="69"/>
      <c r="J391" s="70"/>
      <c r="K391" s="71"/>
      <c r="L391" s="71"/>
      <c r="M391" s="5"/>
    </row>
    <row r="392" spans="1:13" s="3" customFormat="1">
      <c r="A392" s="1"/>
      <c r="B392" s="8"/>
      <c r="C392" s="5"/>
      <c r="D392" s="12"/>
      <c r="E392" s="9"/>
      <c r="F392" s="9"/>
      <c r="G392" s="5"/>
      <c r="H392" s="16"/>
      <c r="I392" s="69"/>
      <c r="J392" s="70"/>
      <c r="K392" s="71"/>
      <c r="L392" s="71"/>
      <c r="M392" s="5"/>
    </row>
    <row r="393" spans="1:13" s="3" customFormat="1">
      <c r="A393" s="1"/>
      <c r="B393" s="8"/>
      <c r="C393" s="5"/>
      <c r="D393" s="12"/>
      <c r="E393" s="9"/>
      <c r="F393" s="9"/>
      <c r="G393" s="5"/>
      <c r="H393" s="16"/>
      <c r="I393" s="69"/>
      <c r="J393" s="70"/>
      <c r="K393" s="71"/>
      <c r="L393" s="71"/>
      <c r="M393" s="5"/>
    </row>
    <row r="394" spans="1:13" s="3" customFormat="1">
      <c r="A394" s="1"/>
      <c r="B394" s="8"/>
      <c r="C394" s="5"/>
      <c r="D394" s="12"/>
      <c r="E394" s="9"/>
      <c r="F394" s="9"/>
      <c r="G394" s="5"/>
      <c r="H394" s="16"/>
      <c r="I394" s="69"/>
      <c r="J394" s="70"/>
      <c r="K394" s="71"/>
      <c r="L394" s="71"/>
      <c r="M394" s="5"/>
    </row>
    <row r="395" spans="1:13" s="3" customFormat="1">
      <c r="A395" s="1"/>
      <c r="B395" s="8"/>
      <c r="C395" s="5"/>
      <c r="D395" s="12"/>
      <c r="E395" s="9"/>
      <c r="F395" s="9"/>
      <c r="G395" s="5"/>
      <c r="H395" s="16"/>
      <c r="I395" s="69"/>
      <c r="J395" s="70"/>
      <c r="K395" s="71"/>
      <c r="L395" s="71"/>
      <c r="M395" s="5"/>
    </row>
    <row r="396" spans="1:13" s="3" customFormat="1">
      <c r="A396" s="1"/>
      <c r="B396" s="8"/>
      <c r="C396" s="5"/>
      <c r="D396" s="12"/>
      <c r="E396" s="9"/>
      <c r="F396" s="9"/>
      <c r="G396" s="5"/>
      <c r="H396" s="16"/>
      <c r="I396" s="69"/>
      <c r="J396" s="70"/>
      <c r="K396" s="71"/>
      <c r="L396" s="71"/>
      <c r="M396" s="5"/>
    </row>
    <row r="397" spans="1:13" s="3" customFormat="1">
      <c r="A397" s="1"/>
      <c r="B397" s="8"/>
      <c r="C397" s="5"/>
      <c r="D397" s="12"/>
      <c r="E397" s="9"/>
      <c r="F397" s="9"/>
      <c r="G397" s="5"/>
      <c r="H397" s="16"/>
      <c r="I397" s="69"/>
      <c r="J397" s="70"/>
      <c r="K397" s="71"/>
      <c r="L397" s="71"/>
      <c r="M397" s="5"/>
    </row>
    <row r="398" spans="1:13" s="3" customFormat="1">
      <c r="A398" s="1"/>
      <c r="B398" s="8"/>
      <c r="C398" s="5"/>
      <c r="D398" s="12"/>
      <c r="E398" s="9"/>
      <c r="F398" s="9"/>
      <c r="G398" s="5"/>
      <c r="H398" s="16"/>
      <c r="I398" s="69"/>
      <c r="J398" s="70"/>
      <c r="K398" s="71"/>
      <c r="L398" s="71"/>
      <c r="M398" s="5"/>
    </row>
    <row r="399" spans="1:13" s="3" customFormat="1">
      <c r="A399" s="1"/>
      <c r="B399" s="8"/>
      <c r="C399" s="5"/>
      <c r="D399" s="12"/>
      <c r="E399" s="9"/>
      <c r="F399" s="9"/>
      <c r="G399" s="5"/>
      <c r="H399" s="16"/>
      <c r="I399" s="69"/>
      <c r="J399" s="70"/>
      <c r="K399" s="71"/>
      <c r="L399" s="71"/>
      <c r="M399" s="5"/>
    </row>
    <row r="400" spans="1:13" s="3" customFormat="1">
      <c r="A400" s="1"/>
      <c r="B400" s="8"/>
      <c r="C400" s="5"/>
      <c r="D400" s="12"/>
      <c r="E400" s="9"/>
      <c r="F400" s="9"/>
      <c r="G400" s="5"/>
      <c r="H400" s="16"/>
      <c r="I400" s="69"/>
      <c r="J400" s="70"/>
      <c r="K400" s="71"/>
      <c r="L400" s="71"/>
      <c r="M400" s="5"/>
    </row>
    <row r="401" spans="1:13" s="3" customFormat="1">
      <c r="A401" s="1"/>
      <c r="B401" s="8"/>
      <c r="C401" s="5"/>
      <c r="D401" s="12"/>
      <c r="E401" s="9"/>
      <c r="F401" s="9"/>
      <c r="G401" s="5"/>
      <c r="H401" s="16"/>
      <c r="I401" s="69"/>
      <c r="J401" s="70"/>
      <c r="K401" s="71"/>
      <c r="L401" s="71"/>
      <c r="M401" s="5"/>
    </row>
    <row r="402" spans="1:13" s="3" customFormat="1">
      <c r="A402" s="1"/>
      <c r="B402" s="8"/>
      <c r="C402" s="5"/>
      <c r="D402" s="12"/>
      <c r="E402" s="9"/>
      <c r="F402" s="9"/>
      <c r="G402" s="5"/>
      <c r="H402" s="16"/>
      <c r="I402" s="69"/>
      <c r="J402" s="70"/>
      <c r="K402" s="71"/>
      <c r="L402" s="71"/>
      <c r="M402" s="5"/>
    </row>
    <row r="403" spans="1:13" s="3" customFormat="1">
      <c r="A403" s="1"/>
      <c r="B403" s="8"/>
      <c r="C403" s="5"/>
      <c r="D403" s="12"/>
      <c r="E403" s="9"/>
      <c r="F403" s="9"/>
      <c r="G403" s="5"/>
      <c r="H403" s="16"/>
      <c r="I403" s="69"/>
      <c r="J403" s="70"/>
      <c r="K403" s="71"/>
      <c r="L403" s="71"/>
      <c r="M403" s="5"/>
    </row>
    <row r="404" spans="1:13" s="3" customFormat="1">
      <c r="A404" s="1"/>
      <c r="B404" s="8"/>
      <c r="C404" s="5"/>
      <c r="D404" s="12"/>
      <c r="E404" s="9"/>
      <c r="F404" s="9"/>
      <c r="G404" s="5"/>
      <c r="H404" s="16"/>
      <c r="I404" s="69"/>
      <c r="J404" s="70"/>
      <c r="K404" s="71"/>
      <c r="L404" s="71"/>
      <c r="M404" s="5"/>
    </row>
    <row r="405" spans="1:13" s="3" customFormat="1">
      <c r="A405" s="1"/>
      <c r="B405" s="8"/>
      <c r="C405" s="5"/>
      <c r="D405" s="12"/>
      <c r="E405" s="9"/>
      <c r="F405" s="9"/>
      <c r="G405" s="5"/>
      <c r="H405" s="16"/>
      <c r="I405" s="69"/>
      <c r="J405" s="70"/>
      <c r="K405" s="71"/>
      <c r="L405" s="71"/>
      <c r="M405" s="5"/>
    </row>
    <row r="406" spans="1:13" s="3" customFormat="1">
      <c r="A406" s="1"/>
      <c r="B406" s="8"/>
      <c r="C406" s="5"/>
      <c r="D406" s="12"/>
      <c r="E406" s="9"/>
      <c r="F406" s="9"/>
      <c r="G406" s="5"/>
      <c r="H406" s="16"/>
      <c r="I406" s="69"/>
      <c r="J406" s="70"/>
      <c r="K406" s="71"/>
      <c r="L406" s="71"/>
      <c r="M406" s="5"/>
    </row>
    <row r="407" spans="1:13" s="3" customFormat="1">
      <c r="A407" s="1"/>
      <c r="B407" s="8"/>
      <c r="C407" s="5"/>
      <c r="D407" s="12"/>
      <c r="E407" s="9"/>
      <c r="F407" s="9"/>
      <c r="G407" s="5"/>
      <c r="H407" s="16"/>
      <c r="I407" s="69"/>
      <c r="J407" s="70"/>
      <c r="K407" s="71"/>
      <c r="L407" s="71"/>
      <c r="M407" s="5"/>
    </row>
    <row r="408" spans="1:13" s="3" customFormat="1">
      <c r="A408" s="1"/>
      <c r="B408" s="8"/>
      <c r="C408" s="5"/>
      <c r="D408" s="12"/>
      <c r="E408" s="9"/>
      <c r="F408" s="9"/>
      <c r="G408" s="5"/>
      <c r="H408" s="16"/>
      <c r="I408" s="69"/>
      <c r="J408" s="70"/>
      <c r="K408" s="71"/>
      <c r="L408" s="71"/>
      <c r="M408" s="5"/>
    </row>
    <row r="409" spans="1:13" s="3" customFormat="1">
      <c r="A409" s="1"/>
      <c r="B409" s="8"/>
      <c r="C409" s="5"/>
      <c r="D409" s="12"/>
      <c r="E409" s="9"/>
      <c r="F409" s="9"/>
      <c r="G409" s="5"/>
      <c r="H409" s="16"/>
      <c r="I409" s="69"/>
      <c r="J409" s="70"/>
      <c r="K409" s="71"/>
      <c r="L409" s="71"/>
      <c r="M409" s="5"/>
    </row>
    <row r="410" spans="1:13" s="3" customFormat="1">
      <c r="A410" s="1"/>
      <c r="B410" s="8"/>
      <c r="C410" s="5"/>
      <c r="D410" s="12"/>
      <c r="E410" s="9"/>
      <c r="F410" s="9"/>
      <c r="G410" s="5"/>
      <c r="H410" s="16"/>
      <c r="I410" s="69"/>
      <c r="J410" s="70"/>
      <c r="K410" s="71"/>
      <c r="L410" s="71"/>
      <c r="M410" s="5"/>
    </row>
    <row r="411" spans="1:13" s="3" customFormat="1">
      <c r="A411" s="1"/>
      <c r="B411" s="8"/>
      <c r="C411" s="5"/>
      <c r="D411" s="12"/>
      <c r="E411" s="9"/>
      <c r="F411" s="9"/>
      <c r="G411" s="5"/>
      <c r="H411" s="16"/>
      <c r="I411" s="69"/>
      <c r="J411" s="70"/>
      <c r="K411" s="71"/>
      <c r="L411" s="71"/>
      <c r="M411" s="5"/>
    </row>
    <row r="412" spans="1:13" s="3" customFormat="1">
      <c r="A412" s="1"/>
      <c r="B412" s="8"/>
      <c r="C412" s="5"/>
      <c r="D412" s="12"/>
      <c r="E412" s="9"/>
      <c r="F412" s="9"/>
      <c r="G412" s="5"/>
      <c r="H412" s="16"/>
      <c r="I412" s="69"/>
      <c r="J412" s="70"/>
      <c r="K412" s="71"/>
      <c r="L412" s="71"/>
      <c r="M412" s="5"/>
    </row>
    <row r="413" spans="1:13" s="3" customFormat="1">
      <c r="A413" s="1"/>
      <c r="B413" s="8"/>
      <c r="C413" s="5"/>
      <c r="D413" s="12"/>
      <c r="E413" s="9"/>
      <c r="F413" s="9"/>
      <c r="G413" s="5"/>
      <c r="H413" s="16"/>
      <c r="I413" s="69"/>
      <c r="J413" s="70"/>
      <c r="K413" s="71"/>
      <c r="L413" s="71"/>
      <c r="M413" s="5"/>
    </row>
    <row r="414" spans="1:13" s="3" customFormat="1">
      <c r="A414" s="1"/>
      <c r="B414" s="8"/>
      <c r="C414" s="5"/>
      <c r="D414" s="12"/>
      <c r="E414" s="9"/>
      <c r="F414" s="9"/>
      <c r="G414" s="5"/>
      <c r="H414" s="16"/>
      <c r="I414" s="69"/>
      <c r="J414" s="70"/>
      <c r="K414" s="71"/>
      <c r="L414" s="71"/>
      <c r="M414" s="5"/>
    </row>
    <row r="415" spans="1:13" s="3" customFormat="1">
      <c r="A415" s="1"/>
      <c r="B415" s="8"/>
      <c r="C415" s="5"/>
      <c r="D415" s="12"/>
      <c r="E415" s="9"/>
      <c r="F415" s="9"/>
      <c r="G415" s="5"/>
      <c r="H415" s="16"/>
      <c r="I415" s="69"/>
      <c r="J415" s="70"/>
      <c r="K415" s="71"/>
      <c r="L415" s="71"/>
      <c r="M415" s="5"/>
    </row>
    <row r="416" spans="1:13" s="3" customFormat="1">
      <c r="A416" s="1"/>
      <c r="B416" s="8"/>
      <c r="C416" s="5"/>
      <c r="D416" s="12"/>
      <c r="E416" s="9"/>
      <c r="F416" s="9"/>
      <c r="G416" s="5"/>
      <c r="H416" s="16"/>
      <c r="I416" s="69"/>
      <c r="J416" s="70"/>
      <c r="K416" s="71"/>
      <c r="L416" s="71"/>
      <c r="M416" s="5"/>
    </row>
    <row r="417" spans="1:13" s="3" customFormat="1">
      <c r="A417" s="1"/>
      <c r="B417" s="8"/>
      <c r="C417" s="5"/>
      <c r="D417" s="12"/>
      <c r="E417" s="9"/>
      <c r="F417" s="9"/>
      <c r="G417" s="5"/>
      <c r="H417" s="16"/>
      <c r="I417" s="69"/>
      <c r="J417" s="70"/>
      <c r="K417" s="71"/>
      <c r="L417" s="71"/>
      <c r="M417" s="5"/>
    </row>
    <row r="418" spans="1:13" s="3" customFormat="1">
      <c r="A418" s="1"/>
      <c r="B418" s="8"/>
      <c r="C418" s="5"/>
      <c r="D418" s="12"/>
      <c r="E418" s="9"/>
      <c r="F418" s="9"/>
      <c r="G418" s="5"/>
      <c r="H418" s="16"/>
      <c r="I418" s="69"/>
      <c r="J418" s="70"/>
      <c r="K418" s="71"/>
      <c r="L418" s="71"/>
      <c r="M418" s="5"/>
    </row>
    <row r="419" spans="1:13" s="3" customFormat="1">
      <c r="A419" s="1"/>
      <c r="B419" s="8"/>
      <c r="C419" s="5"/>
      <c r="D419" s="12"/>
      <c r="E419" s="9"/>
      <c r="F419" s="9"/>
      <c r="G419" s="5"/>
      <c r="H419" s="16"/>
      <c r="I419" s="69"/>
      <c r="J419" s="70"/>
      <c r="K419" s="71"/>
      <c r="L419" s="71"/>
      <c r="M419" s="5"/>
    </row>
    <row r="420" spans="1:13" s="3" customFormat="1">
      <c r="A420" s="1"/>
      <c r="B420" s="8"/>
      <c r="C420" s="5"/>
      <c r="D420" s="12"/>
      <c r="E420" s="9"/>
      <c r="F420" s="9"/>
      <c r="G420" s="5"/>
      <c r="H420" s="16"/>
      <c r="I420" s="69"/>
      <c r="J420" s="70"/>
      <c r="K420" s="71"/>
      <c r="L420" s="71"/>
      <c r="M420" s="5"/>
    </row>
    <row r="421" spans="1:13" s="3" customFormat="1">
      <c r="A421" s="1"/>
      <c r="B421" s="8"/>
      <c r="C421" s="5"/>
      <c r="D421" s="12"/>
      <c r="E421" s="9"/>
      <c r="F421" s="9"/>
      <c r="G421" s="5"/>
      <c r="H421" s="16"/>
      <c r="I421" s="69"/>
      <c r="J421" s="70"/>
      <c r="K421" s="71"/>
      <c r="L421" s="71"/>
      <c r="M421" s="5"/>
    </row>
    <row r="422" spans="1:13" s="3" customFormat="1">
      <c r="A422" s="1"/>
      <c r="B422" s="8"/>
      <c r="C422" s="5"/>
      <c r="D422" s="12"/>
      <c r="E422" s="9"/>
      <c r="F422" s="9"/>
      <c r="G422" s="5"/>
      <c r="H422" s="16"/>
      <c r="I422" s="69"/>
      <c r="J422" s="70"/>
      <c r="K422" s="71"/>
      <c r="L422" s="71"/>
      <c r="M422" s="5"/>
    </row>
    <row r="423" spans="1:13" s="3" customFormat="1">
      <c r="A423" s="1"/>
      <c r="B423" s="8"/>
      <c r="C423" s="5"/>
      <c r="D423" s="12"/>
      <c r="E423" s="9"/>
      <c r="F423" s="9"/>
      <c r="G423" s="5"/>
      <c r="H423" s="16"/>
      <c r="I423" s="69"/>
      <c r="J423" s="70"/>
      <c r="K423" s="71"/>
      <c r="L423" s="71"/>
      <c r="M423" s="5"/>
    </row>
    <row r="424" spans="1:13" s="3" customFormat="1">
      <c r="A424" s="1"/>
      <c r="B424" s="8"/>
      <c r="C424" s="5"/>
      <c r="D424" s="12"/>
      <c r="E424" s="9"/>
      <c r="F424" s="9"/>
      <c r="G424" s="5"/>
      <c r="H424" s="16"/>
      <c r="I424" s="69"/>
      <c r="J424" s="70"/>
      <c r="K424" s="71"/>
      <c r="L424" s="71"/>
      <c r="M424" s="5"/>
    </row>
    <row r="425" spans="1:13" s="3" customFormat="1">
      <c r="A425" s="1"/>
      <c r="B425" s="8"/>
      <c r="C425" s="5"/>
      <c r="D425" s="12"/>
      <c r="E425" s="9"/>
      <c r="F425" s="9"/>
      <c r="G425" s="5"/>
      <c r="H425" s="16"/>
      <c r="I425" s="69"/>
      <c r="J425" s="70"/>
      <c r="K425" s="71"/>
      <c r="L425" s="71"/>
      <c r="M425" s="5"/>
    </row>
    <row r="426" spans="1:13" s="3" customFormat="1">
      <c r="A426" s="1"/>
      <c r="B426" s="8"/>
      <c r="C426" s="5"/>
      <c r="D426" s="12"/>
      <c r="E426" s="9"/>
      <c r="F426" s="9"/>
      <c r="G426" s="5"/>
      <c r="H426" s="16"/>
      <c r="I426" s="69"/>
      <c r="J426" s="70"/>
      <c r="K426" s="71"/>
      <c r="L426" s="71"/>
      <c r="M426" s="5"/>
    </row>
    <row r="427" spans="1:13" s="3" customFormat="1">
      <c r="A427" s="1"/>
      <c r="B427" s="8"/>
      <c r="C427" s="5"/>
      <c r="D427" s="12"/>
      <c r="E427" s="9"/>
      <c r="F427" s="9"/>
      <c r="G427" s="5"/>
      <c r="H427" s="16"/>
      <c r="I427" s="69"/>
      <c r="J427" s="70"/>
      <c r="K427" s="71"/>
      <c r="L427" s="71"/>
      <c r="M427" s="5"/>
    </row>
    <row r="428" spans="1:13" s="3" customFormat="1">
      <c r="A428" s="1"/>
      <c r="B428" s="8"/>
      <c r="C428" s="5"/>
      <c r="D428" s="12"/>
      <c r="E428" s="9"/>
      <c r="F428" s="9"/>
      <c r="G428" s="5"/>
      <c r="H428" s="16"/>
      <c r="I428" s="69"/>
      <c r="J428" s="70"/>
      <c r="K428" s="71"/>
      <c r="L428" s="71"/>
      <c r="M428" s="5"/>
    </row>
    <row r="429" spans="1:13" s="3" customFormat="1">
      <c r="A429" s="1"/>
      <c r="B429" s="8"/>
      <c r="C429" s="5"/>
      <c r="D429" s="12"/>
      <c r="E429" s="9"/>
      <c r="F429" s="9"/>
      <c r="G429" s="5"/>
      <c r="H429" s="16"/>
      <c r="I429" s="69"/>
      <c r="J429" s="70"/>
      <c r="K429" s="71"/>
      <c r="L429" s="71"/>
      <c r="M429" s="5"/>
    </row>
    <row r="430" spans="1:13" s="3" customFormat="1">
      <c r="A430" s="1"/>
      <c r="B430" s="8"/>
      <c r="C430" s="5"/>
      <c r="D430" s="12"/>
      <c r="E430" s="9"/>
      <c r="F430" s="9"/>
      <c r="G430" s="5"/>
      <c r="H430" s="16"/>
      <c r="I430" s="69"/>
      <c r="J430" s="70"/>
      <c r="K430" s="71"/>
      <c r="L430" s="71"/>
      <c r="M430" s="5"/>
    </row>
    <row r="431" spans="1:13" s="3" customFormat="1">
      <c r="A431" s="1"/>
      <c r="B431" s="8"/>
      <c r="C431" s="5"/>
      <c r="D431" s="12"/>
      <c r="E431" s="9"/>
      <c r="F431" s="9"/>
      <c r="G431" s="5"/>
      <c r="H431" s="16"/>
      <c r="I431" s="69"/>
      <c r="J431" s="70"/>
      <c r="K431" s="71"/>
      <c r="L431" s="71"/>
      <c r="M431" s="5"/>
    </row>
    <row r="432" spans="1:13" s="3" customFormat="1">
      <c r="A432" s="1"/>
      <c r="B432" s="8"/>
      <c r="C432" s="5"/>
      <c r="D432" s="12"/>
      <c r="E432" s="9"/>
      <c r="F432" s="9"/>
      <c r="G432" s="5"/>
      <c r="H432" s="16"/>
      <c r="I432" s="69"/>
      <c r="J432" s="70"/>
      <c r="K432" s="71"/>
      <c r="L432" s="71"/>
      <c r="M432" s="5"/>
    </row>
    <row r="433" spans="1:13" s="3" customFormat="1">
      <c r="A433" s="1"/>
      <c r="B433" s="8"/>
      <c r="C433" s="5"/>
      <c r="D433" s="12"/>
      <c r="E433" s="9"/>
      <c r="F433" s="9"/>
      <c r="G433" s="5"/>
      <c r="H433" s="16"/>
      <c r="I433" s="69"/>
      <c r="J433" s="70"/>
      <c r="K433" s="71"/>
      <c r="L433" s="71"/>
      <c r="M433" s="5"/>
    </row>
    <row r="434" spans="1:13" s="3" customFormat="1">
      <c r="A434" s="1"/>
      <c r="B434" s="8"/>
      <c r="C434" s="5"/>
      <c r="D434" s="12"/>
      <c r="E434" s="9"/>
      <c r="F434" s="9"/>
      <c r="G434" s="5"/>
      <c r="H434" s="16"/>
      <c r="I434" s="69"/>
      <c r="J434" s="70"/>
      <c r="K434" s="71"/>
      <c r="L434" s="71"/>
      <c r="M434" s="5"/>
    </row>
    <row r="435" spans="1:13" s="3" customFormat="1">
      <c r="A435" s="1"/>
      <c r="B435" s="8"/>
      <c r="C435" s="5"/>
      <c r="D435" s="12"/>
      <c r="E435" s="9"/>
      <c r="F435" s="9"/>
      <c r="G435" s="5"/>
      <c r="H435" s="16"/>
      <c r="I435" s="69"/>
      <c r="J435" s="70"/>
      <c r="K435" s="71"/>
      <c r="L435" s="71"/>
      <c r="M435" s="5"/>
    </row>
    <row r="436" spans="1:13" s="3" customFormat="1">
      <c r="A436" s="1"/>
      <c r="B436" s="8"/>
      <c r="C436" s="5"/>
      <c r="D436" s="12"/>
      <c r="E436" s="9"/>
      <c r="F436" s="9"/>
      <c r="G436" s="5"/>
      <c r="H436" s="16"/>
      <c r="I436" s="69"/>
      <c r="J436" s="70"/>
      <c r="K436" s="71"/>
      <c r="L436" s="71"/>
      <c r="M436" s="5"/>
    </row>
    <row r="437" spans="1:13" s="3" customFormat="1">
      <c r="A437" s="1"/>
      <c r="B437" s="8"/>
      <c r="C437" s="5"/>
      <c r="D437" s="12"/>
      <c r="E437" s="9"/>
      <c r="F437" s="9"/>
      <c r="G437" s="5"/>
      <c r="H437" s="16"/>
      <c r="I437" s="69"/>
      <c r="J437" s="70"/>
      <c r="K437" s="71"/>
      <c r="L437" s="71"/>
      <c r="M437" s="5"/>
    </row>
    <row r="438" spans="1:13" s="3" customFormat="1">
      <c r="A438" s="1"/>
      <c r="B438" s="8"/>
      <c r="C438" s="5"/>
      <c r="D438" s="12"/>
      <c r="E438" s="9"/>
      <c r="F438" s="9"/>
      <c r="G438" s="5"/>
      <c r="H438" s="16"/>
      <c r="I438" s="69"/>
      <c r="J438" s="70"/>
      <c r="K438" s="71"/>
      <c r="L438" s="71"/>
      <c r="M438" s="5"/>
    </row>
    <row r="439" spans="1:13" s="3" customFormat="1">
      <c r="A439" s="1"/>
      <c r="B439" s="8"/>
      <c r="C439" s="5"/>
      <c r="D439" s="12"/>
      <c r="E439" s="9"/>
      <c r="F439" s="9"/>
      <c r="G439" s="5"/>
      <c r="H439" s="16"/>
      <c r="I439" s="69"/>
      <c r="J439" s="70"/>
      <c r="K439" s="71"/>
      <c r="L439" s="71"/>
      <c r="M439" s="5"/>
    </row>
    <row r="440" spans="1:13" s="3" customFormat="1">
      <c r="A440" s="1"/>
      <c r="B440" s="8"/>
      <c r="C440" s="5"/>
      <c r="D440" s="12"/>
      <c r="E440" s="9"/>
      <c r="F440" s="9"/>
      <c r="G440" s="5"/>
      <c r="H440" s="16"/>
      <c r="I440" s="69"/>
      <c r="J440" s="70"/>
      <c r="K440" s="71"/>
      <c r="L440" s="71"/>
      <c r="M440" s="5"/>
    </row>
    <row r="441" spans="1:13" s="3" customFormat="1">
      <c r="A441" s="1"/>
      <c r="B441" s="8"/>
      <c r="C441" s="5"/>
      <c r="D441" s="12"/>
      <c r="E441" s="9"/>
      <c r="F441" s="9"/>
      <c r="G441" s="5"/>
      <c r="H441" s="16"/>
      <c r="I441" s="69"/>
      <c r="J441" s="70"/>
      <c r="K441" s="71"/>
      <c r="L441" s="71"/>
      <c r="M441" s="5"/>
    </row>
    <row r="442" spans="1:13" s="3" customFormat="1">
      <c r="A442" s="1"/>
      <c r="B442" s="8"/>
      <c r="C442" s="5"/>
      <c r="D442" s="12"/>
      <c r="E442" s="9"/>
      <c r="F442" s="9"/>
      <c r="G442" s="5"/>
      <c r="H442" s="16"/>
      <c r="I442" s="69"/>
      <c r="J442" s="70"/>
      <c r="K442" s="71"/>
      <c r="L442" s="71"/>
      <c r="M442" s="5"/>
    </row>
    <row r="443" spans="1:13" s="3" customFormat="1">
      <c r="A443" s="1"/>
      <c r="B443" s="8"/>
      <c r="C443" s="5"/>
      <c r="D443" s="12"/>
      <c r="E443" s="9"/>
      <c r="F443" s="9"/>
      <c r="G443" s="5"/>
      <c r="H443" s="16"/>
      <c r="I443" s="69"/>
      <c r="J443" s="70"/>
      <c r="K443" s="71"/>
      <c r="L443" s="71"/>
      <c r="M443" s="5"/>
    </row>
    <row r="444" spans="1:13" s="3" customFormat="1">
      <c r="A444" s="1"/>
      <c r="B444" s="8"/>
      <c r="C444" s="5"/>
      <c r="D444" s="12"/>
      <c r="E444" s="9"/>
      <c r="F444" s="9"/>
      <c r="G444" s="5"/>
      <c r="H444" s="16"/>
      <c r="I444" s="69"/>
      <c r="J444" s="70"/>
      <c r="K444" s="71"/>
      <c r="L444" s="71"/>
      <c r="M444" s="5"/>
    </row>
    <row r="445" spans="1:13" s="3" customFormat="1">
      <c r="A445" s="1"/>
      <c r="B445" s="8"/>
      <c r="C445" s="5"/>
      <c r="D445" s="12"/>
      <c r="E445" s="9"/>
      <c r="F445" s="9"/>
      <c r="G445" s="5"/>
      <c r="H445" s="16"/>
      <c r="I445" s="69"/>
      <c r="J445" s="70"/>
      <c r="K445" s="71"/>
      <c r="L445" s="71"/>
      <c r="M445" s="5"/>
    </row>
    <row r="446" spans="1:13" s="3" customFormat="1">
      <c r="A446" s="1"/>
      <c r="B446" s="8"/>
      <c r="C446" s="5"/>
      <c r="D446" s="12"/>
      <c r="E446" s="9"/>
      <c r="F446" s="9"/>
      <c r="G446" s="5"/>
      <c r="H446" s="16"/>
      <c r="I446" s="69"/>
      <c r="J446" s="70"/>
      <c r="K446" s="71"/>
      <c r="L446" s="71"/>
      <c r="M446" s="5"/>
    </row>
    <row r="447" spans="1:13" s="3" customFormat="1">
      <c r="A447" s="1"/>
      <c r="B447" s="8"/>
      <c r="C447" s="5"/>
      <c r="D447" s="12"/>
      <c r="E447" s="9"/>
      <c r="F447" s="9"/>
      <c r="G447" s="5"/>
      <c r="H447" s="16"/>
      <c r="I447" s="69"/>
      <c r="J447" s="70"/>
      <c r="K447" s="71"/>
      <c r="L447" s="71"/>
      <c r="M447" s="5"/>
    </row>
    <row r="448" spans="1:13" s="3" customFormat="1">
      <c r="A448" s="1"/>
      <c r="B448" s="8"/>
      <c r="C448" s="5"/>
      <c r="D448" s="12"/>
      <c r="E448" s="9"/>
      <c r="F448" s="9"/>
      <c r="G448" s="5"/>
      <c r="H448" s="16"/>
      <c r="I448" s="69"/>
      <c r="J448" s="70"/>
      <c r="K448" s="71"/>
      <c r="L448" s="71"/>
      <c r="M448" s="5"/>
    </row>
    <row r="449" spans="1:13" s="3" customFormat="1">
      <c r="A449" s="1"/>
      <c r="B449" s="8"/>
      <c r="C449" s="5"/>
      <c r="D449" s="12"/>
      <c r="E449" s="9"/>
      <c r="F449" s="9"/>
      <c r="G449" s="5"/>
      <c r="H449" s="16"/>
      <c r="I449" s="69"/>
      <c r="J449" s="70"/>
      <c r="K449" s="71"/>
      <c r="L449" s="71"/>
      <c r="M449" s="5"/>
    </row>
    <row r="450" spans="1:13" s="3" customFormat="1">
      <c r="A450" s="1"/>
      <c r="B450" s="8"/>
      <c r="C450" s="5"/>
      <c r="D450" s="12"/>
      <c r="E450" s="9"/>
      <c r="F450" s="9"/>
      <c r="G450" s="5"/>
      <c r="H450" s="16"/>
      <c r="I450" s="69"/>
      <c r="J450" s="70"/>
      <c r="K450" s="71"/>
      <c r="L450" s="71"/>
      <c r="M450" s="5"/>
    </row>
    <row r="451" spans="1:13" s="3" customFormat="1">
      <c r="A451" s="1"/>
      <c r="B451" s="8"/>
      <c r="C451" s="5"/>
      <c r="D451" s="12"/>
      <c r="E451" s="9"/>
      <c r="F451" s="9"/>
      <c r="G451" s="5"/>
      <c r="H451" s="16"/>
      <c r="I451" s="69"/>
      <c r="J451" s="70"/>
      <c r="K451" s="71"/>
      <c r="L451" s="71"/>
      <c r="M451" s="5"/>
    </row>
    <row r="452" spans="1:13" s="3" customFormat="1">
      <c r="A452" s="1"/>
      <c r="B452" s="8"/>
      <c r="C452" s="5"/>
      <c r="D452" s="12"/>
      <c r="E452" s="9"/>
      <c r="F452" s="9"/>
      <c r="G452" s="5"/>
      <c r="H452" s="16"/>
      <c r="I452" s="69"/>
      <c r="J452" s="70"/>
      <c r="K452" s="71"/>
      <c r="L452" s="71"/>
      <c r="M452" s="5"/>
    </row>
    <row r="453" spans="1:13" s="3" customFormat="1">
      <c r="A453" s="1"/>
      <c r="B453" s="8"/>
      <c r="C453" s="5"/>
      <c r="D453" s="12"/>
      <c r="E453" s="9"/>
      <c r="F453" s="9"/>
      <c r="G453" s="5"/>
      <c r="H453" s="16"/>
      <c r="I453" s="69"/>
      <c r="J453" s="70"/>
      <c r="K453" s="71"/>
      <c r="L453" s="71"/>
      <c r="M453" s="5"/>
    </row>
    <row r="454" spans="1:13" s="3" customFormat="1">
      <c r="A454" s="1"/>
      <c r="B454" s="8"/>
      <c r="C454" s="5"/>
      <c r="D454" s="12"/>
      <c r="E454" s="9"/>
      <c r="F454" s="9"/>
      <c r="G454" s="5"/>
      <c r="H454" s="16"/>
      <c r="I454" s="69"/>
      <c r="J454" s="70"/>
      <c r="K454" s="71"/>
      <c r="L454" s="71"/>
      <c r="M454" s="5"/>
    </row>
    <row r="455" spans="1:13" s="3" customFormat="1">
      <c r="A455" s="1"/>
      <c r="B455" s="8"/>
      <c r="C455" s="5"/>
      <c r="D455" s="12"/>
      <c r="E455" s="9"/>
      <c r="F455" s="9"/>
      <c r="G455" s="5"/>
      <c r="H455" s="16"/>
      <c r="I455" s="69"/>
      <c r="J455" s="70"/>
      <c r="K455" s="71"/>
      <c r="L455" s="71"/>
      <c r="M455" s="5"/>
    </row>
    <row r="456" spans="1:13" s="3" customFormat="1">
      <c r="A456" s="1"/>
      <c r="B456" s="8"/>
      <c r="C456" s="5"/>
      <c r="D456" s="12"/>
      <c r="E456" s="9"/>
      <c r="F456" s="9"/>
      <c r="G456" s="5"/>
      <c r="H456" s="16"/>
      <c r="I456" s="69"/>
      <c r="J456" s="70"/>
      <c r="K456" s="71"/>
      <c r="L456" s="71"/>
      <c r="M456" s="5"/>
    </row>
    <row r="457" spans="1:13" s="3" customFormat="1">
      <c r="A457" s="1"/>
      <c r="B457" s="8"/>
      <c r="C457" s="5"/>
      <c r="D457" s="12"/>
      <c r="E457" s="9"/>
      <c r="F457" s="9"/>
      <c r="G457" s="5"/>
      <c r="H457" s="16"/>
      <c r="I457" s="69"/>
      <c r="J457" s="70"/>
      <c r="K457" s="71"/>
      <c r="L457" s="71"/>
      <c r="M457" s="5"/>
    </row>
    <row r="458" spans="1:13" s="3" customFormat="1">
      <c r="A458" s="1"/>
      <c r="B458" s="8"/>
      <c r="C458" s="5"/>
      <c r="D458" s="12"/>
      <c r="E458" s="9"/>
      <c r="F458" s="9"/>
      <c r="G458" s="5"/>
      <c r="H458" s="16"/>
      <c r="I458" s="69"/>
      <c r="J458" s="70"/>
      <c r="K458" s="71"/>
      <c r="L458" s="71"/>
      <c r="M458" s="5"/>
    </row>
    <row r="459" spans="1:13" s="3" customFormat="1">
      <c r="A459" s="1"/>
      <c r="B459" s="8"/>
      <c r="C459" s="5"/>
      <c r="D459" s="12"/>
      <c r="E459" s="9"/>
      <c r="F459" s="9"/>
      <c r="G459" s="5"/>
      <c r="H459" s="16"/>
      <c r="I459" s="69"/>
      <c r="J459" s="70"/>
      <c r="K459" s="71"/>
      <c r="L459" s="71"/>
      <c r="M459" s="5"/>
    </row>
    <row r="460" spans="1:13" s="3" customFormat="1">
      <c r="A460" s="1"/>
      <c r="B460" s="8"/>
      <c r="C460" s="5"/>
      <c r="D460" s="12"/>
      <c r="E460" s="9"/>
      <c r="F460" s="9"/>
      <c r="G460" s="5"/>
      <c r="H460" s="16"/>
      <c r="I460" s="69"/>
      <c r="J460" s="70"/>
      <c r="K460" s="71"/>
      <c r="L460" s="71"/>
      <c r="M460" s="5"/>
    </row>
    <row r="461" spans="1:13" s="3" customFormat="1">
      <c r="A461" s="1"/>
      <c r="B461" s="8"/>
      <c r="C461" s="5"/>
      <c r="D461" s="12"/>
      <c r="E461" s="9"/>
      <c r="F461" s="9"/>
      <c r="G461" s="5"/>
      <c r="H461" s="16"/>
      <c r="I461" s="69"/>
      <c r="J461" s="70"/>
      <c r="K461" s="71"/>
      <c r="L461" s="71"/>
      <c r="M461" s="5"/>
    </row>
    <row r="462" spans="1:13" s="3" customFormat="1">
      <c r="A462" s="1"/>
      <c r="B462" s="8"/>
      <c r="C462" s="5"/>
      <c r="D462" s="12"/>
      <c r="E462" s="9"/>
      <c r="F462" s="9"/>
      <c r="G462" s="5"/>
      <c r="H462" s="16"/>
      <c r="I462" s="69"/>
      <c r="J462" s="70"/>
      <c r="K462" s="71"/>
      <c r="L462" s="71"/>
      <c r="M462" s="5"/>
    </row>
    <row r="463" spans="1:13" s="3" customFormat="1">
      <c r="A463" s="1"/>
      <c r="B463" s="8"/>
      <c r="C463" s="5"/>
      <c r="D463" s="12"/>
      <c r="E463" s="9"/>
      <c r="F463" s="9"/>
      <c r="G463" s="5"/>
      <c r="H463" s="16"/>
      <c r="I463" s="69"/>
      <c r="J463" s="70"/>
      <c r="K463" s="71"/>
      <c r="L463" s="71"/>
      <c r="M463" s="5"/>
    </row>
    <row r="464" spans="1:13" s="3" customFormat="1">
      <c r="A464" s="1"/>
      <c r="B464" s="8"/>
      <c r="C464" s="5"/>
      <c r="D464" s="12"/>
      <c r="E464" s="9"/>
      <c r="F464" s="9"/>
      <c r="G464" s="5"/>
      <c r="H464" s="16"/>
      <c r="I464" s="69"/>
      <c r="J464" s="70"/>
      <c r="K464" s="71"/>
      <c r="L464" s="71"/>
      <c r="M464" s="5"/>
    </row>
    <row r="465" spans="1:13" s="3" customFormat="1">
      <c r="A465" s="1"/>
      <c r="B465" s="8"/>
      <c r="C465" s="5"/>
      <c r="D465" s="12"/>
      <c r="E465" s="9"/>
      <c r="F465" s="9"/>
      <c r="G465" s="5"/>
      <c r="H465" s="16"/>
      <c r="I465" s="69"/>
      <c r="J465" s="70"/>
      <c r="K465" s="71"/>
      <c r="L465" s="71"/>
      <c r="M465" s="5"/>
    </row>
    <row r="466" spans="1:13" s="3" customFormat="1">
      <c r="A466" s="1"/>
      <c r="B466" s="8"/>
      <c r="C466" s="5"/>
      <c r="D466" s="12"/>
      <c r="E466" s="9"/>
      <c r="F466" s="9"/>
      <c r="G466" s="5"/>
      <c r="H466" s="16"/>
      <c r="I466" s="69"/>
      <c r="J466" s="70"/>
      <c r="K466" s="71"/>
      <c r="L466" s="71"/>
      <c r="M466" s="5"/>
    </row>
    <row r="467" spans="1:13" s="3" customFormat="1">
      <c r="A467" s="1"/>
      <c r="B467" s="8"/>
      <c r="C467" s="5"/>
      <c r="D467" s="12"/>
      <c r="E467" s="9"/>
      <c r="F467" s="9"/>
      <c r="G467" s="5"/>
      <c r="H467" s="16"/>
      <c r="I467" s="69"/>
      <c r="J467" s="70"/>
      <c r="K467" s="71"/>
      <c r="L467" s="71"/>
      <c r="M467" s="5"/>
    </row>
    <row r="468" spans="1:13" s="3" customFormat="1">
      <c r="A468" s="1"/>
      <c r="B468" s="8"/>
      <c r="C468" s="5"/>
      <c r="D468" s="12"/>
      <c r="E468" s="9"/>
      <c r="F468" s="9"/>
      <c r="G468" s="5"/>
      <c r="H468" s="16"/>
      <c r="I468" s="69"/>
      <c r="J468" s="70"/>
      <c r="K468" s="71"/>
      <c r="L468" s="71"/>
      <c r="M468" s="5"/>
    </row>
    <row r="469" spans="1:13" s="3" customFormat="1">
      <c r="A469" s="1"/>
      <c r="B469" s="8"/>
      <c r="C469" s="5"/>
      <c r="D469" s="12"/>
      <c r="E469" s="9"/>
      <c r="F469" s="9"/>
      <c r="G469" s="5"/>
      <c r="H469" s="16"/>
      <c r="I469" s="69"/>
      <c r="J469" s="70"/>
      <c r="K469" s="71"/>
      <c r="L469" s="71"/>
      <c r="M469" s="5"/>
    </row>
    <row r="470" spans="1:13" s="3" customFormat="1">
      <c r="A470" s="1"/>
      <c r="B470" s="8"/>
      <c r="C470" s="5"/>
      <c r="D470" s="12"/>
      <c r="E470" s="9"/>
      <c r="F470" s="9"/>
      <c r="G470" s="5"/>
      <c r="H470" s="16"/>
      <c r="I470" s="69"/>
      <c r="J470" s="70"/>
      <c r="K470" s="71"/>
      <c r="L470" s="71"/>
      <c r="M470" s="5"/>
    </row>
    <row r="471" spans="1:13" s="3" customFormat="1">
      <c r="A471" s="1"/>
      <c r="B471" s="8"/>
      <c r="C471" s="5"/>
      <c r="D471" s="12"/>
      <c r="E471" s="9"/>
      <c r="F471" s="9"/>
      <c r="G471" s="5"/>
      <c r="H471" s="16"/>
      <c r="I471" s="69"/>
      <c r="J471" s="70"/>
      <c r="K471" s="71"/>
      <c r="L471" s="71"/>
      <c r="M471" s="5"/>
    </row>
    <row r="472" spans="1:13" s="3" customFormat="1">
      <c r="A472" s="1"/>
      <c r="B472" s="8"/>
      <c r="C472" s="5"/>
      <c r="D472" s="12"/>
      <c r="E472" s="9"/>
      <c r="F472" s="9"/>
      <c r="G472" s="5"/>
      <c r="H472" s="16"/>
      <c r="I472" s="69"/>
      <c r="J472" s="70"/>
      <c r="K472" s="71"/>
      <c r="L472" s="71"/>
      <c r="M472" s="5"/>
    </row>
    <row r="473" spans="1:13" s="3" customFormat="1">
      <c r="A473" s="1"/>
      <c r="B473" s="8"/>
      <c r="C473" s="5"/>
      <c r="D473" s="12"/>
      <c r="E473" s="9"/>
      <c r="F473" s="9"/>
      <c r="G473" s="5"/>
      <c r="H473" s="16"/>
      <c r="I473" s="69"/>
      <c r="J473" s="70"/>
      <c r="K473" s="71"/>
      <c r="L473" s="71"/>
      <c r="M473" s="5"/>
    </row>
    <row r="474" spans="1:13" s="3" customFormat="1">
      <c r="A474" s="1"/>
      <c r="B474" s="8"/>
      <c r="C474" s="5"/>
      <c r="D474" s="12"/>
      <c r="E474" s="9"/>
      <c r="F474" s="9"/>
      <c r="G474" s="5"/>
      <c r="H474" s="16"/>
      <c r="I474" s="69"/>
      <c r="J474" s="70"/>
      <c r="K474" s="71"/>
      <c r="L474" s="71"/>
      <c r="M474" s="5"/>
    </row>
    <row r="475" spans="1:13" s="3" customFormat="1">
      <c r="A475" s="1"/>
      <c r="B475" s="8"/>
      <c r="C475" s="5"/>
      <c r="D475" s="12"/>
      <c r="E475" s="9"/>
      <c r="F475" s="9"/>
      <c r="G475" s="5"/>
      <c r="H475" s="16"/>
      <c r="I475" s="69"/>
      <c r="J475" s="70"/>
      <c r="K475" s="71"/>
      <c r="L475" s="71"/>
      <c r="M475" s="5"/>
    </row>
    <row r="476" spans="1:13" s="3" customFormat="1">
      <c r="A476" s="1"/>
      <c r="B476" s="8"/>
      <c r="C476" s="5"/>
      <c r="D476" s="12"/>
      <c r="E476" s="9"/>
      <c r="F476" s="9"/>
      <c r="G476" s="5"/>
      <c r="H476" s="16"/>
      <c r="I476" s="69"/>
      <c r="J476" s="70"/>
      <c r="K476" s="71"/>
      <c r="L476" s="71"/>
      <c r="M476" s="5"/>
    </row>
    <row r="477" spans="1:13" s="3" customFormat="1">
      <c r="A477" s="1"/>
      <c r="B477" s="8"/>
      <c r="C477" s="5"/>
      <c r="D477" s="12"/>
      <c r="E477" s="9"/>
      <c r="F477" s="9"/>
      <c r="G477" s="5"/>
      <c r="H477" s="16"/>
      <c r="I477" s="69"/>
      <c r="J477" s="70"/>
      <c r="K477" s="71"/>
      <c r="L477" s="71"/>
      <c r="M477" s="5"/>
    </row>
    <row r="478" spans="1:13" s="3" customFormat="1">
      <c r="A478" s="1"/>
      <c r="B478" s="8"/>
      <c r="C478" s="5"/>
      <c r="D478" s="12"/>
      <c r="E478" s="9"/>
      <c r="F478" s="9"/>
      <c r="G478" s="5"/>
      <c r="H478" s="16"/>
      <c r="I478" s="69"/>
      <c r="J478" s="70"/>
      <c r="K478" s="71"/>
      <c r="L478" s="71"/>
      <c r="M478" s="5"/>
    </row>
    <row r="479" spans="1:13" s="3" customFormat="1">
      <c r="A479" s="1"/>
      <c r="B479" s="8"/>
      <c r="C479" s="5"/>
      <c r="D479" s="12"/>
      <c r="E479" s="9"/>
      <c r="F479" s="9"/>
      <c r="G479" s="5"/>
      <c r="H479" s="16"/>
      <c r="I479" s="69"/>
      <c r="J479" s="70"/>
      <c r="K479" s="71"/>
      <c r="L479" s="71"/>
      <c r="M479" s="5"/>
    </row>
    <row r="480" spans="1:13" s="3" customFormat="1">
      <c r="A480" s="1"/>
      <c r="B480" s="8"/>
      <c r="C480" s="5"/>
      <c r="D480" s="12"/>
      <c r="E480" s="9"/>
      <c r="F480" s="9"/>
      <c r="G480" s="5"/>
      <c r="H480" s="16"/>
      <c r="I480" s="69"/>
      <c r="J480" s="70"/>
      <c r="K480" s="71"/>
      <c r="L480" s="71"/>
      <c r="M480" s="5"/>
    </row>
    <row r="481" spans="1:13" s="3" customFormat="1">
      <c r="A481" s="1"/>
      <c r="B481" s="8"/>
      <c r="C481" s="5"/>
      <c r="D481" s="12"/>
      <c r="E481" s="9"/>
      <c r="F481" s="9"/>
      <c r="G481" s="5"/>
      <c r="H481" s="16"/>
      <c r="I481" s="69"/>
      <c r="J481" s="70"/>
      <c r="K481" s="71"/>
      <c r="L481" s="71"/>
      <c r="M481" s="5"/>
    </row>
    <row r="482" spans="1:13" s="3" customFormat="1">
      <c r="A482" s="1"/>
      <c r="B482" s="8"/>
      <c r="C482" s="5"/>
      <c r="D482" s="12"/>
      <c r="E482" s="9"/>
      <c r="F482" s="9"/>
      <c r="G482" s="5"/>
      <c r="H482" s="16"/>
      <c r="I482" s="69"/>
      <c r="J482" s="70"/>
      <c r="K482" s="71"/>
      <c r="L482" s="71"/>
      <c r="M482" s="5"/>
    </row>
    <row r="483" spans="1:13" s="3" customFormat="1">
      <c r="A483" s="1"/>
      <c r="B483" s="8"/>
      <c r="C483" s="5"/>
      <c r="D483" s="12"/>
      <c r="E483" s="9"/>
      <c r="F483" s="9"/>
      <c r="G483" s="5"/>
      <c r="H483" s="16"/>
      <c r="I483" s="69"/>
      <c r="J483" s="70"/>
      <c r="K483" s="71"/>
      <c r="L483" s="71"/>
      <c r="M483" s="5"/>
    </row>
    <row r="484" spans="1:13" s="3" customFormat="1">
      <c r="A484" s="1"/>
      <c r="B484" s="8"/>
      <c r="C484" s="5"/>
      <c r="D484" s="12"/>
      <c r="E484" s="9"/>
      <c r="F484" s="9"/>
      <c r="G484" s="5"/>
      <c r="H484" s="16"/>
      <c r="I484" s="69"/>
      <c r="J484" s="70"/>
      <c r="K484" s="71"/>
      <c r="L484" s="71"/>
      <c r="M484" s="5"/>
    </row>
    <row r="485" spans="1:13" s="3" customFormat="1">
      <c r="A485" s="1"/>
      <c r="B485" s="8"/>
      <c r="C485" s="5"/>
      <c r="D485" s="12"/>
      <c r="E485" s="9"/>
      <c r="F485" s="9"/>
      <c r="G485" s="5"/>
      <c r="H485" s="16"/>
      <c r="I485" s="69"/>
      <c r="J485" s="70"/>
      <c r="K485" s="71"/>
      <c r="L485" s="71"/>
      <c r="M485" s="5"/>
    </row>
    <row r="486" spans="1:13" s="3" customFormat="1">
      <c r="A486" s="1"/>
      <c r="B486" s="8"/>
      <c r="C486" s="5"/>
      <c r="D486" s="12"/>
      <c r="E486" s="9"/>
      <c r="F486" s="9"/>
      <c r="G486" s="5"/>
      <c r="H486" s="16"/>
      <c r="I486" s="69"/>
      <c r="J486" s="70"/>
      <c r="K486" s="71"/>
      <c r="L486" s="71"/>
      <c r="M486" s="5"/>
    </row>
    <row r="487" spans="1:13" s="3" customFormat="1">
      <c r="A487" s="1"/>
      <c r="B487" s="8"/>
      <c r="C487" s="5"/>
      <c r="D487" s="12"/>
      <c r="E487" s="9"/>
      <c r="F487" s="9"/>
      <c r="G487" s="5"/>
      <c r="H487" s="16"/>
      <c r="I487" s="69"/>
      <c r="J487" s="70"/>
      <c r="K487" s="71"/>
      <c r="L487" s="71"/>
      <c r="M487" s="5"/>
    </row>
    <row r="488" spans="1:13" s="3" customFormat="1">
      <c r="A488" s="1"/>
      <c r="B488" s="8"/>
      <c r="C488" s="5"/>
      <c r="D488" s="12"/>
      <c r="E488" s="9"/>
      <c r="F488" s="9"/>
      <c r="G488" s="5"/>
      <c r="H488" s="16"/>
      <c r="I488" s="69"/>
      <c r="J488" s="70"/>
      <c r="K488" s="71"/>
      <c r="L488" s="71"/>
      <c r="M488" s="5"/>
    </row>
    <row r="489" spans="1:13" s="3" customFormat="1">
      <c r="A489" s="1"/>
      <c r="B489" s="8"/>
      <c r="C489" s="5"/>
      <c r="D489" s="12"/>
      <c r="E489" s="9"/>
      <c r="F489" s="9"/>
      <c r="G489" s="5"/>
      <c r="H489" s="16"/>
      <c r="I489" s="69"/>
      <c r="J489" s="70"/>
      <c r="K489" s="71"/>
      <c r="L489" s="71"/>
      <c r="M489" s="5"/>
    </row>
    <row r="490" spans="1:13" s="3" customFormat="1">
      <c r="A490" s="1"/>
      <c r="B490" s="8"/>
      <c r="C490" s="5"/>
      <c r="D490" s="12"/>
      <c r="E490" s="9"/>
      <c r="F490" s="9"/>
      <c r="G490" s="5"/>
      <c r="H490" s="16"/>
      <c r="I490" s="69"/>
      <c r="J490" s="70"/>
      <c r="K490" s="71"/>
      <c r="L490" s="71"/>
      <c r="M490" s="5"/>
    </row>
    <row r="491" spans="1:13" s="3" customFormat="1">
      <c r="A491" s="1"/>
      <c r="B491" s="8"/>
      <c r="C491" s="5"/>
      <c r="D491" s="12"/>
      <c r="E491" s="9"/>
      <c r="F491" s="9"/>
      <c r="G491" s="5"/>
      <c r="H491" s="16"/>
      <c r="I491" s="69"/>
      <c r="J491" s="70"/>
      <c r="K491" s="71"/>
      <c r="L491" s="71"/>
      <c r="M491" s="5"/>
    </row>
    <row r="492" spans="1:13" s="3" customFormat="1">
      <c r="A492" s="1"/>
      <c r="B492" s="8"/>
      <c r="C492" s="5"/>
      <c r="D492" s="12"/>
      <c r="E492" s="9"/>
      <c r="F492" s="9"/>
      <c r="G492" s="5"/>
      <c r="H492" s="16"/>
      <c r="I492" s="69"/>
      <c r="J492" s="70"/>
      <c r="K492" s="71"/>
      <c r="L492" s="71"/>
      <c r="M492" s="5"/>
    </row>
    <row r="493" spans="1:13" s="3" customFormat="1">
      <c r="A493" s="1"/>
      <c r="B493" s="8"/>
      <c r="C493" s="5"/>
      <c r="D493" s="12"/>
      <c r="E493" s="9"/>
      <c r="F493" s="9"/>
      <c r="G493" s="5"/>
      <c r="H493" s="16"/>
      <c r="I493" s="69"/>
      <c r="J493" s="70"/>
      <c r="K493" s="71"/>
      <c r="L493" s="71"/>
      <c r="M493" s="5"/>
    </row>
    <row r="494" spans="1:13" s="3" customFormat="1">
      <c r="A494" s="1"/>
      <c r="B494" s="8"/>
      <c r="C494" s="5"/>
      <c r="D494" s="12"/>
      <c r="E494" s="9"/>
      <c r="F494" s="9"/>
      <c r="G494" s="5"/>
      <c r="H494" s="16"/>
      <c r="I494" s="69"/>
      <c r="J494" s="70"/>
      <c r="K494" s="71"/>
      <c r="L494" s="71"/>
      <c r="M494" s="5"/>
    </row>
    <row r="495" spans="1:13" s="3" customFormat="1">
      <c r="A495" s="1"/>
      <c r="B495" s="8"/>
      <c r="C495" s="5"/>
      <c r="D495" s="12"/>
      <c r="E495" s="9"/>
      <c r="F495" s="9"/>
      <c r="G495" s="5"/>
      <c r="H495" s="16"/>
      <c r="I495" s="69"/>
      <c r="J495" s="70"/>
      <c r="K495" s="71"/>
      <c r="L495" s="71"/>
      <c r="M495" s="5"/>
    </row>
    <row r="496" spans="1:13" s="3" customFormat="1">
      <c r="A496" s="1"/>
      <c r="B496" s="8"/>
      <c r="C496" s="5"/>
      <c r="D496" s="12"/>
      <c r="E496" s="9"/>
      <c r="F496" s="9"/>
      <c r="G496" s="5"/>
      <c r="H496" s="16"/>
      <c r="I496" s="69"/>
      <c r="J496" s="70"/>
      <c r="K496" s="71"/>
      <c r="L496" s="71"/>
      <c r="M496" s="5"/>
    </row>
    <row r="497" spans="1:13" s="3" customFormat="1">
      <c r="A497" s="1"/>
      <c r="B497" s="8"/>
      <c r="C497" s="5"/>
      <c r="D497" s="12"/>
      <c r="E497" s="9"/>
      <c r="F497" s="9"/>
      <c r="G497" s="5"/>
      <c r="H497" s="16"/>
      <c r="I497" s="69"/>
      <c r="J497" s="70"/>
      <c r="K497" s="71"/>
      <c r="L497" s="71"/>
      <c r="M497" s="5"/>
    </row>
    <row r="498" spans="1:13" s="3" customFormat="1">
      <c r="A498" s="1"/>
      <c r="B498" s="8"/>
      <c r="C498" s="5"/>
      <c r="D498" s="12"/>
      <c r="E498" s="9"/>
      <c r="F498" s="9"/>
      <c r="G498" s="5"/>
      <c r="H498" s="16"/>
      <c r="I498" s="69"/>
      <c r="J498" s="70"/>
      <c r="K498" s="71"/>
      <c r="L498" s="71"/>
      <c r="M498" s="5"/>
    </row>
    <row r="499" spans="1:13" s="3" customFormat="1">
      <c r="A499" s="1"/>
      <c r="B499" s="8"/>
      <c r="C499" s="5"/>
      <c r="D499" s="12"/>
      <c r="E499" s="9"/>
      <c r="F499" s="9"/>
      <c r="G499" s="5"/>
      <c r="H499" s="16"/>
      <c r="I499" s="69"/>
      <c r="J499" s="70"/>
      <c r="K499" s="71"/>
      <c r="L499" s="71"/>
      <c r="M499" s="5"/>
    </row>
    <row r="500" spans="1:13" s="3" customFormat="1">
      <c r="A500" s="1"/>
      <c r="B500" s="8"/>
      <c r="C500" s="5"/>
      <c r="D500" s="12"/>
      <c r="E500" s="9"/>
      <c r="F500" s="9"/>
      <c r="G500" s="5"/>
      <c r="H500" s="16"/>
      <c r="I500" s="69"/>
      <c r="J500" s="70"/>
      <c r="K500" s="71"/>
      <c r="L500" s="71"/>
      <c r="M500" s="5"/>
    </row>
    <row r="501" spans="1:13" s="3" customFormat="1">
      <c r="A501" s="1"/>
      <c r="B501" s="8"/>
      <c r="C501" s="5"/>
      <c r="D501" s="12"/>
      <c r="E501" s="9"/>
      <c r="F501" s="9"/>
      <c r="G501" s="5"/>
      <c r="H501" s="16"/>
      <c r="I501" s="69"/>
      <c r="J501" s="70"/>
      <c r="K501" s="71"/>
      <c r="L501" s="71"/>
      <c r="M501" s="5"/>
    </row>
    <row r="502" spans="1:13" s="3" customFormat="1">
      <c r="A502" s="1"/>
      <c r="B502" s="8"/>
      <c r="C502" s="5"/>
      <c r="D502" s="12"/>
      <c r="E502" s="9"/>
      <c r="F502" s="9"/>
      <c r="G502" s="5"/>
      <c r="H502" s="16"/>
      <c r="I502" s="69"/>
      <c r="J502" s="70"/>
      <c r="K502" s="71"/>
      <c r="L502" s="71"/>
      <c r="M502" s="5"/>
    </row>
    <row r="503" spans="1:13" s="3" customFormat="1">
      <c r="A503" s="1"/>
      <c r="B503" s="8"/>
      <c r="C503" s="5"/>
      <c r="D503" s="12"/>
      <c r="E503" s="9"/>
      <c r="F503" s="9"/>
      <c r="G503" s="5"/>
      <c r="H503" s="16"/>
      <c r="I503" s="69"/>
      <c r="J503" s="70"/>
      <c r="K503" s="71"/>
      <c r="L503" s="71"/>
      <c r="M503" s="5"/>
    </row>
    <row r="504" spans="1:13" s="3" customFormat="1">
      <c r="A504" s="1"/>
      <c r="B504" s="8"/>
      <c r="C504" s="5"/>
      <c r="D504" s="12"/>
      <c r="E504" s="9"/>
      <c r="F504" s="9"/>
      <c r="G504" s="5"/>
      <c r="H504" s="16"/>
      <c r="I504" s="69"/>
      <c r="J504" s="70"/>
      <c r="K504" s="71"/>
      <c r="L504" s="71"/>
      <c r="M504" s="5"/>
    </row>
    <row r="505" spans="1:13" s="3" customFormat="1">
      <c r="A505" s="1"/>
      <c r="B505" s="8"/>
      <c r="C505" s="5"/>
      <c r="D505" s="12"/>
      <c r="E505" s="9"/>
      <c r="F505" s="9"/>
      <c r="G505" s="5"/>
      <c r="H505" s="16"/>
      <c r="I505" s="69"/>
      <c r="J505" s="70"/>
      <c r="K505" s="71"/>
      <c r="L505" s="71"/>
      <c r="M505" s="5"/>
    </row>
    <row r="506" spans="1:13" s="3" customFormat="1">
      <c r="A506" s="1"/>
      <c r="B506" s="8"/>
      <c r="C506" s="5"/>
      <c r="D506" s="12"/>
      <c r="E506" s="9"/>
      <c r="F506" s="9"/>
      <c r="G506" s="5"/>
      <c r="H506" s="16"/>
      <c r="I506" s="69"/>
      <c r="J506" s="70"/>
      <c r="K506" s="71"/>
      <c r="L506" s="71"/>
      <c r="M506" s="5"/>
    </row>
    <row r="507" spans="1:13" s="3" customFormat="1">
      <c r="A507" s="1"/>
      <c r="B507" s="8"/>
      <c r="C507" s="5"/>
      <c r="D507" s="12"/>
      <c r="E507" s="9"/>
      <c r="F507" s="9"/>
      <c r="G507" s="5"/>
      <c r="H507" s="16"/>
      <c r="I507" s="69"/>
      <c r="J507" s="70"/>
      <c r="K507" s="71"/>
      <c r="L507" s="71"/>
      <c r="M507" s="5"/>
    </row>
    <row r="508" spans="1:13" s="3" customFormat="1">
      <c r="A508" s="1"/>
      <c r="B508" s="8"/>
      <c r="C508" s="5"/>
      <c r="D508" s="12"/>
      <c r="E508" s="9"/>
      <c r="F508" s="9"/>
      <c r="G508" s="5"/>
      <c r="H508" s="16"/>
      <c r="I508" s="69"/>
      <c r="J508" s="70"/>
      <c r="K508" s="71"/>
      <c r="L508" s="71"/>
      <c r="M508" s="5"/>
    </row>
    <row r="509" spans="1:13" s="3" customFormat="1">
      <c r="A509" s="1"/>
      <c r="B509" s="8"/>
      <c r="C509" s="5"/>
      <c r="D509" s="12"/>
      <c r="E509" s="9"/>
      <c r="F509" s="9"/>
      <c r="G509" s="5"/>
      <c r="H509" s="16"/>
      <c r="I509" s="69"/>
      <c r="J509" s="70"/>
      <c r="K509" s="71"/>
      <c r="L509" s="71"/>
      <c r="M509" s="5"/>
    </row>
    <row r="510" spans="1:13" s="3" customFormat="1">
      <c r="A510" s="1"/>
      <c r="B510" s="8"/>
      <c r="C510" s="5"/>
      <c r="D510" s="12"/>
      <c r="E510" s="9"/>
      <c r="F510" s="9"/>
      <c r="G510" s="5"/>
      <c r="H510" s="16"/>
      <c r="I510" s="69"/>
      <c r="J510" s="70"/>
      <c r="K510" s="71"/>
      <c r="L510" s="71"/>
      <c r="M510" s="5"/>
    </row>
    <row r="511" spans="1:13" s="3" customFormat="1">
      <c r="A511" s="1"/>
      <c r="B511" s="8"/>
      <c r="C511" s="5"/>
      <c r="D511" s="12"/>
      <c r="E511" s="9"/>
      <c r="F511" s="9"/>
      <c r="G511" s="5"/>
      <c r="H511" s="16"/>
      <c r="I511" s="69"/>
      <c r="J511" s="70"/>
      <c r="K511" s="71"/>
      <c r="L511" s="71"/>
      <c r="M511" s="5"/>
    </row>
    <row r="512" spans="1:13" s="3" customFormat="1">
      <c r="A512" s="1"/>
      <c r="B512" s="8"/>
      <c r="C512" s="5"/>
      <c r="D512" s="12"/>
      <c r="E512" s="9"/>
      <c r="F512" s="9"/>
      <c r="G512" s="5"/>
      <c r="H512" s="16"/>
      <c r="I512" s="69"/>
      <c r="J512" s="70"/>
      <c r="K512" s="71"/>
      <c r="L512" s="71"/>
      <c r="M512" s="5"/>
    </row>
    <row r="513" spans="1:13" s="3" customFormat="1">
      <c r="A513" s="1"/>
      <c r="B513" s="8"/>
      <c r="C513" s="5"/>
      <c r="D513" s="12"/>
      <c r="E513" s="9"/>
      <c r="F513" s="9"/>
      <c r="G513" s="5"/>
      <c r="H513" s="16"/>
      <c r="I513" s="69"/>
      <c r="J513" s="70"/>
      <c r="K513" s="71"/>
      <c r="L513" s="71"/>
      <c r="M513" s="5"/>
    </row>
    <row r="514" spans="1:13" s="3" customFormat="1">
      <c r="A514" s="1"/>
      <c r="B514" s="8"/>
      <c r="C514" s="5"/>
      <c r="D514" s="12"/>
      <c r="E514" s="9"/>
      <c r="F514" s="9"/>
      <c r="G514" s="5"/>
      <c r="H514" s="16"/>
      <c r="I514" s="69"/>
      <c r="J514" s="70"/>
      <c r="K514" s="71"/>
      <c r="L514" s="71"/>
      <c r="M514" s="5"/>
    </row>
    <row r="515" spans="1:13" s="3" customFormat="1">
      <c r="A515" s="1"/>
      <c r="B515" s="8"/>
      <c r="C515" s="5"/>
      <c r="D515" s="12"/>
      <c r="E515" s="9"/>
      <c r="F515" s="9"/>
      <c r="G515" s="5"/>
      <c r="H515" s="16"/>
      <c r="I515" s="69"/>
      <c r="J515" s="70"/>
      <c r="K515" s="71"/>
      <c r="L515" s="71"/>
      <c r="M515" s="5"/>
    </row>
    <row r="516" spans="1:13" s="3" customFormat="1">
      <c r="A516" s="1"/>
      <c r="B516" s="8"/>
      <c r="C516" s="5"/>
      <c r="D516" s="12"/>
      <c r="E516" s="9"/>
      <c r="F516" s="9"/>
      <c r="G516" s="5"/>
      <c r="H516" s="16"/>
      <c r="I516" s="69"/>
      <c r="J516" s="70"/>
      <c r="K516" s="71"/>
      <c r="L516" s="71"/>
      <c r="M516" s="5"/>
    </row>
    <row r="517" spans="1:13" s="3" customFormat="1">
      <c r="A517" s="1"/>
      <c r="B517" s="8"/>
      <c r="C517" s="5"/>
      <c r="D517" s="12"/>
      <c r="E517" s="9"/>
      <c r="F517" s="9"/>
      <c r="G517" s="5"/>
      <c r="H517" s="16"/>
      <c r="I517" s="69"/>
      <c r="J517" s="70"/>
      <c r="K517" s="71"/>
      <c r="L517" s="71"/>
      <c r="M517" s="5"/>
    </row>
    <row r="518" spans="1:13" s="3" customFormat="1">
      <c r="A518" s="1"/>
      <c r="B518" s="8"/>
      <c r="C518" s="5"/>
      <c r="D518" s="12"/>
      <c r="E518" s="9"/>
      <c r="F518" s="9"/>
      <c r="G518" s="5"/>
      <c r="H518" s="16"/>
      <c r="I518" s="69"/>
      <c r="J518" s="70"/>
      <c r="K518" s="71"/>
      <c r="L518" s="71"/>
      <c r="M518" s="5"/>
    </row>
    <row r="519" spans="1:13" s="3" customFormat="1">
      <c r="A519" s="1"/>
      <c r="B519" s="8"/>
      <c r="C519" s="5"/>
      <c r="D519" s="12"/>
      <c r="E519" s="9"/>
      <c r="F519" s="9"/>
      <c r="G519" s="5"/>
      <c r="H519" s="16"/>
      <c r="I519" s="69"/>
      <c r="J519" s="70"/>
      <c r="K519" s="71"/>
      <c r="L519" s="71"/>
      <c r="M519" s="5"/>
    </row>
    <row r="520" spans="1:13" s="3" customFormat="1">
      <c r="A520" s="1"/>
      <c r="B520" s="8"/>
      <c r="C520" s="5"/>
      <c r="D520" s="12"/>
      <c r="E520" s="9"/>
      <c r="F520" s="9"/>
      <c r="G520" s="5"/>
      <c r="H520" s="16"/>
      <c r="I520" s="69"/>
      <c r="J520" s="70"/>
      <c r="K520" s="71"/>
      <c r="L520" s="71"/>
      <c r="M520" s="5"/>
    </row>
    <row r="521" spans="1:13" s="3" customFormat="1">
      <c r="A521" s="1"/>
      <c r="B521" s="8"/>
      <c r="C521" s="5"/>
      <c r="D521" s="12"/>
      <c r="E521" s="9"/>
      <c r="F521" s="9"/>
      <c r="G521" s="5"/>
      <c r="H521" s="16"/>
      <c r="I521" s="69"/>
      <c r="J521" s="70"/>
      <c r="K521" s="71"/>
      <c r="L521" s="71"/>
      <c r="M521" s="5"/>
    </row>
    <row r="522" spans="1:13" s="3" customFormat="1">
      <c r="A522" s="1"/>
      <c r="B522" s="8"/>
      <c r="C522" s="5"/>
      <c r="D522" s="12"/>
      <c r="E522" s="9"/>
      <c r="F522" s="9"/>
      <c r="G522" s="5"/>
      <c r="H522" s="16"/>
      <c r="I522" s="69"/>
      <c r="J522" s="70"/>
      <c r="K522" s="71"/>
      <c r="L522" s="71"/>
      <c r="M522" s="5"/>
    </row>
    <row r="523" spans="1:13" s="3" customFormat="1">
      <c r="A523" s="1"/>
      <c r="B523" s="8"/>
      <c r="C523" s="5"/>
      <c r="D523" s="12"/>
      <c r="E523" s="9"/>
      <c r="F523" s="9"/>
      <c r="G523" s="5"/>
      <c r="H523" s="16"/>
      <c r="I523" s="69"/>
      <c r="J523" s="70"/>
      <c r="K523" s="71"/>
      <c r="L523" s="71"/>
      <c r="M523" s="5"/>
    </row>
    <row r="524" spans="1:13" s="3" customFormat="1">
      <c r="A524" s="1"/>
      <c r="B524" s="8"/>
      <c r="C524" s="5"/>
      <c r="D524" s="12"/>
      <c r="E524" s="9"/>
      <c r="F524" s="9"/>
      <c r="G524" s="5"/>
      <c r="H524" s="16"/>
      <c r="I524" s="69"/>
      <c r="J524" s="70"/>
      <c r="K524" s="71"/>
      <c r="L524" s="71"/>
      <c r="M524" s="5"/>
    </row>
    <row r="525" spans="1:13" s="3" customFormat="1">
      <c r="A525" s="1"/>
      <c r="B525" s="8"/>
      <c r="C525" s="5"/>
      <c r="D525" s="12"/>
      <c r="E525" s="9"/>
      <c r="F525" s="9"/>
      <c r="G525" s="5"/>
      <c r="H525" s="16"/>
      <c r="I525" s="69"/>
      <c r="J525" s="70"/>
      <c r="K525" s="71"/>
      <c r="L525" s="71"/>
      <c r="M525" s="5"/>
    </row>
    <row r="526" spans="1:13" s="3" customFormat="1">
      <c r="A526" s="1"/>
      <c r="B526" s="8"/>
      <c r="C526" s="5"/>
      <c r="D526" s="12"/>
      <c r="E526" s="9"/>
      <c r="F526" s="9"/>
      <c r="G526" s="5"/>
      <c r="H526" s="16"/>
      <c r="I526" s="69"/>
      <c r="J526" s="70"/>
      <c r="K526" s="71"/>
      <c r="L526" s="71"/>
      <c r="M526" s="5"/>
    </row>
    <row r="527" spans="1:13" s="3" customFormat="1">
      <c r="A527" s="1"/>
      <c r="B527" s="8"/>
      <c r="C527" s="5"/>
      <c r="D527" s="12"/>
      <c r="E527" s="9"/>
      <c r="F527" s="9"/>
      <c r="G527" s="5"/>
      <c r="H527" s="16"/>
      <c r="I527" s="69"/>
      <c r="J527" s="70"/>
      <c r="K527" s="71"/>
      <c r="L527" s="71"/>
      <c r="M527" s="5"/>
    </row>
    <row r="528" spans="1:13" s="3" customFormat="1">
      <c r="A528" s="1"/>
      <c r="B528" s="8"/>
      <c r="C528" s="5"/>
      <c r="D528" s="12"/>
      <c r="E528" s="9"/>
      <c r="F528" s="9"/>
      <c r="G528" s="5"/>
      <c r="H528" s="16"/>
      <c r="I528" s="69"/>
      <c r="J528" s="70"/>
      <c r="K528" s="71"/>
      <c r="L528" s="71"/>
      <c r="M528" s="5"/>
    </row>
    <row r="529" spans="1:13" s="3" customFormat="1">
      <c r="A529" s="1"/>
      <c r="B529" s="8"/>
      <c r="C529" s="5"/>
      <c r="D529" s="12"/>
      <c r="E529" s="9"/>
      <c r="F529" s="9"/>
      <c r="G529" s="5"/>
      <c r="H529" s="16"/>
      <c r="I529" s="69"/>
      <c r="J529" s="70"/>
      <c r="K529" s="71"/>
      <c r="L529" s="71"/>
      <c r="M529" s="5"/>
    </row>
    <row r="530" spans="1:13" s="3" customFormat="1">
      <c r="A530" s="1"/>
      <c r="B530" s="8"/>
      <c r="C530" s="5"/>
      <c r="D530" s="12"/>
      <c r="E530" s="9"/>
      <c r="F530" s="9"/>
      <c r="G530" s="5"/>
      <c r="H530" s="16"/>
      <c r="I530" s="69"/>
      <c r="J530" s="70"/>
      <c r="K530" s="71"/>
      <c r="L530" s="71"/>
      <c r="M530" s="5"/>
    </row>
    <row r="531" spans="1:13" s="3" customFormat="1">
      <c r="A531" s="1"/>
      <c r="B531" s="8"/>
      <c r="C531" s="5"/>
      <c r="D531" s="12"/>
      <c r="E531" s="9"/>
      <c r="F531" s="9"/>
      <c r="G531" s="5"/>
      <c r="H531" s="16"/>
      <c r="I531" s="69"/>
      <c r="J531" s="70"/>
      <c r="K531" s="71"/>
      <c r="L531" s="71"/>
      <c r="M531" s="5"/>
    </row>
    <row r="532" spans="1:13" s="3" customFormat="1">
      <c r="A532" s="1"/>
      <c r="B532" s="8"/>
      <c r="C532" s="5"/>
      <c r="D532" s="12"/>
      <c r="E532" s="9"/>
      <c r="F532" s="9"/>
      <c r="G532" s="5"/>
      <c r="H532" s="16"/>
      <c r="I532" s="69"/>
      <c r="J532" s="70"/>
      <c r="K532" s="71"/>
      <c r="L532" s="71"/>
      <c r="M532" s="5"/>
    </row>
    <row r="533" spans="1:13" s="3" customFormat="1">
      <c r="A533" s="1"/>
      <c r="B533" s="8"/>
      <c r="C533" s="5"/>
      <c r="D533" s="12"/>
      <c r="E533" s="9"/>
      <c r="F533" s="9"/>
      <c r="G533" s="5"/>
      <c r="H533" s="16"/>
      <c r="I533" s="69"/>
      <c r="J533" s="70"/>
      <c r="K533" s="71"/>
      <c r="L533" s="71"/>
      <c r="M533" s="5"/>
    </row>
    <row r="534" spans="1:13" s="3" customFormat="1">
      <c r="A534" s="1"/>
      <c r="B534" s="8"/>
      <c r="C534" s="5"/>
      <c r="D534" s="12"/>
      <c r="E534" s="9"/>
      <c r="F534" s="9"/>
      <c r="G534" s="5"/>
      <c r="H534" s="16"/>
      <c r="I534" s="69"/>
      <c r="J534" s="70"/>
      <c r="K534" s="71"/>
      <c r="L534" s="71"/>
      <c r="M534" s="5"/>
    </row>
    <row r="535" spans="1:13" s="3" customFormat="1">
      <c r="A535" s="1"/>
      <c r="B535" s="8"/>
      <c r="C535" s="5"/>
      <c r="D535" s="12"/>
      <c r="E535" s="9"/>
      <c r="F535" s="9"/>
      <c r="G535" s="5"/>
      <c r="H535" s="16"/>
      <c r="I535" s="69"/>
      <c r="J535" s="70"/>
      <c r="K535" s="71"/>
      <c r="L535" s="71"/>
      <c r="M535" s="5"/>
    </row>
    <row r="536" spans="1:13" s="3" customFormat="1">
      <c r="A536" s="1"/>
      <c r="B536" s="8"/>
      <c r="C536" s="5"/>
      <c r="D536" s="12"/>
      <c r="E536" s="9"/>
      <c r="F536" s="9"/>
      <c r="G536" s="5"/>
      <c r="H536" s="16"/>
      <c r="I536" s="69"/>
      <c r="J536" s="70"/>
      <c r="K536" s="71"/>
      <c r="L536" s="71"/>
      <c r="M536" s="5"/>
    </row>
    <row r="537" spans="1:13" s="3" customFormat="1">
      <c r="A537" s="1"/>
      <c r="B537" s="8"/>
      <c r="C537" s="5"/>
      <c r="D537" s="12"/>
      <c r="E537" s="9"/>
      <c r="F537" s="9"/>
      <c r="G537" s="5"/>
      <c r="H537" s="16"/>
      <c r="I537" s="69"/>
      <c r="J537" s="70"/>
      <c r="K537" s="71"/>
      <c r="L537" s="71"/>
      <c r="M537" s="5"/>
    </row>
    <row r="538" spans="1:13" s="3" customFormat="1">
      <c r="A538" s="1"/>
      <c r="B538" s="8"/>
      <c r="C538" s="5"/>
      <c r="D538" s="12"/>
      <c r="E538" s="9"/>
      <c r="F538" s="9"/>
      <c r="G538" s="5"/>
      <c r="H538" s="16"/>
      <c r="I538" s="69"/>
      <c r="J538" s="70"/>
      <c r="K538" s="71"/>
      <c r="L538" s="71"/>
      <c r="M538" s="5"/>
    </row>
    <row r="539" spans="1:13" s="3" customFormat="1">
      <c r="A539" s="1"/>
      <c r="B539" s="8"/>
      <c r="C539" s="5"/>
      <c r="D539" s="12"/>
      <c r="E539" s="9"/>
      <c r="F539" s="9"/>
      <c r="G539" s="5"/>
      <c r="H539" s="16"/>
      <c r="I539" s="69"/>
      <c r="J539" s="70"/>
      <c r="K539" s="71"/>
      <c r="L539" s="71"/>
      <c r="M539" s="5"/>
    </row>
    <row r="540" spans="1:13" s="3" customFormat="1">
      <c r="A540" s="1"/>
      <c r="B540" s="8"/>
      <c r="C540" s="5"/>
      <c r="D540" s="12"/>
      <c r="E540" s="9"/>
      <c r="F540" s="9"/>
      <c r="G540" s="5"/>
      <c r="H540" s="16"/>
      <c r="I540" s="69"/>
      <c r="J540" s="70"/>
      <c r="K540" s="71"/>
      <c r="L540" s="71"/>
      <c r="M540" s="5"/>
    </row>
    <row r="541" spans="1:13" s="3" customFormat="1">
      <c r="A541" s="1"/>
      <c r="B541" s="8"/>
      <c r="C541" s="5"/>
      <c r="D541" s="12"/>
      <c r="E541" s="9"/>
      <c r="F541" s="9"/>
      <c r="G541" s="5"/>
      <c r="H541" s="16"/>
      <c r="I541" s="69"/>
      <c r="J541" s="70"/>
      <c r="K541" s="71"/>
      <c r="L541" s="71"/>
      <c r="M541" s="5"/>
    </row>
    <row r="542" spans="1:13" s="3" customFormat="1">
      <c r="A542" s="1"/>
      <c r="B542" s="8"/>
      <c r="C542" s="5"/>
      <c r="D542" s="12"/>
      <c r="E542" s="9"/>
      <c r="F542" s="9"/>
      <c r="G542" s="5"/>
      <c r="H542" s="16"/>
      <c r="I542" s="69"/>
      <c r="J542" s="70"/>
      <c r="K542" s="71"/>
      <c r="L542" s="71"/>
      <c r="M542" s="5"/>
    </row>
    <row r="543" spans="1:13" s="3" customFormat="1">
      <c r="A543" s="1"/>
      <c r="B543" s="8"/>
      <c r="C543" s="5"/>
      <c r="D543" s="12"/>
      <c r="E543" s="9"/>
      <c r="F543" s="9"/>
      <c r="G543" s="5"/>
      <c r="H543" s="16"/>
      <c r="I543" s="69"/>
      <c r="J543" s="70"/>
      <c r="K543" s="71"/>
      <c r="L543" s="71"/>
      <c r="M543" s="5"/>
    </row>
    <row r="544" spans="1:13" s="3" customFormat="1">
      <c r="A544" s="1"/>
      <c r="B544" s="8"/>
      <c r="C544" s="5"/>
      <c r="D544" s="12"/>
      <c r="E544" s="9"/>
      <c r="F544" s="9"/>
      <c r="G544" s="5"/>
      <c r="H544" s="16"/>
      <c r="I544" s="69"/>
      <c r="J544" s="70"/>
      <c r="K544" s="71"/>
      <c r="L544" s="71"/>
      <c r="M544" s="5"/>
    </row>
    <row r="545" spans="1:13" s="3" customFormat="1">
      <c r="A545" s="1"/>
      <c r="B545" s="8"/>
      <c r="C545" s="5"/>
      <c r="D545" s="12"/>
      <c r="E545" s="9"/>
      <c r="F545" s="9"/>
      <c r="G545" s="5"/>
      <c r="H545" s="16"/>
      <c r="I545" s="69"/>
      <c r="J545" s="70"/>
      <c r="K545" s="71"/>
      <c r="L545" s="71"/>
      <c r="M545" s="5"/>
    </row>
    <row r="546" spans="1:13" s="3" customFormat="1">
      <c r="A546" s="1"/>
      <c r="B546" s="8"/>
      <c r="C546" s="5"/>
      <c r="D546" s="12"/>
      <c r="E546" s="9"/>
      <c r="F546" s="9"/>
      <c r="G546" s="5"/>
      <c r="H546" s="16"/>
      <c r="I546" s="69"/>
      <c r="J546" s="70"/>
      <c r="K546" s="71"/>
      <c r="L546" s="71"/>
      <c r="M546" s="5"/>
    </row>
    <row r="547" spans="1:13" s="3" customFormat="1">
      <c r="A547" s="1"/>
      <c r="B547" s="8"/>
      <c r="C547" s="5"/>
      <c r="D547" s="12"/>
      <c r="E547" s="9"/>
      <c r="F547" s="9"/>
      <c r="G547" s="5"/>
      <c r="H547" s="16"/>
      <c r="I547" s="69"/>
      <c r="J547" s="70"/>
      <c r="K547" s="71"/>
      <c r="L547" s="71"/>
      <c r="M547" s="5"/>
    </row>
    <row r="548" spans="1:13" s="3" customFormat="1">
      <c r="A548" s="1"/>
      <c r="B548" s="8"/>
      <c r="C548" s="5"/>
      <c r="D548" s="12"/>
      <c r="E548" s="9"/>
      <c r="F548" s="9"/>
      <c r="G548" s="5"/>
      <c r="H548" s="16"/>
      <c r="I548" s="69"/>
      <c r="J548" s="70"/>
      <c r="K548" s="71"/>
      <c r="L548" s="71"/>
      <c r="M548" s="5"/>
    </row>
    <row r="549" spans="1:13" s="3" customFormat="1">
      <c r="A549" s="1"/>
      <c r="B549" s="8"/>
      <c r="C549" s="5"/>
      <c r="D549" s="12"/>
      <c r="E549" s="9"/>
      <c r="F549" s="9"/>
      <c r="G549" s="5"/>
      <c r="H549" s="16"/>
      <c r="I549" s="69"/>
      <c r="J549" s="70"/>
      <c r="K549" s="71"/>
      <c r="L549" s="71"/>
      <c r="M549" s="5"/>
    </row>
    <row r="550" spans="1:13" s="3" customFormat="1">
      <c r="A550" s="1"/>
      <c r="B550" s="8"/>
      <c r="C550" s="5"/>
      <c r="D550" s="12"/>
      <c r="E550" s="9"/>
      <c r="F550" s="9"/>
      <c r="G550" s="5"/>
      <c r="H550" s="16"/>
      <c r="I550" s="69"/>
      <c r="J550" s="70"/>
      <c r="K550" s="71"/>
      <c r="L550" s="71"/>
      <c r="M550" s="5"/>
    </row>
    <row r="551" spans="1:13" s="3" customFormat="1">
      <c r="A551" s="1"/>
      <c r="B551" s="8"/>
      <c r="C551" s="5"/>
      <c r="D551" s="12"/>
      <c r="E551" s="9"/>
      <c r="F551" s="9"/>
      <c r="G551" s="5"/>
      <c r="H551" s="16"/>
      <c r="I551" s="69"/>
      <c r="J551" s="70"/>
      <c r="K551" s="71"/>
      <c r="L551" s="71"/>
      <c r="M551" s="5"/>
    </row>
    <row r="552" spans="1:13" s="3" customFormat="1">
      <c r="A552" s="1"/>
      <c r="B552" s="8"/>
      <c r="C552" s="5"/>
      <c r="D552" s="12"/>
      <c r="E552" s="9"/>
      <c r="F552" s="9"/>
      <c r="G552" s="5"/>
      <c r="H552" s="16"/>
      <c r="I552" s="69"/>
      <c r="J552" s="70"/>
      <c r="K552" s="71"/>
      <c r="L552" s="71"/>
      <c r="M552" s="5"/>
    </row>
    <row r="553" spans="1:13" s="3" customFormat="1">
      <c r="A553" s="1"/>
      <c r="B553" s="8"/>
      <c r="C553" s="5"/>
      <c r="D553" s="12"/>
      <c r="E553" s="9"/>
      <c r="F553" s="9"/>
      <c r="G553" s="5"/>
      <c r="H553" s="16"/>
      <c r="I553" s="69"/>
      <c r="J553" s="70"/>
      <c r="K553" s="71"/>
      <c r="L553" s="71"/>
      <c r="M553" s="5"/>
    </row>
    <row r="554" spans="1:13" s="3" customFormat="1">
      <c r="A554" s="1"/>
      <c r="B554" s="8"/>
      <c r="C554" s="5"/>
      <c r="D554" s="12"/>
      <c r="E554" s="9"/>
      <c r="F554" s="9"/>
      <c r="G554" s="5"/>
      <c r="H554" s="16"/>
      <c r="I554" s="69"/>
      <c r="J554" s="70"/>
      <c r="K554" s="71"/>
      <c r="L554" s="71"/>
      <c r="M554" s="5"/>
    </row>
    <row r="555" spans="1:13" s="3" customFormat="1">
      <c r="A555" s="1"/>
      <c r="B555" s="8"/>
      <c r="C555" s="5"/>
      <c r="D555" s="12"/>
      <c r="E555" s="9"/>
      <c r="F555" s="9"/>
      <c r="G555" s="5"/>
      <c r="H555" s="16"/>
      <c r="I555" s="69"/>
      <c r="J555" s="70"/>
      <c r="K555" s="71"/>
      <c r="L555" s="71"/>
      <c r="M555" s="5"/>
    </row>
    <row r="556" spans="1:13" s="3" customFormat="1">
      <c r="A556" s="1"/>
      <c r="B556" s="8"/>
      <c r="C556" s="5"/>
      <c r="D556" s="12"/>
      <c r="E556" s="9"/>
      <c r="F556" s="9"/>
      <c r="G556" s="5"/>
      <c r="H556" s="16"/>
      <c r="I556" s="69"/>
      <c r="J556" s="70"/>
      <c r="K556" s="71"/>
      <c r="L556" s="71"/>
      <c r="M556" s="5"/>
    </row>
    <row r="557" spans="1:13" s="3" customFormat="1">
      <c r="A557" s="1"/>
      <c r="B557" s="8"/>
      <c r="C557" s="5"/>
      <c r="D557" s="12"/>
      <c r="E557" s="9"/>
      <c r="F557" s="9"/>
      <c r="G557" s="5"/>
      <c r="H557" s="16"/>
      <c r="I557" s="69"/>
      <c r="J557" s="70"/>
      <c r="K557" s="71"/>
      <c r="L557" s="71"/>
      <c r="M557" s="5"/>
    </row>
    <row r="558" spans="1:13" s="3" customFormat="1">
      <c r="A558" s="1"/>
      <c r="B558" s="8"/>
      <c r="C558" s="5"/>
      <c r="D558" s="12"/>
      <c r="E558" s="9"/>
      <c r="F558" s="9"/>
      <c r="G558" s="5"/>
      <c r="H558" s="16"/>
      <c r="I558" s="69"/>
      <c r="J558" s="70"/>
      <c r="K558" s="71"/>
      <c r="L558" s="71"/>
      <c r="M558" s="5"/>
    </row>
    <row r="559" spans="1:13" s="3" customFormat="1">
      <c r="A559" s="1"/>
      <c r="B559" s="8"/>
      <c r="C559" s="5"/>
      <c r="D559" s="12"/>
      <c r="E559" s="9"/>
      <c r="F559" s="9"/>
      <c r="G559" s="5"/>
      <c r="H559" s="16"/>
      <c r="I559" s="69"/>
      <c r="J559" s="70"/>
      <c r="K559" s="71"/>
      <c r="L559" s="71"/>
      <c r="M559" s="5"/>
    </row>
    <row r="560" spans="1:13" s="3" customFormat="1">
      <c r="A560" s="1"/>
      <c r="B560" s="8"/>
      <c r="C560" s="5"/>
      <c r="D560" s="12"/>
      <c r="E560" s="9"/>
      <c r="F560" s="9"/>
      <c r="G560" s="5"/>
      <c r="H560" s="16"/>
      <c r="I560" s="69"/>
      <c r="J560" s="70"/>
      <c r="K560" s="71"/>
      <c r="L560" s="71"/>
      <c r="M560" s="5"/>
    </row>
    <row r="561" spans="1:13" s="3" customFormat="1">
      <c r="A561" s="1"/>
      <c r="B561" s="8"/>
      <c r="C561" s="5"/>
      <c r="D561" s="12"/>
      <c r="E561" s="9"/>
      <c r="F561" s="9"/>
      <c r="G561" s="5"/>
      <c r="H561" s="16"/>
      <c r="I561" s="69"/>
      <c r="J561" s="70"/>
      <c r="K561" s="71"/>
      <c r="L561" s="71"/>
      <c r="M561" s="5"/>
    </row>
    <row r="562" spans="1:13" s="3" customFormat="1">
      <c r="A562" s="1"/>
      <c r="B562" s="8"/>
      <c r="C562" s="5"/>
      <c r="D562" s="12"/>
      <c r="E562" s="9"/>
      <c r="F562" s="9"/>
      <c r="G562" s="5"/>
      <c r="H562" s="16"/>
      <c r="I562" s="69"/>
      <c r="J562" s="70"/>
      <c r="K562" s="71"/>
      <c r="L562" s="71"/>
      <c r="M562" s="5"/>
    </row>
    <row r="563" spans="1:13" s="3" customFormat="1">
      <c r="A563" s="1"/>
      <c r="B563" s="8"/>
      <c r="C563" s="5"/>
      <c r="D563" s="12"/>
      <c r="E563" s="9"/>
      <c r="F563" s="9"/>
      <c r="G563" s="5"/>
      <c r="H563" s="16"/>
      <c r="I563" s="69"/>
      <c r="J563" s="70"/>
      <c r="K563" s="71"/>
      <c r="L563" s="71"/>
      <c r="M563" s="5"/>
    </row>
    <row r="564" spans="1:13" s="3" customFormat="1">
      <c r="A564" s="1"/>
      <c r="B564" s="8"/>
      <c r="C564" s="5"/>
      <c r="D564" s="12"/>
      <c r="E564" s="9"/>
      <c r="F564" s="9"/>
      <c r="G564" s="5"/>
      <c r="H564" s="16"/>
      <c r="I564" s="69"/>
      <c r="J564" s="70"/>
      <c r="K564" s="71"/>
      <c r="L564" s="71"/>
      <c r="M564" s="5"/>
    </row>
    <row r="565" spans="1:13" s="3" customFormat="1">
      <c r="A565" s="1"/>
      <c r="B565" s="8"/>
      <c r="C565" s="5"/>
      <c r="D565" s="12"/>
      <c r="E565" s="9"/>
      <c r="F565" s="9"/>
      <c r="G565" s="5"/>
      <c r="H565" s="16"/>
      <c r="I565" s="69"/>
      <c r="J565" s="70"/>
      <c r="K565" s="71"/>
      <c r="L565" s="71"/>
      <c r="M565" s="5"/>
    </row>
    <row r="566" spans="1:13" s="3" customFormat="1">
      <c r="A566" s="1"/>
      <c r="B566" s="8"/>
      <c r="C566" s="5"/>
      <c r="D566" s="12"/>
      <c r="E566" s="9"/>
      <c r="F566" s="9"/>
      <c r="G566" s="5"/>
      <c r="H566" s="16"/>
      <c r="I566" s="69"/>
      <c r="J566" s="70"/>
      <c r="K566" s="71"/>
      <c r="L566" s="71"/>
      <c r="M566" s="5"/>
    </row>
    <row r="567" spans="1:13" s="3" customFormat="1">
      <c r="A567" s="1"/>
      <c r="B567" s="8"/>
      <c r="C567" s="5"/>
      <c r="D567" s="12"/>
      <c r="E567" s="9"/>
      <c r="F567" s="9"/>
      <c r="G567" s="5"/>
      <c r="H567" s="16"/>
      <c r="I567" s="69"/>
      <c r="J567" s="70"/>
      <c r="K567" s="71"/>
      <c r="L567" s="71"/>
      <c r="M567" s="5"/>
    </row>
    <row r="568" spans="1:13" s="3" customFormat="1">
      <c r="A568" s="1"/>
      <c r="B568" s="8"/>
      <c r="C568" s="5"/>
      <c r="D568" s="12"/>
      <c r="E568" s="9"/>
      <c r="F568" s="9"/>
      <c r="G568" s="5"/>
      <c r="H568" s="16"/>
      <c r="I568" s="69"/>
      <c r="J568" s="70"/>
      <c r="K568" s="71"/>
      <c r="L568" s="71"/>
      <c r="M568" s="5"/>
    </row>
    <row r="569" spans="1:13" s="3" customFormat="1">
      <c r="A569" s="1"/>
      <c r="B569" s="8"/>
      <c r="C569" s="5"/>
      <c r="D569" s="12"/>
      <c r="E569" s="9"/>
      <c r="F569" s="9"/>
      <c r="G569" s="5"/>
      <c r="H569" s="16"/>
      <c r="I569" s="69"/>
      <c r="J569" s="70"/>
      <c r="K569" s="71"/>
      <c r="L569" s="71"/>
      <c r="M569" s="5"/>
    </row>
    <row r="570" spans="1:13" s="3" customFormat="1">
      <c r="A570" s="1"/>
      <c r="B570" s="8"/>
      <c r="C570" s="5"/>
      <c r="D570" s="12"/>
      <c r="E570" s="9"/>
      <c r="F570" s="9"/>
      <c r="G570" s="5"/>
      <c r="H570" s="16"/>
      <c r="I570" s="69"/>
      <c r="J570" s="70"/>
      <c r="K570" s="71"/>
      <c r="L570" s="71"/>
      <c r="M570" s="5"/>
    </row>
    <row r="571" spans="1:13" s="3" customFormat="1">
      <c r="A571" s="1"/>
      <c r="B571" s="8"/>
      <c r="C571" s="5"/>
      <c r="D571" s="12"/>
      <c r="E571" s="9"/>
      <c r="F571" s="9"/>
      <c r="G571" s="5"/>
      <c r="H571" s="16"/>
      <c r="I571" s="69"/>
      <c r="J571" s="70"/>
      <c r="K571" s="71"/>
      <c r="L571" s="71"/>
      <c r="M571" s="5"/>
    </row>
    <row r="572" spans="1:13" s="3" customFormat="1">
      <c r="A572" s="1"/>
      <c r="B572" s="8"/>
      <c r="C572" s="5"/>
      <c r="D572" s="12"/>
      <c r="E572" s="9"/>
      <c r="F572" s="9"/>
      <c r="G572" s="5"/>
      <c r="H572" s="16"/>
      <c r="I572" s="69"/>
      <c r="J572" s="70"/>
      <c r="K572" s="71"/>
      <c r="L572" s="71"/>
      <c r="M572" s="5"/>
    </row>
    <row r="573" spans="1:13" s="3" customFormat="1">
      <c r="A573" s="1"/>
      <c r="B573" s="8"/>
      <c r="C573" s="5"/>
      <c r="D573" s="12"/>
      <c r="E573" s="9"/>
      <c r="F573" s="9"/>
      <c r="G573" s="5"/>
      <c r="H573" s="16"/>
      <c r="I573" s="69"/>
      <c r="J573" s="70"/>
      <c r="K573" s="71"/>
      <c r="L573" s="71"/>
      <c r="M573" s="5"/>
    </row>
    <row r="574" spans="1:13" s="3" customFormat="1">
      <c r="A574" s="1"/>
      <c r="B574" s="8"/>
      <c r="C574" s="5"/>
      <c r="D574" s="12"/>
      <c r="E574" s="9"/>
      <c r="F574" s="9"/>
      <c r="G574" s="5"/>
      <c r="H574" s="16"/>
      <c r="I574" s="69"/>
      <c r="J574" s="70"/>
      <c r="K574" s="71"/>
      <c r="L574" s="71"/>
      <c r="M574" s="5"/>
    </row>
    <row r="575" spans="1:13" s="3" customFormat="1">
      <c r="A575" s="1"/>
      <c r="B575" s="8"/>
      <c r="C575" s="5"/>
      <c r="D575" s="12"/>
      <c r="E575" s="9"/>
      <c r="F575" s="9"/>
      <c r="G575" s="5"/>
      <c r="H575" s="16"/>
      <c r="I575" s="69"/>
      <c r="J575" s="70"/>
      <c r="K575" s="71"/>
      <c r="L575" s="71"/>
      <c r="M575" s="5"/>
    </row>
    <row r="576" spans="1:13" s="3" customFormat="1">
      <c r="A576" s="1"/>
      <c r="B576" s="8"/>
      <c r="C576" s="5"/>
      <c r="D576" s="12"/>
      <c r="E576" s="9"/>
      <c r="F576" s="9"/>
      <c r="G576" s="5"/>
      <c r="H576" s="16"/>
      <c r="I576" s="69"/>
      <c r="J576" s="70"/>
      <c r="K576" s="71"/>
      <c r="L576" s="71"/>
      <c r="M576" s="5"/>
    </row>
    <row r="577" spans="1:13" s="3" customFormat="1">
      <c r="A577" s="1"/>
      <c r="B577" s="8"/>
      <c r="C577" s="5"/>
      <c r="D577" s="12"/>
      <c r="E577" s="9"/>
      <c r="F577" s="9"/>
      <c r="G577" s="5"/>
      <c r="H577" s="16"/>
      <c r="I577" s="69"/>
      <c r="J577" s="70"/>
      <c r="K577" s="71"/>
      <c r="L577" s="71"/>
      <c r="M577" s="5"/>
    </row>
    <row r="578" spans="1:13" s="3" customFormat="1">
      <c r="A578" s="1"/>
      <c r="B578" s="8"/>
      <c r="C578" s="5"/>
      <c r="D578" s="12"/>
      <c r="E578" s="9"/>
      <c r="F578" s="9"/>
      <c r="G578" s="5"/>
      <c r="H578" s="16"/>
      <c r="I578" s="69"/>
      <c r="J578" s="70"/>
      <c r="K578" s="71"/>
      <c r="L578" s="71"/>
      <c r="M578" s="5"/>
    </row>
    <row r="579" spans="1:13" s="3" customFormat="1">
      <c r="A579" s="1"/>
      <c r="B579" s="8"/>
      <c r="C579" s="5"/>
      <c r="D579" s="12"/>
      <c r="E579" s="9"/>
      <c r="F579" s="9"/>
      <c r="G579" s="5"/>
      <c r="H579" s="16"/>
      <c r="I579" s="69"/>
      <c r="J579" s="70"/>
      <c r="K579" s="71"/>
      <c r="L579" s="71"/>
      <c r="M579" s="5"/>
    </row>
    <row r="580" spans="1:13" s="3" customFormat="1">
      <c r="A580" s="1"/>
      <c r="B580" s="8"/>
      <c r="C580" s="5"/>
      <c r="D580" s="12"/>
      <c r="E580" s="9"/>
      <c r="F580" s="9"/>
      <c r="G580" s="5"/>
      <c r="H580" s="16"/>
      <c r="I580" s="69"/>
      <c r="J580" s="70"/>
      <c r="K580" s="71"/>
      <c r="L580" s="71"/>
      <c r="M580" s="5"/>
    </row>
    <row r="581" spans="1:13" s="3" customFormat="1">
      <c r="A581" s="1"/>
      <c r="B581" s="8"/>
      <c r="C581" s="5"/>
      <c r="D581" s="12"/>
      <c r="E581" s="9"/>
      <c r="F581" s="9"/>
      <c r="G581" s="5"/>
      <c r="H581" s="16"/>
      <c r="I581" s="69"/>
      <c r="J581" s="70"/>
      <c r="K581" s="71"/>
      <c r="L581" s="71"/>
      <c r="M581" s="5"/>
    </row>
    <row r="582" spans="1:13" s="3" customFormat="1">
      <c r="A582" s="1"/>
      <c r="B582" s="8"/>
      <c r="C582" s="5"/>
      <c r="D582" s="12"/>
      <c r="E582" s="9"/>
      <c r="F582" s="9"/>
      <c r="G582" s="5"/>
      <c r="H582" s="16"/>
      <c r="I582" s="69"/>
      <c r="J582" s="70"/>
      <c r="K582" s="71"/>
      <c r="L582" s="71"/>
      <c r="M582" s="5"/>
    </row>
    <row r="583" spans="1:13" s="3" customFormat="1">
      <c r="A583" s="1"/>
      <c r="B583" s="8"/>
      <c r="C583" s="5"/>
      <c r="D583" s="12"/>
      <c r="E583" s="9"/>
      <c r="F583" s="9"/>
      <c r="G583" s="5"/>
      <c r="H583" s="16"/>
      <c r="I583" s="69"/>
      <c r="J583" s="70"/>
      <c r="K583" s="71"/>
      <c r="L583" s="71"/>
      <c r="M583" s="5"/>
    </row>
    <row r="584" spans="1:13" s="3" customFormat="1">
      <c r="A584" s="1"/>
      <c r="B584" s="8"/>
      <c r="C584" s="5"/>
      <c r="D584" s="12"/>
      <c r="E584" s="9"/>
      <c r="F584" s="9"/>
      <c r="G584" s="5"/>
      <c r="H584" s="16"/>
      <c r="I584" s="69"/>
      <c r="J584" s="70"/>
      <c r="K584" s="71"/>
      <c r="L584" s="71"/>
      <c r="M584" s="5"/>
    </row>
    <row r="585" spans="1:13" s="3" customFormat="1">
      <c r="A585" s="1"/>
      <c r="B585" s="8"/>
      <c r="C585" s="5"/>
      <c r="D585" s="12"/>
      <c r="E585" s="9"/>
      <c r="F585" s="9"/>
      <c r="G585" s="5"/>
      <c r="H585" s="16"/>
      <c r="I585" s="69"/>
      <c r="J585" s="70"/>
      <c r="K585" s="71"/>
      <c r="L585" s="71"/>
      <c r="M585" s="5"/>
    </row>
    <row r="586" spans="1:13" s="3" customFormat="1">
      <c r="A586" s="1"/>
      <c r="B586" s="8"/>
      <c r="C586" s="5"/>
      <c r="D586" s="12"/>
      <c r="E586" s="9"/>
      <c r="F586" s="9"/>
      <c r="G586" s="5"/>
      <c r="H586" s="16"/>
      <c r="I586" s="69"/>
      <c r="J586" s="70"/>
      <c r="K586" s="71"/>
      <c r="L586" s="71"/>
      <c r="M586" s="5"/>
    </row>
    <row r="587" spans="1:13" s="3" customFormat="1">
      <c r="A587" s="1"/>
      <c r="B587" s="8"/>
      <c r="C587" s="5"/>
      <c r="D587" s="12"/>
      <c r="E587" s="9"/>
      <c r="F587" s="9"/>
      <c r="G587" s="5"/>
      <c r="H587" s="16"/>
      <c r="I587" s="69"/>
      <c r="J587" s="70"/>
      <c r="K587" s="71"/>
      <c r="L587" s="71"/>
      <c r="M587" s="5"/>
    </row>
    <row r="588" spans="1:13" s="3" customFormat="1">
      <c r="A588" s="1"/>
      <c r="B588" s="8"/>
      <c r="C588" s="5"/>
      <c r="D588" s="12"/>
      <c r="E588" s="9"/>
      <c r="F588" s="9"/>
      <c r="G588" s="5"/>
      <c r="H588" s="16"/>
      <c r="I588" s="69"/>
      <c r="J588" s="70"/>
      <c r="K588" s="71"/>
      <c r="L588" s="71"/>
      <c r="M588" s="5"/>
    </row>
    <row r="589" spans="1:13" s="3" customFormat="1">
      <c r="A589" s="1"/>
      <c r="B589" s="8"/>
      <c r="C589" s="5"/>
      <c r="D589" s="12"/>
      <c r="E589" s="9"/>
      <c r="F589" s="9"/>
      <c r="G589" s="5"/>
      <c r="H589" s="16"/>
      <c r="I589" s="69"/>
      <c r="J589" s="70"/>
      <c r="K589" s="71"/>
      <c r="L589" s="71"/>
      <c r="M589" s="5"/>
    </row>
    <row r="590" spans="1:13" s="3" customFormat="1">
      <c r="A590" s="1"/>
      <c r="B590" s="8"/>
      <c r="C590" s="5"/>
      <c r="D590" s="12"/>
      <c r="E590" s="9"/>
      <c r="F590" s="9"/>
      <c r="G590" s="5"/>
      <c r="H590" s="16"/>
      <c r="I590" s="69"/>
      <c r="J590" s="70"/>
      <c r="K590" s="71"/>
      <c r="L590" s="71"/>
      <c r="M590" s="5"/>
    </row>
    <row r="591" spans="1:13" s="3" customFormat="1">
      <c r="A591" s="1"/>
      <c r="B591" s="8"/>
      <c r="C591" s="5"/>
      <c r="D591" s="12"/>
      <c r="E591" s="9"/>
      <c r="F591" s="9"/>
      <c r="G591" s="5"/>
      <c r="H591" s="16"/>
      <c r="I591" s="69"/>
      <c r="J591" s="70"/>
      <c r="K591" s="71"/>
      <c r="L591" s="71"/>
      <c r="M591" s="5"/>
    </row>
    <row r="592" spans="1:13" s="3" customFormat="1">
      <c r="A592" s="1"/>
      <c r="B592" s="8"/>
      <c r="C592" s="5"/>
      <c r="D592" s="12"/>
      <c r="E592" s="9"/>
      <c r="F592" s="9"/>
      <c r="G592" s="5"/>
      <c r="H592" s="16"/>
      <c r="I592" s="69"/>
      <c r="J592" s="70"/>
      <c r="K592" s="71"/>
      <c r="L592" s="71"/>
      <c r="M592" s="5"/>
    </row>
    <row r="593" spans="1:13" s="3" customFormat="1">
      <c r="A593" s="1"/>
      <c r="B593" s="8"/>
      <c r="C593" s="5"/>
      <c r="D593" s="12"/>
      <c r="E593" s="9"/>
      <c r="F593" s="9"/>
      <c r="G593" s="5"/>
      <c r="H593" s="16"/>
      <c r="I593" s="69"/>
      <c r="J593" s="70"/>
      <c r="K593" s="71"/>
      <c r="L593" s="71"/>
      <c r="M593" s="5"/>
    </row>
    <row r="594" spans="1:13" s="3" customFormat="1">
      <c r="A594" s="1"/>
      <c r="B594" s="8"/>
      <c r="C594" s="5"/>
      <c r="D594" s="12"/>
      <c r="E594" s="9"/>
      <c r="F594" s="9"/>
      <c r="G594" s="5"/>
      <c r="H594" s="16"/>
      <c r="I594" s="69"/>
      <c r="J594" s="70"/>
      <c r="K594" s="71"/>
      <c r="L594" s="71"/>
      <c r="M594" s="5"/>
    </row>
    <row r="595" spans="1:13" s="3" customFormat="1">
      <c r="A595" s="1"/>
      <c r="B595" s="8"/>
      <c r="C595" s="5"/>
      <c r="D595" s="12"/>
      <c r="E595" s="9"/>
      <c r="F595" s="9"/>
      <c r="G595" s="5"/>
      <c r="H595" s="16"/>
      <c r="I595" s="69"/>
      <c r="J595" s="70"/>
      <c r="K595" s="71"/>
      <c r="L595" s="71"/>
      <c r="M595" s="5"/>
    </row>
    <row r="596" spans="1:13" s="3" customFormat="1">
      <c r="A596" s="1"/>
      <c r="B596" s="8"/>
      <c r="C596" s="5"/>
      <c r="D596" s="12"/>
      <c r="E596" s="9"/>
      <c r="F596" s="9"/>
      <c r="G596" s="5"/>
      <c r="H596" s="16"/>
      <c r="I596" s="69"/>
      <c r="J596" s="70"/>
      <c r="K596" s="71"/>
      <c r="L596" s="71"/>
      <c r="M596" s="5"/>
    </row>
    <row r="597" spans="1:13" s="3" customFormat="1">
      <c r="A597" s="1"/>
      <c r="B597" s="8"/>
      <c r="C597" s="5"/>
      <c r="D597" s="12"/>
      <c r="E597" s="9"/>
      <c r="F597" s="9"/>
      <c r="G597" s="5"/>
      <c r="H597" s="16"/>
      <c r="I597" s="69"/>
      <c r="J597" s="70"/>
      <c r="K597" s="71"/>
      <c r="L597" s="71"/>
      <c r="M597" s="5"/>
    </row>
    <row r="598" spans="1:13" s="3" customFormat="1">
      <c r="A598" s="1"/>
      <c r="B598" s="8"/>
      <c r="C598" s="5"/>
      <c r="D598" s="12"/>
      <c r="E598" s="9"/>
      <c r="F598" s="9"/>
      <c r="G598" s="5"/>
      <c r="H598" s="16"/>
      <c r="I598" s="69"/>
      <c r="J598" s="70"/>
      <c r="K598" s="71"/>
      <c r="L598" s="71"/>
      <c r="M598" s="5"/>
    </row>
    <row r="599" spans="1:13" s="3" customFormat="1">
      <c r="A599" s="1"/>
      <c r="B599" s="8"/>
      <c r="C599" s="5"/>
      <c r="D599" s="12"/>
      <c r="E599" s="9"/>
      <c r="F599" s="9"/>
      <c r="G599" s="5"/>
      <c r="H599" s="16"/>
      <c r="I599" s="69"/>
      <c r="J599" s="70"/>
      <c r="K599" s="71"/>
      <c r="L599" s="71"/>
      <c r="M599" s="5"/>
    </row>
    <row r="600" spans="1:13" s="3" customFormat="1">
      <c r="A600" s="1"/>
      <c r="B600" s="8"/>
      <c r="C600" s="5"/>
      <c r="D600" s="12"/>
      <c r="E600" s="9"/>
      <c r="F600" s="9"/>
      <c r="G600" s="5"/>
      <c r="H600" s="16"/>
      <c r="I600" s="69"/>
      <c r="J600" s="70"/>
      <c r="K600" s="71"/>
      <c r="L600" s="71"/>
      <c r="M600" s="5"/>
    </row>
    <row r="601" spans="1:13" s="3" customFormat="1">
      <c r="A601" s="1"/>
      <c r="B601" s="8"/>
      <c r="C601" s="5"/>
      <c r="D601" s="12"/>
      <c r="E601" s="9"/>
      <c r="F601" s="9"/>
      <c r="G601" s="5"/>
      <c r="H601" s="16"/>
      <c r="I601" s="69"/>
      <c r="J601" s="70"/>
      <c r="K601" s="71"/>
      <c r="L601" s="71"/>
      <c r="M601" s="5"/>
    </row>
    <row r="602" spans="1:13" s="3" customFormat="1">
      <c r="A602" s="1"/>
      <c r="B602" s="8"/>
      <c r="C602" s="5"/>
      <c r="D602" s="12"/>
      <c r="E602" s="9"/>
      <c r="F602" s="9"/>
      <c r="G602" s="5"/>
      <c r="H602" s="16"/>
      <c r="I602" s="69"/>
      <c r="J602" s="70"/>
      <c r="K602" s="71"/>
      <c r="L602" s="71"/>
      <c r="M602" s="5"/>
    </row>
    <row r="603" spans="1:13" s="3" customFormat="1">
      <c r="A603" s="1"/>
      <c r="B603" s="8"/>
      <c r="C603" s="5"/>
      <c r="D603" s="12"/>
      <c r="E603" s="9"/>
      <c r="F603" s="9"/>
      <c r="G603" s="5"/>
      <c r="H603" s="16"/>
      <c r="I603" s="69"/>
      <c r="J603" s="70"/>
      <c r="K603" s="71"/>
      <c r="L603" s="71"/>
      <c r="M603" s="5"/>
    </row>
    <row r="604" spans="1:13" s="3" customFormat="1">
      <c r="A604" s="1"/>
      <c r="B604" s="8"/>
      <c r="C604" s="5"/>
      <c r="D604" s="12"/>
      <c r="E604" s="9"/>
      <c r="F604" s="9"/>
      <c r="G604" s="5"/>
      <c r="H604" s="16"/>
      <c r="I604" s="69"/>
      <c r="J604" s="70"/>
      <c r="K604" s="71"/>
      <c r="L604" s="71"/>
      <c r="M604" s="5"/>
    </row>
    <row r="605" spans="1:13" s="3" customFormat="1">
      <c r="A605" s="1"/>
      <c r="B605" s="8"/>
      <c r="C605" s="5"/>
      <c r="D605" s="12"/>
      <c r="E605" s="9"/>
      <c r="F605" s="9"/>
      <c r="G605" s="5"/>
      <c r="H605" s="16"/>
      <c r="I605" s="69"/>
      <c r="J605" s="70"/>
      <c r="K605" s="71"/>
      <c r="L605" s="71"/>
      <c r="M605" s="5"/>
    </row>
    <row r="606" spans="1:13" s="3" customFormat="1">
      <c r="A606" s="1"/>
      <c r="B606" s="8"/>
      <c r="C606" s="5"/>
      <c r="D606" s="12"/>
      <c r="E606" s="9"/>
      <c r="F606" s="9"/>
      <c r="G606" s="5"/>
      <c r="H606" s="16"/>
      <c r="I606" s="69"/>
      <c r="J606" s="70"/>
      <c r="K606" s="71"/>
      <c r="L606" s="71"/>
      <c r="M606" s="5"/>
    </row>
    <row r="607" spans="1:13" s="3" customFormat="1">
      <c r="A607" s="1"/>
      <c r="B607" s="8"/>
      <c r="C607" s="5"/>
      <c r="D607" s="12"/>
      <c r="E607" s="9"/>
      <c r="F607" s="9"/>
      <c r="G607" s="5"/>
      <c r="H607" s="16"/>
      <c r="I607" s="69"/>
      <c r="J607" s="70"/>
      <c r="K607" s="71"/>
      <c r="L607" s="71"/>
      <c r="M607" s="5"/>
    </row>
    <row r="608" spans="1:13" s="3" customFormat="1">
      <c r="A608" s="1"/>
      <c r="B608" s="8"/>
      <c r="C608" s="5"/>
      <c r="D608" s="12"/>
      <c r="E608" s="9"/>
      <c r="F608" s="9"/>
      <c r="G608" s="5"/>
      <c r="H608" s="16"/>
      <c r="I608" s="69"/>
      <c r="J608" s="70"/>
      <c r="K608" s="71"/>
      <c r="L608" s="71"/>
      <c r="M608" s="5"/>
    </row>
    <row r="609" spans="1:13" s="3" customFormat="1">
      <c r="A609" s="1"/>
      <c r="B609" s="8"/>
      <c r="C609" s="5"/>
      <c r="D609" s="12"/>
      <c r="E609" s="9"/>
      <c r="F609" s="9"/>
      <c r="G609" s="5"/>
      <c r="H609" s="16"/>
      <c r="I609" s="69"/>
      <c r="J609" s="70"/>
      <c r="K609" s="71"/>
      <c r="L609" s="71"/>
      <c r="M609" s="5"/>
    </row>
    <row r="610" spans="1:13" s="3" customFormat="1">
      <c r="A610" s="1"/>
      <c r="B610" s="8"/>
      <c r="C610" s="5"/>
      <c r="D610" s="12"/>
      <c r="E610" s="9"/>
      <c r="F610" s="9"/>
      <c r="G610" s="5"/>
      <c r="H610" s="16"/>
      <c r="I610" s="69"/>
      <c r="J610" s="70"/>
      <c r="K610" s="71"/>
      <c r="L610" s="71"/>
      <c r="M610" s="5"/>
    </row>
    <row r="611" spans="1:13" s="3" customFormat="1">
      <c r="A611" s="1"/>
      <c r="B611" s="8"/>
      <c r="C611" s="5"/>
      <c r="D611" s="12"/>
      <c r="E611" s="9"/>
      <c r="F611" s="9"/>
      <c r="G611" s="5"/>
      <c r="H611" s="16"/>
      <c r="I611" s="69"/>
      <c r="J611" s="70"/>
      <c r="K611" s="71"/>
      <c r="L611" s="71"/>
      <c r="M611" s="5"/>
    </row>
    <row r="612" spans="1:13" s="3" customFormat="1">
      <c r="A612" s="1"/>
      <c r="B612" s="8"/>
      <c r="C612" s="5"/>
      <c r="D612" s="12"/>
      <c r="E612" s="9"/>
      <c r="F612" s="9"/>
      <c r="G612" s="5"/>
      <c r="H612" s="16"/>
      <c r="I612" s="69"/>
      <c r="J612" s="70"/>
      <c r="K612" s="71"/>
      <c r="L612" s="71"/>
      <c r="M612" s="5"/>
    </row>
    <row r="613" spans="1:13" s="3" customFormat="1">
      <c r="A613" s="1"/>
      <c r="B613" s="8"/>
      <c r="C613" s="5"/>
      <c r="D613" s="12"/>
      <c r="E613" s="9"/>
      <c r="F613" s="9"/>
      <c r="G613" s="5"/>
      <c r="H613" s="16"/>
      <c r="I613" s="69"/>
      <c r="J613" s="70"/>
      <c r="K613" s="71"/>
      <c r="L613" s="71"/>
      <c r="M613" s="5"/>
    </row>
    <row r="614" spans="1:13" s="3" customFormat="1">
      <c r="A614" s="1"/>
      <c r="B614" s="8"/>
      <c r="C614" s="5"/>
      <c r="D614" s="12"/>
      <c r="E614" s="9"/>
      <c r="F614" s="9"/>
      <c r="G614" s="5"/>
      <c r="H614" s="16"/>
      <c r="I614" s="69"/>
      <c r="J614" s="70"/>
      <c r="K614" s="71"/>
      <c r="L614" s="71"/>
      <c r="M614" s="5"/>
    </row>
    <row r="615" spans="1:13" s="3" customFormat="1">
      <c r="A615" s="1"/>
      <c r="B615" s="8"/>
      <c r="C615" s="5"/>
      <c r="D615" s="12"/>
      <c r="E615" s="9"/>
      <c r="F615" s="9"/>
      <c r="G615" s="5"/>
      <c r="H615" s="16"/>
      <c r="I615" s="69"/>
      <c r="J615" s="70"/>
      <c r="K615" s="71"/>
      <c r="L615" s="71"/>
      <c r="M615" s="5"/>
    </row>
    <row r="616" spans="1:13" s="3" customFormat="1">
      <c r="A616" s="1"/>
      <c r="B616" s="8"/>
      <c r="C616" s="5"/>
      <c r="D616" s="12"/>
      <c r="E616" s="9"/>
      <c r="F616" s="9"/>
      <c r="G616" s="5"/>
      <c r="H616" s="16"/>
      <c r="I616" s="69"/>
      <c r="J616" s="70"/>
      <c r="K616" s="71"/>
      <c r="L616" s="71"/>
      <c r="M616" s="5"/>
    </row>
    <row r="617" spans="1:13" s="3" customFormat="1">
      <c r="A617" s="1"/>
      <c r="B617" s="8"/>
      <c r="C617" s="5"/>
      <c r="D617" s="12"/>
      <c r="E617" s="9"/>
      <c r="F617" s="9"/>
      <c r="G617" s="5"/>
      <c r="H617" s="16"/>
      <c r="I617" s="69"/>
      <c r="J617" s="70"/>
      <c r="K617" s="71"/>
      <c r="L617" s="71"/>
      <c r="M617" s="5"/>
    </row>
    <row r="618" spans="1:13" s="3" customFormat="1">
      <c r="A618" s="1"/>
      <c r="B618" s="8"/>
      <c r="C618" s="5"/>
      <c r="D618" s="12"/>
      <c r="E618" s="9"/>
      <c r="F618" s="9"/>
      <c r="G618" s="5"/>
      <c r="H618" s="16"/>
      <c r="I618" s="69"/>
      <c r="J618" s="70"/>
      <c r="K618" s="71"/>
      <c r="L618" s="71"/>
      <c r="M618" s="5"/>
    </row>
    <row r="619" spans="1:13" s="3" customFormat="1">
      <c r="A619" s="1"/>
      <c r="B619" s="8"/>
      <c r="C619" s="5"/>
      <c r="D619" s="12"/>
      <c r="E619" s="9"/>
      <c r="F619" s="9"/>
      <c r="G619" s="5"/>
      <c r="H619" s="16"/>
      <c r="I619" s="69"/>
      <c r="J619" s="70"/>
      <c r="K619" s="71"/>
      <c r="L619" s="71"/>
      <c r="M619" s="5"/>
    </row>
    <row r="620" spans="1:13" s="3" customFormat="1">
      <c r="A620" s="1"/>
      <c r="B620" s="8"/>
      <c r="C620" s="5"/>
      <c r="D620" s="12"/>
      <c r="E620" s="9"/>
      <c r="F620" s="9"/>
      <c r="G620" s="5"/>
      <c r="H620" s="16"/>
      <c r="I620" s="69"/>
      <c r="J620" s="70"/>
      <c r="K620" s="71"/>
      <c r="L620" s="71"/>
      <c r="M620" s="5"/>
    </row>
    <row r="621" spans="1:13" s="3" customFormat="1">
      <c r="A621" s="1"/>
      <c r="B621" s="8"/>
      <c r="C621" s="5"/>
      <c r="D621" s="12"/>
      <c r="E621" s="9"/>
      <c r="F621" s="9"/>
      <c r="G621" s="5"/>
      <c r="H621" s="16"/>
      <c r="I621" s="69"/>
      <c r="J621" s="70"/>
      <c r="K621" s="71"/>
      <c r="L621" s="71"/>
      <c r="M621" s="5"/>
    </row>
    <row r="622" spans="1:13" s="3" customFormat="1">
      <c r="A622" s="1"/>
      <c r="B622" s="8"/>
      <c r="C622" s="5"/>
      <c r="D622" s="12"/>
      <c r="E622" s="9"/>
      <c r="F622" s="9"/>
      <c r="G622" s="5"/>
      <c r="H622" s="16"/>
      <c r="I622" s="69"/>
      <c r="J622" s="70"/>
      <c r="K622" s="71"/>
      <c r="L622" s="71"/>
      <c r="M622" s="5"/>
    </row>
    <row r="623" spans="1:13" s="3" customFormat="1">
      <c r="A623" s="1"/>
      <c r="B623" s="8"/>
      <c r="C623" s="5"/>
      <c r="D623" s="12"/>
      <c r="E623" s="9"/>
      <c r="F623" s="9"/>
      <c r="G623" s="5"/>
      <c r="H623" s="16"/>
      <c r="I623" s="69"/>
      <c r="J623" s="70"/>
      <c r="K623" s="71"/>
      <c r="L623" s="71"/>
      <c r="M623" s="5"/>
    </row>
    <row r="624" spans="1:13" s="3" customFormat="1">
      <c r="A624" s="1"/>
      <c r="B624" s="8"/>
      <c r="C624" s="5"/>
      <c r="D624" s="12"/>
      <c r="E624" s="9"/>
      <c r="F624" s="9"/>
      <c r="G624" s="5"/>
      <c r="H624" s="16"/>
      <c r="I624" s="69"/>
      <c r="J624" s="70"/>
      <c r="K624" s="71"/>
      <c r="L624" s="71"/>
      <c r="M624" s="5"/>
    </row>
    <row r="625" spans="1:13" s="3" customFormat="1">
      <c r="A625" s="1"/>
      <c r="B625" s="8"/>
      <c r="C625" s="5"/>
      <c r="D625" s="12"/>
      <c r="E625" s="9"/>
      <c r="F625" s="9"/>
      <c r="G625" s="5"/>
      <c r="H625" s="16"/>
      <c r="I625" s="69"/>
      <c r="J625" s="70"/>
      <c r="K625" s="71"/>
      <c r="L625" s="71"/>
      <c r="M625" s="5"/>
    </row>
    <row r="626" spans="1:13" s="3" customFormat="1">
      <c r="A626" s="1"/>
      <c r="B626" s="8"/>
      <c r="C626" s="5"/>
      <c r="D626" s="12"/>
      <c r="E626" s="9"/>
      <c r="F626" s="9"/>
      <c r="G626" s="5"/>
      <c r="H626" s="16"/>
      <c r="I626" s="69"/>
      <c r="J626" s="70"/>
      <c r="K626" s="71"/>
      <c r="L626" s="71"/>
      <c r="M626" s="5"/>
    </row>
    <row r="627" spans="1:13" s="3" customFormat="1">
      <c r="A627" s="1"/>
      <c r="B627" s="8"/>
      <c r="C627" s="5"/>
      <c r="D627" s="12"/>
      <c r="E627" s="9"/>
      <c r="F627" s="9"/>
      <c r="G627" s="5"/>
      <c r="H627" s="16"/>
      <c r="I627" s="69"/>
      <c r="J627" s="70"/>
      <c r="K627" s="71"/>
      <c r="L627" s="71"/>
      <c r="M627" s="5"/>
    </row>
    <row r="628" spans="1:13" s="3" customFormat="1">
      <c r="A628" s="1"/>
      <c r="B628" s="8"/>
      <c r="C628" s="5"/>
      <c r="D628" s="12"/>
      <c r="E628" s="9"/>
      <c r="F628" s="9"/>
      <c r="G628" s="5"/>
      <c r="H628" s="16"/>
      <c r="I628" s="69"/>
      <c r="J628" s="70"/>
      <c r="K628" s="71"/>
      <c r="L628" s="71"/>
      <c r="M628" s="5"/>
    </row>
    <row r="629" spans="1:13" s="3" customFormat="1">
      <c r="A629" s="1"/>
      <c r="B629" s="8"/>
      <c r="C629" s="5"/>
      <c r="D629" s="12"/>
      <c r="E629" s="9"/>
      <c r="F629" s="9"/>
      <c r="G629" s="5"/>
      <c r="H629" s="16"/>
      <c r="I629" s="69"/>
      <c r="J629" s="70"/>
      <c r="K629" s="71"/>
      <c r="L629" s="71"/>
      <c r="M629" s="5"/>
    </row>
    <row r="630" spans="1:13" s="3" customFormat="1">
      <c r="A630" s="1"/>
      <c r="B630" s="8"/>
      <c r="C630" s="5"/>
      <c r="D630" s="12"/>
      <c r="E630" s="9"/>
      <c r="F630" s="9"/>
      <c r="G630" s="5"/>
      <c r="H630" s="16"/>
      <c r="I630" s="69"/>
      <c r="J630" s="70"/>
      <c r="K630" s="71"/>
      <c r="L630" s="71"/>
      <c r="M630" s="5"/>
    </row>
    <row r="631" spans="1:13" s="3" customFormat="1">
      <c r="A631" s="1"/>
      <c r="B631" s="8"/>
      <c r="C631" s="5"/>
      <c r="D631" s="12"/>
      <c r="E631" s="9"/>
      <c r="F631" s="9"/>
      <c r="G631" s="5"/>
      <c r="H631" s="16"/>
      <c r="I631" s="69"/>
      <c r="J631" s="70"/>
      <c r="K631" s="71"/>
      <c r="L631" s="71"/>
      <c r="M631" s="5"/>
    </row>
    <row r="632" spans="1:13" s="3" customFormat="1">
      <c r="A632" s="1"/>
      <c r="B632" s="8"/>
      <c r="C632" s="5"/>
      <c r="D632" s="12"/>
      <c r="E632" s="9"/>
      <c r="F632" s="9"/>
      <c r="G632" s="5"/>
      <c r="H632" s="16"/>
      <c r="I632" s="69"/>
      <c r="J632" s="70"/>
      <c r="K632" s="71"/>
      <c r="L632" s="71"/>
      <c r="M632" s="5"/>
    </row>
    <row r="633" spans="1:13" s="3" customFormat="1">
      <c r="A633" s="1"/>
      <c r="B633" s="8"/>
      <c r="C633" s="5"/>
      <c r="D633" s="12"/>
      <c r="E633" s="9"/>
      <c r="F633" s="9"/>
      <c r="G633" s="5"/>
      <c r="H633" s="16"/>
      <c r="I633" s="69"/>
      <c r="J633" s="70"/>
      <c r="K633" s="71"/>
      <c r="L633" s="71"/>
      <c r="M633" s="5"/>
    </row>
    <row r="634" spans="1:13" s="3" customFormat="1">
      <c r="A634" s="1"/>
      <c r="B634" s="8"/>
      <c r="C634" s="5"/>
      <c r="D634" s="12"/>
      <c r="E634" s="9"/>
      <c r="F634" s="9"/>
      <c r="G634" s="5"/>
      <c r="H634" s="16"/>
      <c r="I634" s="69"/>
      <c r="J634" s="70"/>
      <c r="K634" s="71"/>
      <c r="L634" s="71"/>
      <c r="M634" s="5"/>
    </row>
    <row r="635" spans="1:13" s="3" customFormat="1">
      <c r="A635" s="1"/>
      <c r="B635" s="8"/>
      <c r="C635" s="5"/>
      <c r="D635" s="12"/>
      <c r="E635" s="9"/>
      <c r="F635" s="9"/>
      <c r="G635" s="5"/>
      <c r="H635" s="16"/>
      <c r="I635" s="69"/>
      <c r="J635" s="70"/>
      <c r="K635" s="71"/>
      <c r="L635" s="71"/>
      <c r="M635" s="5"/>
    </row>
    <row r="636" spans="1:13" s="3" customFormat="1">
      <c r="A636" s="1"/>
      <c r="B636" s="8"/>
      <c r="C636" s="5"/>
      <c r="D636" s="12"/>
      <c r="E636" s="9"/>
      <c r="F636" s="9"/>
      <c r="G636" s="5"/>
      <c r="H636" s="16"/>
      <c r="I636" s="69"/>
      <c r="J636" s="70"/>
      <c r="K636" s="71"/>
      <c r="L636" s="71"/>
      <c r="M636" s="5"/>
    </row>
    <row r="637" spans="1:13" s="3" customFormat="1">
      <c r="A637" s="1"/>
      <c r="B637" s="8"/>
      <c r="C637" s="5"/>
      <c r="D637" s="12"/>
      <c r="E637" s="9"/>
      <c r="F637" s="9"/>
      <c r="G637" s="5"/>
      <c r="H637" s="16"/>
      <c r="I637" s="69"/>
      <c r="J637" s="70"/>
      <c r="K637" s="71"/>
      <c r="L637" s="71"/>
      <c r="M637" s="5"/>
    </row>
    <row r="638" spans="1:13" s="3" customFormat="1">
      <c r="A638" s="1"/>
      <c r="B638" s="8"/>
      <c r="C638" s="5"/>
      <c r="D638" s="12"/>
      <c r="E638" s="9"/>
      <c r="F638" s="9"/>
      <c r="G638" s="5"/>
      <c r="H638" s="16"/>
      <c r="I638" s="69"/>
      <c r="J638" s="70"/>
      <c r="K638" s="71"/>
      <c r="L638" s="71"/>
      <c r="M638" s="5"/>
    </row>
    <row r="639" spans="1:13" s="3" customFormat="1">
      <c r="A639" s="1"/>
      <c r="B639" s="8"/>
      <c r="C639" s="5"/>
      <c r="D639" s="12"/>
      <c r="E639" s="9"/>
      <c r="F639" s="9"/>
      <c r="G639" s="5"/>
      <c r="H639" s="16"/>
      <c r="I639" s="69"/>
      <c r="J639" s="70"/>
      <c r="K639" s="71"/>
      <c r="L639" s="71"/>
      <c r="M639" s="5"/>
    </row>
    <row r="640" spans="1:13" s="3" customFormat="1">
      <c r="A640" s="1"/>
      <c r="B640" s="8"/>
      <c r="C640" s="5"/>
      <c r="D640" s="12"/>
      <c r="E640" s="9"/>
      <c r="F640" s="9"/>
      <c r="G640" s="5"/>
      <c r="H640" s="16"/>
      <c r="I640" s="69"/>
      <c r="J640" s="70"/>
      <c r="K640" s="71"/>
      <c r="L640" s="71"/>
      <c r="M640" s="5"/>
    </row>
    <row r="641" spans="1:13" s="3" customFormat="1">
      <c r="A641" s="1"/>
      <c r="B641" s="8"/>
      <c r="C641" s="5"/>
      <c r="D641" s="12"/>
      <c r="E641" s="9"/>
      <c r="F641" s="9"/>
      <c r="G641" s="5"/>
      <c r="H641" s="16"/>
      <c r="I641" s="69"/>
      <c r="J641" s="70"/>
      <c r="K641" s="71"/>
      <c r="L641" s="71"/>
      <c r="M641" s="5"/>
    </row>
    <row r="642" spans="1:13" s="3" customFormat="1">
      <c r="A642" s="1"/>
      <c r="B642" s="8"/>
      <c r="C642" s="5"/>
      <c r="D642" s="12"/>
      <c r="E642" s="9"/>
      <c r="F642" s="9"/>
      <c r="G642" s="5"/>
      <c r="H642" s="16"/>
      <c r="I642" s="69"/>
      <c r="J642" s="70"/>
      <c r="K642" s="71"/>
      <c r="L642" s="71"/>
      <c r="M642" s="5"/>
    </row>
    <row r="643" spans="1:13" s="3" customFormat="1">
      <c r="A643" s="1"/>
      <c r="B643" s="8"/>
      <c r="C643" s="5"/>
      <c r="D643" s="12"/>
      <c r="E643" s="9"/>
      <c r="F643" s="9"/>
      <c r="G643" s="5"/>
      <c r="H643" s="16"/>
      <c r="I643" s="69"/>
      <c r="J643" s="70"/>
      <c r="K643" s="71"/>
      <c r="L643" s="71"/>
      <c r="M643" s="5"/>
    </row>
    <row r="644" spans="1:13" s="3" customFormat="1">
      <c r="A644" s="1"/>
      <c r="B644" s="8"/>
      <c r="C644" s="5"/>
      <c r="D644" s="12"/>
      <c r="E644" s="9"/>
      <c r="F644" s="9"/>
      <c r="G644" s="5"/>
      <c r="H644" s="16"/>
      <c r="I644" s="69"/>
      <c r="J644" s="70"/>
      <c r="K644" s="71"/>
      <c r="L644" s="71"/>
      <c r="M644" s="5"/>
    </row>
    <row r="645" spans="1:13" s="3" customFormat="1">
      <c r="A645" s="1"/>
      <c r="B645" s="8"/>
      <c r="C645" s="5"/>
      <c r="D645" s="12"/>
      <c r="E645" s="9"/>
      <c r="F645" s="9"/>
      <c r="G645" s="5"/>
      <c r="H645" s="16"/>
      <c r="I645" s="69"/>
      <c r="J645" s="70"/>
      <c r="K645" s="71"/>
      <c r="L645" s="71"/>
      <c r="M645" s="5"/>
    </row>
    <row r="646" spans="1:13" s="3" customFormat="1">
      <c r="A646" s="1"/>
      <c r="B646" s="8"/>
      <c r="C646" s="5"/>
      <c r="D646" s="12"/>
      <c r="E646" s="9"/>
      <c r="F646" s="9"/>
      <c r="G646" s="5"/>
      <c r="H646" s="16"/>
      <c r="I646" s="69"/>
      <c r="J646" s="70"/>
      <c r="K646" s="71"/>
      <c r="L646" s="71"/>
      <c r="M646" s="5"/>
    </row>
    <row r="647" spans="1:13" s="3" customFormat="1">
      <c r="A647" s="1"/>
      <c r="B647" s="8"/>
      <c r="C647" s="5"/>
      <c r="D647" s="12"/>
      <c r="E647" s="9"/>
      <c r="F647" s="9"/>
      <c r="G647" s="5"/>
      <c r="H647" s="16"/>
      <c r="I647" s="69"/>
      <c r="J647" s="70"/>
      <c r="K647" s="71"/>
      <c r="L647" s="71"/>
      <c r="M647" s="5"/>
    </row>
    <row r="648" spans="1:13" s="3" customFormat="1">
      <c r="A648" s="1"/>
      <c r="B648" s="8"/>
      <c r="C648" s="5"/>
      <c r="D648" s="12"/>
      <c r="E648" s="9"/>
      <c r="F648" s="9"/>
      <c r="G648" s="5"/>
      <c r="H648" s="16"/>
      <c r="I648" s="69"/>
      <c r="J648" s="70"/>
      <c r="K648" s="71"/>
      <c r="L648" s="71"/>
      <c r="M648" s="5"/>
    </row>
    <row r="649" spans="1:13" s="3" customFormat="1">
      <c r="A649" s="1"/>
      <c r="B649" s="8"/>
      <c r="C649" s="5"/>
      <c r="D649" s="12"/>
      <c r="E649" s="9"/>
      <c r="F649" s="9"/>
      <c r="G649" s="5"/>
      <c r="H649" s="16"/>
      <c r="I649" s="69"/>
      <c r="J649" s="70"/>
      <c r="K649" s="71"/>
      <c r="L649" s="71"/>
      <c r="M649" s="5"/>
    </row>
    <row r="650" spans="1:13" s="3" customFormat="1">
      <c r="A650" s="1"/>
      <c r="B650" s="8"/>
      <c r="C650" s="5"/>
      <c r="D650" s="12"/>
      <c r="E650" s="9"/>
      <c r="F650" s="9"/>
      <c r="G650" s="5"/>
      <c r="H650" s="16"/>
      <c r="I650" s="69"/>
      <c r="J650" s="70"/>
      <c r="K650" s="71"/>
      <c r="L650" s="71"/>
      <c r="M650" s="5"/>
    </row>
    <row r="651" spans="1:13" s="3" customFormat="1">
      <c r="A651" s="1"/>
      <c r="B651" s="8"/>
      <c r="C651" s="5"/>
      <c r="D651" s="12"/>
      <c r="E651" s="9"/>
      <c r="F651" s="9"/>
      <c r="G651" s="5"/>
      <c r="H651" s="16"/>
      <c r="I651" s="69"/>
      <c r="J651" s="70"/>
      <c r="K651" s="71"/>
      <c r="L651" s="71"/>
      <c r="M651" s="5"/>
    </row>
    <row r="652" spans="1:13" s="3" customFormat="1">
      <c r="A652" s="1"/>
      <c r="B652" s="8"/>
      <c r="C652" s="5"/>
      <c r="D652" s="12"/>
      <c r="E652" s="9"/>
      <c r="F652" s="9"/>
      <c r="G652" s="5"/>
      <c r="H652" s="16"/>
      <c r="I652" s="69"/>
      <c r="J652" s="70"/>
      <c r="K652" s="71"/>
      <c r="L652" s="71"/>
      <c r="M652" s="5"/>
    </row>
    <row r="653" spans="1:13" s="3" customFormat="1">
      <c r="A653" s="1"/>
      <c r="B653" s="8"/>
      <c r="C653" s="5"/>
      <c r="D653" s="12"/>
      <c r="E653" s="9"/>
      <c r="F653" s="9"/>
      <c r="G653" s="5"/>
      <c r="H653" s="16"/>
      <c r="I653" s="69"/>
      <c r="J653" s="70"/>
      <c r="K653" s="71"/>
      <c r="L653" s="71"/>
      <c r="M653" s="5"/>
    </row>
    <row r="654" spans="1:13" s="3" customFormat="1">
      <c r="A654" s="1"/>
      <c r="B654" s="8"/>
      <c r="C654" s="5"/>
      <c r="D654" s="12"/>
      <c r="E654" s="9"/>
      <c r="F654" s="9"/>
      <c r="G654" s="5"/>
      <c r="H654" s="16"/>
      <c r="I654" s="69"/>
      <c r="J654" s="70"/>
      <c r="K654" s="71"/>
      <c r="L654" s="71"/>
      <c r="M654" s="5"/>
    </row>
    <row r="655" spans="1:13" s="3" customFormat="1">
      <c r="A655" s="1"/>
      <c r="B655" s="8"/>
      <c r="C655" s="5"/>
      <c r="D655" s="12"/>
      <c r="E655" s="9"/>
      <c r="F655" s="9"/>
      <c r="G655" s="5"/>
      <c r="H655" s="16"/>
      <c r="I655" s="69"/>
      <c r="J655" s="70"/>
      <c r="K655" s="71"/>
      <c r="L655" s="71"/>
      <c r="M655" s="5"/>
    </row>
    <row r="656" spans="1:13" s="3" customFormat="1">
      <c r="A656" s="1"/>
      <c r="B656" s="8"/>
      <c r="C656" s="5"/>
      <c r="D656" s="12"/>
      <c r="E656" s="9"/>
      <c r="F656" s="9"/>
      <c r="G656" s="5"/>
      <c r="H656" s="16"/>
      <c r="I656" s="69"/>
      <c r="J656" s="70"/>
      <c r="K656" s="71"/>
      <c r="L656" s="71"/>
      <c r="M656" s="5"/>
    </row>
    <row r="657" spans="1:13" s="3" customFormat="1">
      <c r="A657" s="1"/>
      <c r="B657" s="8"/>
      <c r="C657" s="5"/>
      <c r="D657" s="12"/>
      <c r="E657" s="9"/>
      <c r="F657" s="9"/>
      <c r="G657" s="5"/>
      <c r="H657" s="16"/>
      <c r="I657" s="69"/>
      <c r="J657" s="70"/>
      <c r="K657" s="71"/>
      <c r="L657" s="71"/>
      <c r="M657" s="5"/>
    </row>
    <row r="658" spans="1:13" s="3" customFormat="1">
      <c r="A658" s="1"/>
      <c r="B658" s="8"/>
      <c r="C658" s="5"/>
      <c r="D658" s="12"/>
      <c r="E658" s="9"/>
      <c r="F658" s="9"/>
      <c r="G658" s="5"/>
      <c r="H658" s="16"/>
      <c r="I658" s="69"/>
      <c r="J658" s="70"/>
      <c r="K658" s="71"/>
      <c r="L658" s="71"/>
      <c r="M658" s="5"/>
    </row>
    <row r="659" spans="1:13" s="3" customFormat="1">
      <c r="A659" s="1"/>
      <c r="B659" s="8"/>
      <c r="C659" s="5"/>
      <c r="D659" s="12"/>
      <c r="E659" s="9"/>
      <c r="F659" s="9"/>
      <c r="G659" s="5"/>
      <c r="H659" s="16"/>
      <c r="I659" s="69"/>
      <c r="J659" s="70"/>
      <c r="K659" s="71"/>
      <c r="L659" s="71"/>
      <c r="M659" s="5"/>
    </row>
    <row r="660" spans="1:13" s="3" customFormat="1">
      <c r="A660" s="1"/>
      <c r="B660" s="8"/>
      <c r="C660" s="5"/>
      <c r="D660" s="12"/>
      <c r="E660" s="9"/>
      <c r="F660" s="9"/>
      <c r="G660" s="5"/>
      <c r="H660" s="16"/>
      <c r="I660" s="69"/>
      <c r="J660" s="70"/>
      <c r="K660" s="71"/>
      <c r="L660" s="71"/>
      <c r="M660" s="5"/>
    </row>
    <row r="661" spans="1:13" s="3" customFormat="1">
      <c r="A661" s="1"/>
      <c r="B661" s="8"/>
      <c r="C661" s="5"/>
      <c r="D661" s="12"/>
      <c r="E661" s="9"/>
      <c r="F661" s="9"/>
      <c r="G661" s="5"/>
      <c r="H661" s="16"/>
      <c r="I661" s="69"/>
      <c r="J661" s="70"/>
      <c r="K661" s="71"/>
      <c r="L661" s="71"/>
      <c r="M661" s="5"/>
    </row>
    <row r="662" spans="1:13" s="3" customFormat="1">
      <c r="A662" s="1"/>
      <c r="B662" s="8"/>
      <c r="C662" s="5"/>
      <c r="D662" s="12"/>
      <c r="E662" s="9"/>
      <c r="F662" s="9"/>
      <c r="G662" s="5"/>
      <c r="H662" s="16"/>
      <c r="I662" s="69"/>
      <c r="J662" s="70"/>
      <c r="K662" s="71"/>
      <c r="L662" s="71"/>
      <c r="M662" s="5"/>
    </row>
    <row r="663" spans="1:13" s="3" customFormat="1">
      <c r="A663" s="1"/>
      <c r="B663" s="8"/>
      <c r="C663" s="5"/>
      <c r="D663" s="12"/>
      <c r="E663" s="9"/>
      <c r="F663" s="9"/>
      <c r="G663" s="5"/>
      <c r="H663" s="16"/>
      <c r="I663" s="69"/>
      <c r="J663" s="70"/>
      <c r="K663" s="71"/>
      <c r="L663" s="71"/>
      <c r="M663" s="5"/>
    </row>
    <row r="664" spans="1:13" s="3" customFormat="1">
      <c r="A664" s="1"/>
      <c r="B664" s="8"/>
      <c r="C664" s="5"/>
      <c r="D664" s="12"/>
      <c r="E664" s="9"/>
      <c r="F664" s="9"/>
      <c r="G664" s="5"/>
      <c r="H664" s="16"/>
      <c r="I664" s="69"/>
      <c r="J664" s="70"/>
      <c r="K664" s="71"/>
      <c r="L664" s="71"/>
      <c r="M664" s="5"/>
    </row>
    <row r="665" spans="1:13" s="3" customFormat="1">
      <c r="A665" s="1"/>
      <c r="B665" s="8"/>
      <c r="C665" s="5"/>
      <c r="D665" s="12"/>
      <c r="E665" s="9"/>
      <c r="F665" s="9"/>
      <c r="G665" s="5"/>
      <c r="H665" s="16"/>
      <c r="I665" s="69"/>
      <c r="J665" s="70"/>
      <c r="K665" s="71"/>
      <c r="L665" s="71"/>
      <c r="M665" s="5"/>
    </row>
    <row r="666" spans="1:13" s="3" customFormat="1">
      <c r="A666" s="1"/>
      <c r="B666" s="8"/>
      <c r="C666" s="5"/>
      <c r="D666" s="12"/>
      <c r="E666" s="9"/>
      <c r="F666" s="9"/>
      <c r="G666" s="5"/>
      <c r="H666" s="16"/>
      <c r="I666" s="69"/>
      <c r="J666" s="70"/>
      <c r="K666" s="71"/>
      <c r="L666" s="71"/>
      <c r="M666" s="5"/>
    </row>
    <row r="667" spans="1:13" s="3" customFormat="1">
      <c r="A667" s="1"/>
      <c r="B667" s="8"/>
      <c r="C667" s="5"/>
      <c r="D667" s="12"/>
      <c r="E667" s="9"/>
      <c r="F667" s="9"/>
      <c r="G667" s="5"/>
      <c r="H667" s="16"/>
      <c r="I667" s="69"/>
      <c r="J667" s="70"/>
      <c r="K667" s="71"/>
      <c r="L667" s="71"/>
      <c r="M667" s="5"/>
    </row>
    <row r="668" spans="1:13" s="3" customFormat="1">
      <c r="A668" s="1"/>
      <c r="B668" s="8"/>
      <c r="C668" s="5"/>
      <c r="D668" s="12"/>
      <c r="E668" s="9"/>
      <c r="F668" s="9"/>
      <c r="G668" s="5"/>
      <c r="H668" s="16"/>
      <c r="I668" s="69"/>
      <c r="J668" s="70"/>
      <c r="K668" s="71"/>
      <c r="L668" s="71"/>
      <c r="M668" s="5"/>
    </row>
    <row r="669" spans="1:13" s="3" customFormat="1">
      <c r="A669" s="1"/>
      <c r="B669" s="8"/>
      <c r="C669" s="5"/>
      <c r="D669" s="12"/>
      <c r="E669" s="9"/>
      <c r="F669" s="9"/>
      <c r="G669" s="5"/>
      <c r="H669" s="16"/>
      <c r="I669" s="69"/>
      <c r="J669" s="70"/>
      <c r="K669" s="71"/>
      <c r="L669" s="71"/>
      <c r="M669" s="5"/>
    </row>
    <row r="670" spans="1:13" s="3" customFormat="1">
      <c r="A670" s="1"/>
      <c r="B670" s="8"/>
      <c r="C670" s="5"/>
      <c r="D670" s="12"/>
      <c r="E670" s="9"/>
      <c r="F670" s="9"/>
      <c r="G670" s="5"/>
      <c r="H670" s="16"/>
      <c r="I670" s="69"/>
      <c r="J670" s="70"/>
      <c r="K670" s="71"/>
      <c r="L670" s="71"/>
      <c r="M670" s="5"/>
    </row>
    <row r="671" spans="1:13" s="3" customFormat="1">
      <c r="A671" s="1"/>
      <c r="B671" s="8"/>
      <c r="C671" s="5"/>
      <c r="D671" s="12"/>
      <c r="E671" s="9"/>
      <c r="F671" s="9"/>
      <c r="G671" s="5"/>
      <c r="H671" s="16"/>
      <c r="I671" s="69"/>
      <c r="J671" s="70"/>
      <c r="K671" s="71"/>
      <c r="L671" s="71"/>
      <c r="M671" s="5"/>
    </row>
    <row r="672" spans="1:13" s="3" customFormat="1">
      <c r="A672" s="1"/>
      <c r="B672" s="8"/>
      <c r="C672" s="5"/>
      <c r="D672" s="12"/>
      <c r="E672" s="9"/>
      <c r="F672" s="9"/>
      <c r="G672" s="5"/>
      <c r="H672" s="16"/>
      <c r="I672" s="69"/>
      <c r="J672" s="70"/>
      <c r="K672" s="71"/>
      <c r="L672" s="71"/>
      <c r="M672" s="5"/>
    </row>
    <row r="673" spans="1:13" s="3" customFormat="1">
      <c r="A673" s="1"/>
      <c r="B673" s="8"/>
      <c r="C673" s="5"/>
      <c r="D673" s="12"/>
      <c r="E673" s="9"/>
      <c r="F673" s="9"/>
      <c r="G673" s="5"/>
      <c r="H673" s="16"/>
      <c r="I673" s="69"/>
      <c r="J673" s="70"/>
      <c r="K673" s="71"/>
      <c r="L673" s="71"/>
      <c r="M673" s="5"/>
    </row>
    <row r="674" spans="1:13" s="3" customFormat="1">
      <c r="A674" s="1"/>
      <c r="B674" s="8"/>
      <c r="C674" s="5"/>
      <c r="D674" s="12"/>
      <c r="E674" s="9"/>
      <c r="F674" s="9"/>
      <c r="G674" s="5"/>
      <c r="H674" s="16"/>
      <c r="I674" s="69"/>
      <c r="J674" s="70"/>
      <c r="K674" s="71"/>
      <c r="L674" s="71"/>
      <c r="M674" s="5"/>
    </row>
    <row r="675" spans="1:13" s="3" customFormat="1">
      <c r="A675" s="1"/>
      <c r="B675" s="8"/>
      <c r="C675" s="5"/>
      <c r="D675" s="12"/>
      <c r="E675" s="9"/>
      <c r="F675" s="9"/>
      <c r="G675" s="5"/>
      <c r="H675" s="16"/>
      <c r="I675" s="69"/>
      <c r="J675" s="70"/>
      <c r="K675" s="71"/>
      <c r="L675" s="71"/>
      <c r="M675" s="5"/>
    </row>
    <row r="676" spans="1:13" s="3" customFormat="1">
      <c r="A676" s="1"/>
      <c r="B676" s="8"/>
      <c r="C676" s="5"/>
      <c r="D676" s="12"/>
      <c r="E676" s="9"/>
      <c r="F676" s="9"/>
      <c r="G676" s="5"/>
      <c r="H676" s="16"/>
      <c r="I676" s="69"/>
      <c r="J676" s="70"/>
      <c r="K676" s="71"/>
      <c r="L676" s="71"/>
      <c r="M676" s="5"/>
    </row>
    <row r="677" spans="1:13" s="3" customFormat="1">
      <c r="A677" s="1"/>
      <c r="B677" s="8"/>
      <c r="C677" s="5"/>
      <c r="D677" s="12"/>
      <c r="E677" s="9"/>
      <c r="F677" s="9"/>
      <c r="G677" s="5"/>
      <c r="H677" s="16"/>
      <c r="I677" s="69"/>
      <c r="J677" s="70"/>
      <c r="K677" s="71"/>
      <c r="L677" s="71"/>
      <c r="M677" s="5"/>
    </row>
    <row r="678" spans="1:13" s="3" customFormat="1">
      <c r="A678" s="1"/>
      <c r="B678" s="8"/>
      <c r="C678" s="5"/>
      <c r="D678" s="12"/>
      <c r="E678" s="9"/>
      <c r="F678" s="9"/>
      <c r="G678" s="5"/>
      <c r="H678" s="16"/>
      <c r="I678" s="69"/>
      <c r="J678" s="70"/>
      <c r="K678" s="71"/>
      <c r="L678" s="71"/>
      <c r="M678" s="5"/>
    </row>
    <row r="679" spans="1:13" s="3" customFormat="1">
      <c r="A679" s="1"/>
      <c r="B679" s="8"/>
      <c r="C679" s="5"/>
      <c r="D679" s="12"/>
      <c r="E679" s="9"/>
      <c r="F679" s="9"/>
      <c r="G679" s="5"/>
      <c r="H679" s="16"/>
      <c r="I679" s="69"/>
      <c r="J679" s="70"/>
      <c r="K679" s="71"/>
      <c r="L679" s="71"/>
      <c r="M679" s="5"/>
    </row>
    <row r="680" spans="1:13" s="3" customFormat="1">
      <c r="A680" s="1"/>
      <c r="B680" s="8"/>
      <c r="C680" s="5"/>
      <c r="D680" s="12"/>
      <c r="E680" s="9"/>
      <c r="F680" s="9"/>
      <c r="G680" s="5"/>
      <c r="H680" s="16"/>
      <c r="I680" s="69"/>
      <c r="J680" s="70"/>
      <c r="K680" s="71"/>
      <c r="L680" s="71"/>
      <c r="M680" s="5"/>
    </row>
    <row r="681" spans="1:13" s="3" customFormat="1">
      <c r="A681" s="1"/>
      <c r="B681" s="8"/>
      <c r="C681" s="5"/>
      <c r="D681" s="12"/>
      <c r="E681" s="9"/>
      <c r="F681" s="9"/>
      <c r="G681" s="5"/>
      <c r="H681" s="16"/>
      <c r="I681" s="69"/>
      <c r="J681" s="70"/>
      <c r="K681" s="71"/>
      <c r="L681" s="71"/>
      <c r="M681" s="5"/>
    </row>
    <row r="682" spans="1:13" s="3" customFormat="1">
      <c r="A682" s="1"/>
      <c r="B682" s="8"/>
      <c r="C682" s="5"/>
      <c r="D682" s="12"/>
      <c r="E682" s="9"/>
      <c r="F682" s="9"/>
      <c r="G682" s="5"/>
      <c r="H682" s="16"/>
      <c r="I682" s="69"/>
      <c r="J682" s="70"/>
      <c r="K682" s="71"/>
      <c r="L682" s="71"/>
      <c r="M682" s="5"/>
    </row>
    <row r="683" spans="1:13" s="3" customFormat="1">
      <c r="A683" s="1"/>
      <c r="B683" s="8"/>
      <c r="C683" s="5"/>
      <c r="D683" s="12"/>
      <c r="E683" s="9"/>
      <c r="F683" s="9"/>
      <c r="G683" s="5"/>
      <c r="H683" s="16"/>
      <c r="I683" s="69"/>
      <c r="J683" s="70"/>
      <c r="K683" s="71"/>
      <c r="L683" s="71"/>
      <c r="M683" s="5"/>
    </row>
    <row r="684" spans="1:13" s="3" customFormat="1">
      <c r="A684" s="1"/>
      <c r="B684" s="8"/>
      <c r="C684" s="5"/>
      <c r="D684" s="12"/>
      <c r="E684" s="9"/>
      <c r="F684" s="9"/>
      <c r="G684" s="5"/>
      <c r="H684" s="16"/>
      <c r="I684" s="69"/>
      <c r="J684" s="70"/>
      <c r="K684" s="71"/>
      <c r="L684" s="71"/>
      <c r="M684" s="5"/>
    </row>
    <row r="685" spans="1:13" s="3" customFormat="1">
      <c r="A685" s="1"/>
      <c r="B685" s="8"/>
      <c r="C685" s="5"/>
      <c r="D685" s="12"/>
      <c r="E685" s="9"/>
      <c r="F685" s="9"/>
      <c r="G685" s="5"/>
      <c r="H685" s="16"/>
      <c r="I685" s="69"/>
      <c r="J685" s="70"/>
      <c r="K685" s="71"/>
      <c r="L685" s="71"/>
      <c r="M685" s="5"/>
    </row>
    <row r="686" spans="1:13" s="3" customFormat="1">
      <c r="A686" s="1"/>
      <c r="B686" s="8"/>
      <c r="C686" s="5"/>
      <c r="D686" s="12"/>
      <c r="E686" s="9"/>
      <c r="F686" s="9"/>
      <c r="G686" s="5"/>
      <c r="H686" s="16"/>
      <c r="I686" s="69"/>
      <c r="J686" s="70"/>
      <c r="K686" s="71"/>
      <c r="L686" s="71"/>
      <c r="M686" s="5"/>
    </row>
    <row r="687" spans="1:13" s="3" customFormat="1">
      <c r="A687" s="1"/>
      <c r="B687" s="8"/>
      <c r="C687" s="5"/>
      <c r="D687" s="12"/>
      <c r="E687" s="9"/>
      <c r="F687" s="9"/>
      <c r="G687" s="5"/>
      <c r="H687" s="16"/>
      <c r="I687" s="69"/>
      <c r="J687" s="70"/>
      <c r="K687" s="71"/>
      <c r="L687" s="71"/>
      <c r="M687" s="5"/>
    </row>
    <row r="688" spans="1:13" s="3" customFormat="1">
      <c r="A688" s="1"/>
      <c r="B688" s="8"/>
      <c r="C688" s="5"/>
      <c r="D688" s="12"/>
      <c r="E688" s="9"/>
      <c r="F688" s="9"/>
      <c r="G688" s="5"/>
      <c r="H688" s="16"/>
      <c r="I688" s="69"/>
      <c r="J688" s="70"/>
      <c r="K688" s="71"/>
      <c r="L688" s="71"/>
      <c r="M688" s="5"/>
    </row>
    <row r="689" spans="1:13" s="3" customFormat="1">
      <c r="A689" s="1"/>
      <c r="B689" s="8"/>
      <c r="C689" s="5"/>
      <c r="D689" s="12"/>
      <c r="E689" s="9"/>
      <c r="F689" s="9"/>
      <c r="G689" s="5"/>
      <c r="H689" s="16"/>
      <c r="I689" s="69"/>
      <c r="J689" s="70"/>
      <c r="K689" s="71"/>
      <c r="L689" s="71"/>
      <c r="M689" s="5"/>
    </row>
    <row r="690" spans="1:13" s="3" customFormat="1">
      <c r="A690" s="1"/>
      <c r="B690" s="8"/>
      <c r="C690" s="5"/>
      <c r="D690" s="12"/>
      <c r="E690" s="9"/>
      <c r="F690" s="9"/>
      <c r="G690" s="5"/>
      <c r="H690" s="16"/>
      <c r="I690" s="69"/>
      <c r="J690" s="70"/>
      <c r="K690" s="71"/>
      <c r="L690" s="71"/>
      <c r="M690" s="5"/>
    </row>
    <row r="691" spans="1:13" s="3" customFormat="1">
      <c r="A691" s="1"/>
      <c r="B691" s="8"/>
      <c r="C691" s="5"/>
      <c r="D691" s="12"/>
      <c r="E691" s="9"/>
      <c r="F691" s="9"/>
      <c r="G691" s="5"/>
      <c r="H691" s="16"/>
      <c r="I691" s="69"/>
      <c r="J691" s="70"/>
      <c r="K691" s="71"/>
      <c r="L691" s="71"/>
      <c r="M691" s="5"/>
    </row>
    <row r="692" spans="1:13" s="3" customFormat="1">
      <c r="A692" s="1"/>
      <c r="B692" s="8"/>
      <c r="C692" s="5"/>
      <c r="D692" s="12"/>
      <c r="E692" s="9"/>
      <c r="F692" s="9"/>
      <c r="G692" s="5"/>
      <c r="H692" s="16"/>
      <c r="I692" s="69"/>
      <c r="J692" s="70"/>
      <c r="K692" s="71"/>
      <c r="L692" s="71"/>
      <c r="M692" s="5"/>
    </row>
    <row r="693" spans="1:13" s="3" customFormat="1">
      <c r="A693" s="1"/>
      <c r="B693" s="8"/>
      <c r="C693" s="5"/>
      <c r="D693" s="12"/>
      <c r="E693" s="9"/>
      <c r="F693" s="9"/>
      <c r="G693" s="5"/>
      <c r="H693" s="16"/>
      <c r="I693" s="69"/>
      <c r="J693" s="70"/>
      <c r="K693" s="71"/>
      <c r="L693" s="71"/>
      <c r="M693" s="5"/>
    </row>
    <row r="694" spans="1:13" s="3" customFormat="1">
      <c r="A694" s="1"/>
      <c r="B694" s="8"/>
      <c r="C694" s="5"/>
      <c r="D694" s="12"/>
      <c r="E694" s="9"/>
      <c r="F694" s="9"/>
      <c r="G694" s="5"/>
      <c r="H694" s="16"/>
      <c r="I694" s="69"/>
      <c r="J694" s="70"/>
      <c r="K694" s="71"/>
      <c r="L694" s="71"/>
      <c r="M694" s="5"/>
    </row>
    <row r="695" spans="1:13" s="3" customFormat="1">
      <c r="A695" s="1"/>
      <c r="B695" s="8"/>
      <c r="C695" s="5"/>
      <c r="D695" s="12"/>
      <c r="E695" s="9"/>
      <c r="F695" s="9"/>
      <c r="G695" s="5"/>
      <c r="H695" s="16"/>
      <c r="I695" s="69"/>
      <c r="J695" s="70"/>
      <c r="K695" s="71"/>
      <c r="L695" s="71"/>
      <c r="M695" s="5"/>
    </row>
    <row r="696" spans="1:13" s="3" customFormat="1">
      <c r="A696" s="1"/>
      <c r="B696" s="8"/>
      <c r="C696" s="5"/>
      <c r="D696" s="12"/>
      <c r="E696" s="9"/>
      <c r="F696" s="9"/>
      <c r="G696" s="5"/>
      <c r="H696" s="16"/>
      <c r="I696" s="69"/>
      <c r="J696" s="70"/>
      <c r="K696" s="71"/>
      <c r="L696" s="71"/>
      <c r="M696" s="5"/>
    </row>
    <row r="697" spans="1:13" s="3" customFormat="1">
      <c r="A697" s="1"/>
      <c r="B697" s="8"/>
      <c r="C697" s="5"/>
      <c r="D697" s="12"/>
      <c r="E697" s="9"/>
      <c r="F697" s="9"/>
      <c r="G697" s="5"/>
      <c r="H697" s="16"/>
      <c r="I697" s="69"/>
      <c r="J697" s="70"/>
      <c r="K697" s="71"/>
      <c r="L697" s="71"/>
      <c r="M697" s="5"/>
    </row>
    <row r="698" spans="1:13" s="3" customFormat="1">
      <c r="A698" s="1"/>
      <c r="B698" s="8"/>
      <c r="C698" s="5"/>
      <c r="D698" s="12"/>
      <c r="E698" s="9"/>
      <c r="F698" s="9"/>
      <c r="G698" s="5"/>
      <c r="H698" s="16"/>
      <c r="I698" s="69"/>
      <c r="J698" s="70"/>
      <c r="K698" s="71"/>
      <c r="L698" s="71"/>
      <c r="M698" s="5"/>
    </row>
    <row r="699" spans="1:13" s="3" customFormat="1">
      <c r="A699" s="1"/>
      <c r="B699" s="8"/>
      <c r="C699" s="5"/>
      <c r="D699" s="12"/>
      <c r="E699" s="9"/>
      <c r="F699" s="9"/>
      <c r="G699" s="5"/>
      <c r="H699" s="16"/>
      <c r="I699" s="69"/>
      <c r="J699" s="70"/>
      <c r="K699" s="71"/>
      <c r="L699" s="71"/>
      <c r="M699" s="5"/>
    </row>
    <row r="700" spans="1:13" s="3" customFormat="1">
      <c r="A700" s="1"/>
      <c r="B700" s="8"/>
      <c r="C700" s="5"/>
      <c r="D700" s="12"/>
      <c r="E700" s="9"/>
      <c r="F700" s="9"/>
      <c r="G700" s="5"/>
      <c r="H700" s="16"/>
      <c r="I700" s="69"/>
      <c r="J700" s="70"/>
      <c r="K700" s="71"/>
      <c r="L700" s="71"/>
      <c r="M700" s="5"/>
    </row>
    <row r="701" spans="1:13" s="3" customFormat="1">
      <c r="A701" s="1"/>
      <c r="B701" s="8"/>
      <c r="C701" s="5"/>
      <c r="D701" s="12"/>
      <c r="E701" s="9"/>
      <c r="F701" s="9"/>
      <c r="G701" s="5"/>
      <c r="H701" s="16"/>
      <c r="I701" s="69"/>
      <c r="J701" s="70"/>
      <c r="K701" s="71"/>
      <c r="L701" s="71"/>
      <c r="M701" s="5"/>
    </row>
    <row r="702" spans="1:13" s="3" customFormat="1">
      <c r="A702" s="1"/>
      <c r="B702" s="8"/>
      <c r="C702" s="5"/>
      <c r="D702" s="12"/>
      <c r="E702" s="9"/>
      <c r="F702" s="9"/>
      <c r="G702" s="5"/>
      <c r="H702" s="16"/>
      <c r="I702" s="69"/>
      <c r="J702" s="70"/>
      <c r="K702" s="71"/>
      <c r="L702" s="71"/>
      <c r="M702" s="5"/>
    </row>
    <row r="703" spans="1:13" s="3" customFormat="1">
      <c r="A703" s="1"/>
      <c r="B703" s="8"/>
      <c r="C703" s="5"/>
      <c r="D703" s="12"/>
      <c r="E703" s="9"/>
      <c r="F703" s="9"/>
      <c r="G703" s="5"/>
      <c r="H703" s="16"/>
      <c r="I703" s="69"/>
      <c r="J703" s="70"/>
      <c r="K703" s="71"/>
      <c r="L703" s="71"/>
      <c r="M703" s="5"/>
    </row>
    <row r="704" spans="1:13" s="3" customFormat="1">
      <c r="A704" s="1"/>
      <c r="B704" s="8"/>
      <c r="C704" s="5"/>
      <c r="D704" s="12"/>
      <c r="E704" s="9"/>
      <c r="F704" s="9"/>
      <c r="G704" s="5"/>
      <c r="H704" s="16"/>
      <c r="I704" s="69"/>
      <c r="J704" s="70"/>
      <c r="K704" s="71"/>
      <c r="L704" s="71"/>
      <c r="M704" s="5"/>
    </row>
    <row r="705" spans="1:13" s="3" customFormat="1">
      <c r="A705" s="1"/>
      <c r="B705" s="8"/>
      <c r="C705" s="5"/>
      <c r="D705" s="12"/>
      <c r="E705" s="9"/>
      <c r="F705" s="9"/>
      <c r="G705" s="5"/>
      <c r="H705" s="16"/>
      <c r="I705" s="69"/>
      <c r="J705" s="70"/>
      <c r="K705" s="71"/>
      <c r="L705" s="71"/>
      <c r="M705" s="5"/>
    </row>
    <row r="706" spans="1:13" s="3" customFormat="1">
      <c r="A706" s="1"/>
      <c r="B706" s="8"/>
      <c r="C706" s="5"/>
      <c r="D706" s="12"/>
      <c r="E706" s="9"/>
      <c r="F706" s="9"/>
      <c r="G706" s="5"/>
      <c r="H706" s="16"/>
      <c r="I706" s="69"/>
      <c r="J706" s="70"/>
      <c r="K706" s="71"/>
      <c r="L706" s="71"/>
      <c r="M706" s="5"/>
    </row>
    <row r="707" spans="1:13" s="3" customFormat="1">
      <c r="A707" s="1"/>
      <c r="B707" s="8"/>
      <c r="C707" s="5"/>
      <c r="D707" s="12"/>
      <c r="E707" s="9"/>
      <c r="F707" s="9"/>
      <c r="G707" s="5"/>
      <c r="H707" s="16"/>
      <c r="I707" s="69"/>
      <c r="J707" s="70"/>
      <c r="K707" s="71"/>
      <c r="L707" s="71"/>
      <c r="M707" s="5"/>
    </row>
    <row r="708" spans="1:13" s="3" customFormat="1">
      <c r="A708" s="1"/>
      <c r="B708" s="8"/>
      <c r="C708" s="5"/>
      <c r="D708" s="12"/>
      <c r="E708" s="9"/>
      <c r="F708" s="9"/>
      <c r="G708" s="5"/>
      <c r="H708" s="16"/>
      <c r="I708" s="69"/>
      <c r="J708" s="70"/>
      <c r="K708" s="71"/>
      <c r="L708" s="71"/>
      <c r="M708" s="5"/>
    </row>
    <row r="709" spans="1:13" s="3" customFormat="1">
      <c r="A709" s="1"/>
      <c r="B709" s="8"/>
      <c r="C709" s="5"/>
      <c r="D709" s="12"/>
      <c r="E709" s="9"/>
      <c r="F709" s="9"/>
      <c r="G709" s="5"/>
      <c r="H709" s="16"/>
      <c r="I709" s="69"/>
      <c r="J709" s="70"/>
      <c r="K709" s="71"/>
      <c r="L709" s="71"/>
      <c r="M709" s="5"/>
    </row>
    <row r="710" spans="1:13" s="3" customFormat="1">
      <c r="A710" s="1"/>
      <c r="B710" s="8"/>
      <c r="C710" s="5"/>
      <c r="D710" s="12"/>
      <c r="E710" s="9"/>
      <c r="F710" s="9"/>
      <c r="G710" s="5"/>
      <c r="H710" s="16"/>
      <c r="I710" s="69"/>
      <c r="J710" s="70"/>
      <c r="K710" s="71"/>
      <c r="L710" s="71"/>
      <c r="M710" s="5"/>
    </row>
    <row r="711" spans="1:13" s="3" customFormat="1">
      <c r="A711" s="1"/>
      <c r="B711" s="8"/>
      <c r="C711" s="5"/>
      <c r="D711" s="12"/>
      <c r="E711" s="9"/>
      <c r="F711" s="9"/>
      <c r="G711" s="5"/>
      <c r="H711" s="16"/>
      <c r="I711" s="69"/>
      <c r="J711" s="70"/>
      <c r="K711" s="71"/>
      <c r="L711" s="71"/>
      <c r="M711" s="5"/>
    </row>
    <row r="712" spans="1:13" s="3" customFormat="1">
      <c r="A712" s="1"/>
      <c r="B712" s="8"/>
      <c r="C712" s="5"/>
      <c r="D712" s="12"/>
      <c r="E712" s="9"/>
      <c r="F712" s="9"/>
      <c r="G712" s="5"/>
      <c r="H712" s="16"/>
      <c r="I712" s="69"/>
      <c r="J712" s="70"/>
      <c r="K712" s="71"/>
      <c r="L712" s="71"/>
      <c r="M712" s="5"/>
    </row>
    <row r="713" spans="1:13" s="3" customFormat="1">
      <c r="A713" s="1"/>
      <c r="B713" s="8"/>
      <c r="C713" s="5"/>
      <c r="D713" s="12"/>
      <c r="E713" s="9"/>
      <c r="F713" s="9"/>
      <c r="G713" s="5"/>
      <c r="H713" s="16"/>
      <c r="I713" s="69"/>
      <c r="J713" s="70"/>
      <c r="K713" s="71"/>
      <c r="L713" s="71"/>
      <c r="M713" s="5"/>
    </row>
    <row r="714" spans="1:13" s="3" customFormat="1">
      <c r="A714" s="1"/>
      <c r="B714" s="8"/>
      <c r="C714" s="5"/>
      <c r="D714" s="12"/>
      <c r="E714" s="9"/>
      <c r="F714" s="9"/>
      <c r="G714" s="5"/>
      <c r="H714" s="16"/>
      <c r="I714" s="69"/>
      <c r="J714" s="70"/>
      <c r="K714" s="71"/>
      <c r="L714" s="71"/>
      <c r="M714" s="5"/>
    </row>
    <row r="715" spans="1:13" s="3" customFormat="1">
      <c r="A715" s="1"/>
      <c r="B715" s="8"/>
      <c r="C715" s="5"/>
      <c r="D715" s="12"/>
      <c r="E715" s="9"/>
      <c r="F715" s="9"/>
      <c r="G715" s="5"/>
      <c r="H715" s="16"/>
      <c r="I715" s="69"/>
      <c r="J715" s="70"/>
      <c r="K715" s="71"/>
      <c r="L715" s="71"/>
      <c r="M715" s="5"/>
    </row>
    <row r="716" spans="1:13" s="3" customFormat="1">
      <c r="A716" s="1"/>
      <c r="B716" s="8"/>
      <c r="C716" s="5"/>
      <c r="D716" s="12"/>
      <c r="E716" s="9"/>
      <c r="F716" s="9"/>
      <c r="G716" s="5"/>
      <c r="H716" s="16"/>
      <c r="I716" s="69"/>
      <c r="J716" s="70"/>
      <c r="K716" s="71"/>
      <c r="L716" s="71"/>
      <c r="M716" s="5"/>
    </row>
    <row r="717" spans="1:13" s="3" customFormat="1">
      <c r="A717" s="1"/>
      <c r="B717" s="8"/>
      <c r="C717" s="5"/>
      <c r="D717" s="12"/>
      <c r="E717" s="9"/>
      <c r="F717" s="9"/>
      <c r="G717" s="5"/>
      <c r="H717" s="16"/>
      <c r="I717" s="69"/>
      <c r="J717" s="70"/>
      <c r="K717" s="71"/>
      <c r="L717" s="71"/>
      <c r="M717" s="5"/>
    </row>
    <row r="718" spans="1:13" s="3" customFormat="1">
      <c r="A718" s="1"/>
      <c r="B718" s="8"/>
      <c r="C718" s="5"/>
      <c r="D718" s="12"/>
      <c r="E718" s="9"/>
      <c r="F718" s="9"/>
      <c r="G718" s="5"/>
      <c r="H718" s="16"/>
      <c r="I718" s="69"/>
      <c r="J718" s="70"/>
      <c r="K718" s="71"/>
      <c r="L718" s="71"/>
      <c r="M718" s="5"/>
    </row>
    <row r="719" spans="1:13" s="3" customFormat="1">
      <c r="A719" s="1"/>
      <c r="B719" s="8"/>
      <c r="C719" s="5"/>
      <c r="D719" s="12"/>
      <c r="E719" s="9"/>
      <c r="F719" s="9"/>
      <c r="G719" s="5"/>
      <c r="H719" s="16"/>
      <c r="I719" s="69"/>
      <c r="J719" s="70"/>
      <c r="K719" s="71"/>
      <c r="L719" s="71"/>
      <c r="M719" s="5"/>
    </row>
    <row r="720" spans="1:13" s="3" customFormat="1">
      <c r="A720" s="1"/>
      <c r="B720" s="8"/>
      <c r="C720" s="5"/>
      <c r="D720" s="12"/>
      <c r="E720" s="9"/>
      <c r="F720" s="9"/>
      <c r="G720" s="5"/>
      <c r="H720" s="16"/>
      <c r="I720" s="69"/>
      <c r="J720" s="70"/>
      <c r="K720" s="71"/>
      <c r="L720" s="71"/>
      <c r="M720" s="5"/>
    </row>
    <row r="721" spans="1:13" s="3" customFormat="1">
      <c r="A721" s="1"/>
      <c r="B721" s="8"/>
      <c r="C721" s="5"/>
      <c r="D721" s="12"/>
      <c r="E721" s="9"/>
      <c r="F721" s="9"/>
      <c r="G721" s="5"/>
      <c r="H721" s="16"/>
      <c r="I721" s="69"/>
      <c r="J721" s="70"/>
      <c r="K721" s="71"/>
      <c r="L721" s="71"/>
      <c r="M721" s="5"/>
    </row>
    <row r="722" spans="1:13" s="3" customFormat="1">
      <c r="A722" s="1"/>
      <c r="B722" s="8"/>
      <c r="C722" s="5"/>
      <c r="D722" s="12"/>
      <c r="E722" s="9"/>
      <c r="F722" s="9"/>
      <c r="G722" s="5"/>
      <c r="H722" s="16"/>
      <c r="I722" s="69"/>
      <c r="J722" s="70"/>
      <c r="K722" s="71"/>
      <c r="L722" s="71"/>
      <c r="M722" s="5"/>
    </row>
    <row r="723" spans="1:13" s="3" customFormat="1">
      <c r="A723" s="1"/>
      <c r="B723" s="8"/>
      <c r="C723" s="5"/>
      <c r="D723" s="12"/>
      <c r="E723" s="9"/>
      <c r="F723" s="9"/>
      <c r="G723" s="5"/>
      <c r="H723" s="16"/>
      <c r="I723" s="69"/>
      <c r="J723" s="70"/>
      <c r="K723" s="71"/>
      <c r="L723" s="71"/>
      <c r="M723" s="5"/>
    </row>
    <row r="724" spans="1:13" s="3" customFormat="1">
      <c r="A724" s="1"/>
      <c r="B724" s="8"/>
      <c r="C724" s="5"/>
      <c r="D724" s="12"/>
      <c r="E724" s="9"/>
      <c r="F724" s="9"/>
      <c r="G724" s="5"/>
      <c r="H724" s="16"/>
      <c r="I724" s="69"/>
      <c r="J724" s="70"/>
      <c r="K724" s="71"/>
      <c r="L724" s="71"/>
      <c r="M724" s="5"/>
    </row>
    <row r="725" spans="1:13" s="3" customFormat="1">
      <c r="A725" s="1"/>
      <c r="B725" s="8"/>
      <c r="C725" s="5"/>
      <c r="D725" s="12"/>
      <c r="E725" s="9"/>
      <c r="F725" s="9"/>
      <c r="G725" s="5"/>
      <c r="H725" s="16"/>
      <c r="I725" s="69"/>
      <c r="J725" s="70"/>
      <c r="K725" s="71"/>
      <c r="L725" s="71"/>
      <c r="M725" s="5"/>
    </row>
    <row r="726" spans="1:13" s="3" customFormat="1">
      <c r="A726" s="1"/>
      <c r="B726" s="8"/>
      <c r="C726" s="5"/>
      <c r="D726" s="12"/>
      <c r="E726" s="9"/>
      <c r="F726" s="9"/>
      <c r="G726" s="5"/>
      <c r="H726" s="16"/>
      <c r="I726" s="69"/>
      <c r="J726" s="70"/>
      <c r="K726" s="71"/>
      <c r="L726" s="71"/>
      <c r="M726" s="5"/>
    </row>
    <row r="727" spans="1:13" s="3" customFormat="1">
      <c r="A727" s="1"/>
      <c r="B727" s="8"/>
      <c r="C727" s="5"/>
      <c r="D727" s="12"/>
      <c r="E727" s="9"/>
      <c r="F727" s="9"/>
      <c r="G727" s="5"/>
      <c r="H727" s="16"/>
      <c r="I727" s="69"/>
      <c r="J727" s="70"/>
      <c r="K727" s="71"/>
      <c r="L727" s="71"/>
      <c r="M727" s="5"/>
    </row>
    <row r="728" spans="1:13" s="3" customFormat="1">
      <c r="A728" s="1"/>
      <c r="B728" s="8"/>
      <c r="C728" s="5"/>
      <c r="D728" s="12"/>
      <c r="E728" s="9"/>
      <c r="F728" s="9"/>
      <c r="G728" s="5"/>
      <c r="H728" s="16"/>
      <c r="I728" s="69"/>
      <c r="J728" s="70"/>
      <c r="K728" s="71"/>
      <c r="L728" s="71"/>
      <c r="M728" s="5"/>
    </row>
    <row r="729" spans="1:13" s="3" customFormat="1">
      <c r="A729" s="1"/>
      <c r="B729" s="8"/>
      <c r="C729" s="5"/>
      <c r="D729" s="12"/>
      <c r="E729" s="9"/>
      <c r="F729" s="9"/>
      <c r="G729" s="5"/>
      <c r="H729" s="16"/>
      <c r="I729" s="69"/>
      <c r="J729" s="70"/>
      <c r="K729" s="71"/>
      <c r="L729" s="71"/>
      <c r="M729" s="5"/>
    </row>
    <row r="730" spans="1:13" s="3" customFormat="1">
      <c r="A730" s="1"/>
      <c r="B730" s="8"/>
      <c r="C730" s="5"/>
      <c r="D730" s="12"/>
      <c r="E730" s="9"/>
      <c r="F730" s="9"/>
      <c r="G730" s="5"/>
      <c r="H730" s="16"/>
      <c r="I730" s="69"/>
      <c r="J730" s="70"/>
      <c r="K730" s="71"/>
      <c r="L730" s="71"/>
      <c r="M730" s="5"/>
    </row>
    <row r="731" spans="1:13" s="3" customFormat="1">
      <c r="A731" s="1"/>
      <c r="B731" s="8"/>
      <c r="C731" s="5"/>
      <c r="D731" s="12"/>
      <c r="E731" s="9"/>
      <c r="F731" s="9"/>
      <c r="G731" s="5"/>
      <c r="H731" s="16"/>
      <c r="I731" s="69"/>
      <c r="J731" s="70"/>
      <c r="K731" s="71"/>
      <c r="L731" s="71"/>
      <c r="M731" s="5"/>
    </row>
    <row r="732" spans="1:13" s="3" customFormat="1">
      <c r="A732" s="1"/>
      <c r="B732" s="8"/>
      <c r="C732" s="5"/>
      <c r="D732" s="12"/>
      <c r="E732" s="9"/>
      <c r="F732" s="9"/>
      <c r="G732" s="5"/>
      <c r="H732" s="16"/>
      <c r="I732" s="69"/>
      <c r="J732" s="70"/>
      <c r="K732" s="71"/>
      <c r="L732" s="71"/>
      <c r="M732" s="5"/>
    </row>
    <row r="733" spans="1:13" s="3" customFormat="1">
      <c r="A733" s="1"/>
      <c r="B733" s="8"/>
      <c r="C733" s="5"/>
      <c r="D733" s="12"/>
      <c r="E733" s="9"/>
      <c r="F733" s="9"/>
      <c r="G733" s="5"/>
      <c r="H733" s="16"/>
      <c r="I733" s="69"/>
      <c r="J733" s="70"/>
      <c r="K733" s="71"/>
      <c r="L733" s="71"/>
      <c r="M733" s="5"/>
    </row>
    <row r="734" spans="1:13" s="3" customFormat="1">
      <c r="A734" s="1"/>
      <c r="B734" s="8"/>
      <c r="C734" s="5"/>
      <c r="D734" s="12"/>
      <c r="E734" s="9"/>
      <c r="F734" s="9"/>
      <c r="G734" s="5"/>
      <c r="H734" s="16"/>
      <c r="I734" s="69"/>
      <c r="J734" s="70"/>
      <c r="K734" s="71"/>
      <c r="L734" s="71"/>
      <c r="M734" s="5"/>
    </row>
    <row r="735" spans="1:13" s="3" customFormat="1">
      <c r="A735" s="1"/>
      <c r="B735" s="8"/>
      <c r="C735" s="5"/>
      <c r="D735" s="12"/>
      <c r="E735" s="9"/>
      <c r="F735" s="9"/>
      <c r="G735" s="5"/>
      <c r="H735" s="16"/>
      <c r="I735" s="69"/>
      <c r="J735" s="70"/>
      <c r="K735" s="71"/>
      <c r="L735" s="71"/>
      <c r="M735" s="5"/>
    </row>
    <row r="736" spans="1:13" s="3" customFormat="1">
      <c r="A736" s="1"/>
      <c r="B736" s="8"/>
      <c r="C736" s="5"/>
      <c r="D736" s="12"/>
      <c r="E736" s="9"/>
      <c r="F736" s="9"/>
      <c r="G736" s="5"/>
      <c r="H736" s="16"/>
      <c r="I736" s="69"/>
      <c r="J736" s="70"/>
      <c r="K736" s="71"/>
      <c r="L736" s="71"/>
      <c r="M736" s="5"/>
    </row>
    <row r="737" spans="1:13" s="3" customFormat="1">
      <c r="A737" s="1"/>
      <c r="B737" s="8"/>
      <c r="C737" s="5"/>
      <c r="D737" s="12"/>
      <c r="E737" s="9"/>
      <c r="F737" s="9"/>
      <c r="G737" s="5"/>
      <c r="H737" s="16"/>
      <c r="I737" s="69"/>
      <c r="J737" s="70"/>
      <c r="K737" s="71"/>
      <c r="L737" s="71"/>
      <c r="M737" s="5"/>
    </row>
    <row r="738" spans="1:13" s="3" customFormat="1">
      <c r="A738" s="1"/>
      <c r="B738" s="8"/>
      <c r="C738" s="5"/>
      <c r="D738" s="12"/>
      <c r="E738" s="9"/>
      <c r="F738" s="9"/>
      <c r="G738" s="5"/>
      <c r="H738" s="16"/>
      <c r="I738" s="69"/>
      <c r="J738" s="70"/>
      <c r="K738" s="71"/>
      <c r="L738" s="71"/>
      <c r="M738" s="5"/>
    </row>
    <row r="739" spans="1:13" s="3" customFormat="1">
      <c r="A739" s="1"/>
      <c r="B739" s="8"/>
      <c r="C739" s="5"/>
      <c r="D739" s="12"/>
      <c r="E739" s="9"/>
      <c r="F739" s="9"/>
      <c r="G739" s="5"/>
      <c r="H739" s="16"/>
      <c r="I739" s="69"/>
      <c r="J739" s="70"/>
      <c r="K739" s="71"/>
      <c r="L739" s="71"/>
      <c r="M739" s="5"/>
    </row>
    <row r="740" spans="1:13" s="3" customFormat="1">
      <c r="A740" s="1"/>
      <c r="B740" s="8"/>
      <c r="C740" s="5"/>
      <c r="D740" s="12"/>
      <c r="E740" s="9"/>
      <c r="F740" s="9"/>
      <c r="G740" s="5"/>
      <c r="H740" s="16"/>
      <c r="I740" s="69"/>
      <c r="J740" s="70"/>
      <c r="K740" s="71"/>
      <c r="L740" s="71"/>
      <c r="M740" s="5"/>
    </row>
    <row r="741" spans="1:13" s="3" customFormat="1">
      <c r="A741" s="1"/>
      <c r="B741" s="8"/>
      <c r="C741" s="5"/>
      <c r="D741" s="12"/>
      <c r="E741" s="9"/>
      <c r="F741" s="9"/>
      <c r="G741" s="5"/>
      <c r="H741" s="16"/>
      <c r="I741" s="69"/>
      <c r="J741" s="70"/>
      <c r="K741" s="71"/>
      <c r="L741" s="71"/>
      <c r="M741" s="5"/>
    </row>
    <row r="742" spans="1:13" s="3" customFormat="1">
      <c r="A742" s="1"/>
      <c r="B742" s="8"/>
      <c r="C742" s="5"/>
      <c r="D742" s="12"/>
      <c r="E742" s="9"/>
      <c r="F742" s="9"/>
      <c r="G742" s="5"/>
      <c r="H742" s="16"/>
      <c r="I742" s="69"/>
      <c r="J742" s="70"/>
      <c r="K742" s="71"/>
      <c r="L742" s="71"/>
      <c r="M742" s="5"/>
    </row>
    <row r="743" spans="1:13" s="3" customFormat="1">
      <c r="A743" s="1"/>
      <c r="B743" s="8"/>
      <c r="C743" s="5"/>
      <c r="D743" s="12"/>
      <c r="E743" s="9"/>
      <c r="F743" s="9"/>
      <c r="G743" s="5"/>
      <c r="H743" s="16"/>
      <c r="I743" s="69"/>
      <c r="J743" s="70"/>
      <c r="K743" s="71"/>
      <c r="L743" s="71"/>
      <c r="M743" s="5"/>
    </row>
    <row r="744" spans="1:13" s="3" customFormat="1">
      <c r="A744" s="1"/>
      <c r="B744" s="8"/>
      <c r="C744" s="5"/>
      <c r="D744" s="12"/>
      <c r="E744" s="9"/>
      <c r="F744" s="9"/>
      <c r="G744" s="5"/>
      <c r="H744" s="16"/>
      <c r="I744" s="69"/>
      <c r="J744" s="70"/>
      <c r="K744" s="71"/>
      <c r="L744" s="71"/>
      <c r="M744" s="5"/>
    </row>
    <row r="745" spans="1:13" s="3" customFormat="1">
      <c r="A745" s="1"/>
      <c r="B745" s="8"/>
      <c r="C745" s="5"/>
      <c r="D745" s="12"/>
      <c r="E745" s="9"/>
      <c r="F745" s="9"/>
      <c r="G745" s="5"/>
      <c r="H745" s="16"/>
      <c r="I745" s="69"/>
      <c r="J745" s="70"/>
      <c r="K745" s="71"/>
      <c r="L745" s="71"/>
      <c r="M745" s="5"/>
    </row>
    <row r="746" spans="1:13" s="3" customFormat="1">
      <c r="A746" s="1"/>
      <c r="B746" s="8"/>
      <c r="C746" s="5"/>
      <c r="D746" s="12"/>
      <c r="E746" s="9"/>
      <c r="F746" s="9"/>
      <c r="G746" s="5"/>
      <c r="H746" s="16"/>
      <c r="I746" s="69"/>
      <c r="J746" s="70"/>
      <c r="K746" s="71"/>
      <c r="L746" s="71"/>
      <c r="M746" s="5"/>
    </row>
    <row r="747" spans="1:13" s="3" customFormat="1">
      <c r="A747" s="1"/>
      <c r="B747" s="8"/>
      <c r="C747" s="5"/>
      <c r="D747" s="12"/>
      <c r="E747" s="9"/>
      <c r="F747" s="9"/>
      <c r="G747" s="5"/>
      <c r="H747" s="16"/>
      <c r="I747" s="69"/>
      <c r="J747" s="70"/>
      <c r="K747" s="71"/>
      <c r="L747" s="71"/>
      <c r="M747" s="5"/>
    </row>
    <row r="748" spans="1:13" s="3" customFormat="1">
      <c r="A748" s="1"/>
      <c r="B748" s="8"/>
      <c r="C748" s="5"/>
      <c r="D748" s="12"/>
      <c r="E748" s="9"/>
      <c r="F748" s="9"/>
      <c r="G748" s="5"/>
      <c r="H748" s="16"/>
      <c r="I748" s="69"/>
      <c r="J748" s="70"/>
      <c r="K748" s="71"/>
      <c r="L748" s="71"/>
      <c r="M748" s="5"/>
    </row>
    <row r="749" spans="1:13" s="3" customFormat="1">
      <c r="A749" s="1"/>
      <c r="B749" s="8"/>
      <c r="C749" s="5"/>
      <c r="D749" s="12"/>
      <c r="E749" s="9"/>
      <c r="F749" s="9"/>
      <c r="G749" s="5"/>
      <c r="H749" s="16"/>
      <c r="I749" s="69"/>
      <c r="J749" s="70"/>
      <c r="K749" s="71"/>
      <c r="L749" s="71"/>
      <c r="M749" s="5"/>
    </row>
    <row r="750" spans="1:13" s="3" customFormat="1">
      <c r="A750" s="1"/>
      <c r="B750" s="8"/>
      <c r="C750" s="5"/>
      <c r="D750" s="12"/>
      <c r="E750" s="9"/>
      <c r="F750" s="9"/>
      <c r="G750" s="5"/>
      <c r="H750" s="16"/>
      <c r="I750" s="69"/>
      <c r="J750" s="70"/>
      <c r="K750" s="71"/>
      <c r="L750" s="71"/>
      <c r="M750" s="5"/>
    </row>
    <row r="751" spans="1:13" s="3" customFormat="1">
      <c r="A751" s="1"/>
      <c r="B751" s="8"/>
      <c r="C751" s="5"/>
      <c r="D751" s="12"/>
      <c r="E751" s="9"/>
      <c r="F751" s="9"/>
      <c r="G751" s="5"/>
      <c r="H751" s="16"/>
      <c r="I751" s="69"/>
      <c r="J751" s="70"/>
      <c r="K751" s="71"/>
      <c r="L751" s="71"/>
      <c r="M751" s="5"/>
    </row>
    <row r="752" spans="1:13" s="3" customFormat="1">
      <c r="A752" s="1"/>
      <c r="B752" s="8"/>
      <c r="C752" s="5"/>
      <c r="D752" s="12"/>
      <c r="E752" s="9"/>
      <c r="F752" s="9"/>
      <c r="G752" s="5"/>
      <c r="H752" s="16"/>
      <c r="I752" s="69"/>
      <c r="J752" s="70"/>
      <c r="K752" s="71"/>
      <c r="L752" s="71"/>
      <c r="M752" s="5"/>
    </row>
    <row r="753" spans="1:13" s="3" customFormat="1">
      <c r="A753" s="1"/>
      <c r="B753" s="8"/>
      <c r="C753" s="5"/>
      <c r="D753" s="12"/>
      <c r="E753" s="9"/>
      <c r="F753" s="9"/>
      <c r="G753" s="5"/>
      <c r="H753" s="16"/>
      <c r="I753" s="69"/>
      <c r="J753" s="70"/>
      <c r="K753" s="71"/>
      <c r="L753" s="71"/>
      <c r="M753" s="5"/>
    </row>
    <row r="754" spans="1:13" s="3" customFormat="1">
      <c r="A754" s="1"/>
      <c r="B754" s="8"/>
      <c r="C754" s="5"/>
      <c r="D754" s="12"/>
      <c r="E754" s="9"/>
      <c r="F754" s="9"/>
      <c r="G754" s="5"/>
      <c r="H754" s="16"/>
      <c r="I754" s="69"/>
      <c r="J754" s="70"/>
      <c r="K754" s="71"/>
      <c r="L754" s="71"/>
      <c r="M754" s="5"/>
    </row>
    <row r="755" spans="1:13" s="3" customFormat="1">
      <c r="A755" s="1"/>
      <c r="B755" s="8"/>
      <c r="C755" s="5"/>
      <c r="D755" s="12"/>
      <c r="E755" s="9"/>
      <c r="F755" s="9"/>
      <c r="G755" s="5"/>
      <c r="H755" s="16"/>
      <c r="I755" s="69"/>
      <c r="J755" s="70"/>
      <c r="K755" s="71"/>
      <c r="L755" s="71"/>
      <c r="M755" s="5"/>
    </row>
    <row r="756" spans="1:13" s="3" customFormat="1">
      <c r="A756" s="1"/>
      <c r="B756" s="8"/>
      <c r="C756" s="5"/>
      <c r="D756" s="12"/>
      <c r="E756" s="9"/>
      <c r="F756" s="9"/>
      <c r="G756" s="5"/>
      <c r="H756" s="16"/>
      <c r="I756" s="69"/>
      <c r="J756" s="70"/>
      <c r="K756" s="71"/>
      <c r="L756" s="71"/>
      <c r="M756" s="5"/>
    </row>
    <row r="757" spans="1:13" s="3" customFormat="1">
      <c r="A757" s="1"/>
      <c r="B757" s="8"/>
      <c r="C757" s="5"/>
      <c r="D757" s="12"/>
      <c r="E757" s="9"/>
      <c r="F757" s="9"/>
      <c r="G757" s="5"/>
      <c r="H757" s="16"/>
      <c r="I757" s="69"/>
      <c r="J757" s="70"/>
      <c r="K757" s="71"/>
      <c r="L757" s="71"/>
      <c r="M757" s="5"/>
    </row>
    <row r="758" spans="1:13" s="3" customFormat="1">
      <c r="A758" s="1"/>
      <c r="B758" s="8"/>
      <c r="C758" s="5"/>
      <c r="D758" s="12"/>
      <c r="E758" s="9"/>
      <c r="F758" s="9"/>
      <c r="G758" s="5"/>
      <c r="H758" s="16"/>
      <c r="I758" s="69"/>
      <c r="J758" s="70"/>
      <c r="K758" s="71"/>
      <c r="L758" s="71"/>
      <c r="M758" s="5"/>
    </row>
    <row r="759" spans="1:13" s="3" customFormat="1">
      <c r="A759" s="1"/>
      <c r="B759" s="8"/>
      <c r="C759" s="5"/>
      <c r="D759" s="12"/>
      <c r="E759" s="9"/>
      <c r="F759" s="9"/>
      <c r="G759" s="5"/>
      <c r="H759" s="16"/>
      <c r="I759" s="69"/>
      <c r="J759" s="70"/>
      <c r="K759" s="71"/>
      <c r="L759" s="71"/>
      <c r="M759" s="5"/>
    </row>
    <row r="760" spans="1:13" s="3" customFormat="1">
      <c r="A760" s="1"/>
      <c r="B760" s="8"/>
      <c r="C760" s="5"/>
      <c r="D760" s="12"/>
      <c r="E760" s="9"/>
      <c r="F760" s="9"/>
      <c r="G760" s="5"/>
      <c r="H760" s="16"/>
      <c r="I760" s="69"/>
      <c r="J760" s="70"/>
      <c r="K760" s="71"/>
      <c r="L760" s="71"/>
      <c r="M760" s="5"/>
    </row>
    <row r="761" spans="1:13" s="3" customFormat="1">
      <c r="A761" s="1"/>
      <c r="B761" s="8"/>
      <c r="C761" s="5"/>
      <c r="D761" s="12"/>
      <c r="E761" s="9"/>
      <c r="F761" s="9"/>
      <c r="G761" s="5"/>
      <c r="H761" s="16"/>
      <c r="I761" s="69"/>
      <c r="J761" s="70"/>
      <c r="K761" s="71"/>
      <c r="L761" s="71"/>
      <c r="M761" s="5"/>
    </row>
    <row r="762" spans="1:13" s="3" customFormat="1">
      <c r="A762" s="1"/>
      <c r="B762" s="8"/>
      <c r="C762" s="5"/>
      <c r="D762" s="12"/>
      <c r="E762" s="9"/>
      <c r="F762" s="9"/>
      <c r="G762" s="5"/>
      <c r="H762" s="16"/>
      <c r="I762" s="69"/>
      <c r="J762" s="70"/>
      <c r="K762" s="71"/>
      <c r="L762" s="71"/>
      <c r="M762" s="5"/>
    </row>
    <row r="763" spans="1:13" s="3" customFormat="1">
      <c r="A763" s="1"/>
      <c r="B763" s="8"/>
      <c r="C763" s="5"/>
      <c r="D763" s="12"/>
      <c r="E763" s="9"/>
      <c r="F763" s="9"/>
      <c r="G763" s="5"/>
      <c r="H763" s="16"/>
      <c r="I763" s="69"/>
      <c r="J763" s="70"/>
      <c r="K763" s="71"/>
      <c r="L763" s="71"/>
      <c r="M763" s="5"/>
    </row>
    <row r="764" spans="1:13" s="3" customFormat="1">
      <c r="A764" s="1"/>
      <c r="B764" s="8"/>
      <c r="C764" s="5"/>
      <c r="D764" s="12"/>
      <c r="E764" s="9"/>
      <c r="F764" s="9"/>
      <c r="G764" s="5"/>
      <c r="H764" s="16"/>
      <c r="I764" s="69"/>
      <c r="J764" s="70"/>
      <c r="K764" s="71"/>
      <c r="L764" s="71"/>
      <c r="M764" s="5"/>
    </row>
    <row r="765" spans="1:13" s="3" customFormat="1">
      <c r="A765" s="1"/>
      <c r="B765" s="8"/>
      <c r="C765" s="5"/>
      <c r="D765" s="12"/>
      <c r="E765" s="9"/>
      <c r="F765" s="9"/>
      <c r="G765" s="5"/>
      <c r="H765" s="16"/>
      <c r="I765" s="69"/>
      <c r="J765" s="70"/>
      <c r="K765" s="71"/>
      <c r="L765" s="71"/>
      <c r="M765" s="5"/>
    </row>
    <row r="766" spans="1:13" s="3" customFormat="1">
      <c r="A766" s="1"/>
      <c r="B766" s="8"/>
      <c r="C766" s="5"/>
      <c r="D766" s="12"/>
      <c r="E766" s="9"/>
      <c r="F766" s="9"/>
      <c r="G766" s="5"/>
      <c r="H766" s="16"/>
      <c r="I766" s="69"/>
      <c r="J766" s="70"/>
      <c r="K766" s="71"/>
      <c r="L766" s="71"/>
      <c r="M766" s="5"/>
    </row>
    <row r="767" spans="1:13" s="3" customFormat="1">
      <c r="A767" s="1"/>
      <c r="B767" s="8"/>
      <c r="C767" s="5"/>
      <c r="D767" s="12"/>
      <c r="E767" s="9"/>
      <c r="F767" s="9"/>
      <c r="G767" s="5"/>
      <c r="H767" s="16"/>
      <c r="I767" s="69"/>
      <c r="J767" s="70"/>
      <c r="K767" s="71"/>
      <c r="L767" s="71"/>
      <c r="M767" s="5"/>
    </row>
    <row r="768" spans="1:13" s="3" customFormat="1">
      <c r="A768" s="1"/>
      <c r="B768" s="8"/>
      <c r="C768" s="5"/>
      <c r="D768" s="12"/>
      <c r="E768" s="9"/>
      <c r="F768" s="9"/>
      <c r="G768" s="5"/>
      <c r="H768" s="16"/>
      <c r="I768" s="69"/>
      <c r="J768" s="70"/>
      <c r="K768" s="71"/>
      <c r="L768" s="71"/>
      <c r="M768" s="5"/>
    </row>
    <row r="769" spans="1:13" s="3" customFormat="1">
      <c r="A769" s="1"/>
      <c r="B769" s="8"/>
      <c r="C769" s="5"/>
      <c r="D769" s="12"/>
      <c r="E769" s="9"/>
      <c r="F769" s="9"/>
      <c r="G769" s="5"/>
      <c r="H769" s="16"/>
      <c r="I769" s="69"/>
      <c r="J769" s="70"/>
      <c r="K769" s="71"/>
      <c r="L769" s="71"/>
      <c r="M769" s="5"/>
    </row>
    <row r="770" spans="1:13" s="3" customFormat="1">
      <c r="A770" s="1"/>
      <c r="B770" s="8"/>
      <c r="C770" s="5"/>
      <c r="D770" s="12"/>
      <c r="E770" s="9"/>
      <c r="F770" s="9"/>
      <c r="G770" s="5"/>
      <c r="H770" s="16"/>
      <c r="I770" s="69"/>
      <c r="J770" s="70"/>
      <c r="K770" s="71"/>
      <c r="L770" s="71"/>
      <c r="M770" s="5"/>
    </row>
    <row r="771" spans="1:13" s="3" customFormat="1">
      <c r="A771" s="1"/>
      <c r="B771" s="8"/>
      <c r="C771" s="5"/>
      <c r="D771" s="12"/>
      <c r="E771" s="9"/>
      <c r="F771" s="9"/>
      <c r="G771" s="5"/>
      <c r="H771" s="16"/>
      <c r="I771" s="69"/>
      <c r="J771" s="70"/>
      <c r="K771" s="71"/>
      <c r="L771" s="71"/>
      <c r="M771" s="5"/>
    </row>
    <row r="772" spans="1:13" s="3" customFormat="1">
      <c r="A772" s="1"/>
      <c r="B772" s="8"/>
      <c r="C772" s="5"/>
      <c r="D772" s="12"/>
      <c r="E772" s="9"/>
      <c r="F772" s="9"/>
      <c r="G772" s="5"/>
      <c r="H772" s="16"/>
      <c r="I772" s="69"/>
      <c r="J772" s="70"/>
      <c r="K772" s="71"/>
      <c r="L772" s="71"/>
      <c r="M772" s="5"/>
    </row>
    <row r="773" spans="1:13" s="3" customFormat="1">
      <c r="A773" s="1"/>
      <c r="B773" s="8"/>
      <c r="C773" s="5"/>
      <c r="D773" s="12"/>
      <c r="E773" s="9"/>
      <c r="F773" s="9"/>
      <c r="G773" s="5"/>
      <c r="H773" s="16"/>
      <c r="I773" s="69"/>
      <c r="J773" s="70"/>
      <c r="K773" s="71"/>
      <c r="L773" s="71"/>
      <c r="M773" s="5"/>
    </row>
    <row r="774" spans="1:13" s="3" customFormat="1">
      <c r="A774" s="1"/>
      <c r="B774" s="8"/>
      <c r="C774" s="5"/>
      <c r="D774" s="12"/>
      <c r="E774" s="9"/>
      <c r="F774" s="9"/>
      <c r="G774" s="5"/>
      <c r="H774" s="16"/>
      <c r="I774" s="69"/>
      <c r="J774" s="70"/>
      <c r="K774" s="71"/>
      <c r="L774" s="71"/>
      <c r="M774" s="5"/>
    </row>
    <row r="775" spans="1:13" s="3" customFormat="1">
      <c r="A775" s="1"/>
      <c r="B775" s="8"/>
      <c r="C775" s="5"/>
      <c r="D775" s="12"/>
      <c r="E775" s="9"/>
      <c r="F775" s="9"/>
      <c r="G775" s="5"/>
      <c r="H775" s="16"/>
      <c r="I775" s="69"/>
      <c r="J775" s="70"/>
      <c r="K775" s="71"/>
      <c r="L775" s="71"/>
      <c r="M775" s="5"/>
    </row>
    <row r="776" spans="1:13" s="3" customFormat="1">
      <c r="A776" s="1"/>
      <c r="B776" s="8"/>
      <c r="C776" s="5"/>
      <c r="D776" s="12"/>
      <c r="E776" s="9"/>
      <c r="F776" s="9"/>
      <c r="G776" s="5"/>
      <c r="H776" s="16"/>
      <c r="I776" s="69"/>
      <c r="J776" s="70"/>
      <c r="K776" s="71"/>
      <c r="L776" s="71"/>
      <c r="M776" s="5"/>
    </row>
    <row r="777" spans="1:13" s="3" customFormat="1">
      <c r="A777" s="1"/>
      <c r="B777" s="8"/>
      <c r="C777" s="5"/>
      <c r="D777" s="12"/>
      <c r="E777" s="9"/>
      <c r="F777" s="9"/>
      <c r="G777" s="5"/>
      <c r="H777" s="16"/>
      <c r="I777" s="69"/>
      <c r="J777" s="70"/>
      <c r="K777" s="71"/>
      <c r="L777" s="71"/>
      <c r="M777" s="5"/>
    </row>
    <row r="778" spans="1:13" s="3" customFormat="1">
      <c r="A778" s="1"/>
      <c r="B778" s="8"/>
      <c r="C778" s="5"/>
      <c r="D778" s="12"/>
      <c r="E778" s="9"/>
      <c r="F778" s="9"/>
      <c r="G778" s="5"/>
      <c r="H778" s="16"/>
      <c r="I778" s="69"/>
      <c r="J778" s="70"/>
      <c r="K778" s="71"/>
      <c r="L778" s="71"/>
      <c r="M778" s="5"/>
    </row>
    <row r="779" spans="1:13" s="3" customFormat="1">
      <c r="A779" s="1"/>
      <c r="B779" s="8"/>
      <c r="C779" s="5"/>
      <c r="D779" s="12"/>
      <c r="E779" s="9"/>
      <c r="F779" s="9"/>
      <c r="G779" s="5"/>
      <c r="H779" s="16"/>
      <c r="I779" s="69"/>
      <c r="J779" s="70"/>
      <c r="K779" s="71"/>
      <c r="L779" s="71"/>
      <c r="M779" s="5"/>
    </row>
    <row r="780" spans="1:13" s="3" customFormat="1">
      <c r="A780" s="1"/>
      <c r="B780" s="8"/>
      <c r="C780" s="5"/>
      <c r="D780" s="12"/>
      <c r="E780" s="9"/>
      <c r="F780" s="9"/>
      <c r="G780" s="5"/>
      <c r="H780" s="16"/>
      <c r="I780" s="69"/>
      <c r="J780" s="70"/>
      <c r="K780" s="71"/>
      <c r="L780" s="71"/>
      <c r="M780" s="5"/>
    </row>
    <row r="781" spans="1:13" s="3" customFormat="1">
      <c r="A781" s="1"/>
      <c r="B781" s="8"/>
      <c r="C781" s="5"/>
      <c r="D781" s="12"/>
      <c r="E781" s="9"/>
      <c r="F781" s="9"/>
      <c r="G781" s="5"/>
      <c r="H781" s="16"/>
      <c r="I781" s="69"/>
      <c r="J781" s="70"/>
      <c r="K781" s="71"/>
      <c r="L781" s="71"/>
      <c r="M781" s="5"/>
    </row>
    <row r="782" spans="1:13" s="3" customFormat="1">
      <c r="A782" s="1"/>
      <c r="B782" s="8"/>
      <c r="C782" s="5"/>
      <c r="D782" s="12"/>
      <c r="E782" s="9"/>
      <c r="F782" s="9"/>
      <c r="G782" s="5"/>
      <c r="H782" s="16"/>
      <c r="I782" s="69"/>
      <c r="J782" s="70"/>
      <c r="K782" s="71"/>
      <c r="L782" s="71"/>
      <c r="M782" s="5"/>
    </row>
    <row r="783" spans="1:13" s="3" customFormat="1">
      <c r="A783" s="1"/>
      <c r="B783" s="8"/>
      <c r="C783" s="5"/>
      <c r="D783" s="12"/>
      <c r="E783" s="9"/>
      <c r="F783" s="9"/>
      <c r="G783" s="5"/>
      <c r="H783" s="16"/>
      <c r="I783" s="69"/>
      <c r="J783" s="70"/>
      <c r="K783" s="71"/>
      <c r="L783" s="71"/>
      <c r="M783" s="5"/>
    </row>
    <row r="784" spans="1:13" s="3" customFormat="1">
      <c r="A784" s="1"/>
      <c r="B784" s="8"/>
      <c r="C784" s="5"/>
      <c r="D784" s="12"/>
      <c r="E784" s="9"/>
      <c r="F784" s="9"/>
      <c r="G784" s="5"/>
      <c r="H784" s="16"/>
      <c r="I784" s="69"/>
      <c r="J784" s="70"/>
      <c r="K784" s="71"/>
      <c r="L784" s="71"/>
      <c r="M784" s="5"/>
    </row>
    <row r="785" spans="1:13" s="3" customFormat="1">
      <c r="A785" s="1"/>
      <c r="B785" s="8"/>
      <c r="C785" s="5"/>
      <c r="D785" s="12"/>
      <c r="E785" s="9"/>
      <c r="F785" s="9"/>
      <c r="G785" s="5"/>
      <c r="H785" s="16"/>
      <c r="I785" s="69"/>
      <c r="J785" s="70"/>
      <c r="K785" s="71"/>
      <c r="L785" s="71"/>
      <c r="M785" s="5"/>
    </row>
    <row r="786" spans="1:13" s="3" customFormat="1">
      <c r="A786" s="1"/>
      <c r="B786" s="8"/>
      <c r="C786" s="5"/>
      <c r="D786" s="12"/>
      <c r="E786" s="9"/>
      <c r="F786" s="9"/>
      <c r="G786" s="5"/>
      <c r="H786" s="16"/>
      <c r="I786" s="69"/>
      <c r="J786" s="70"/>
      <c r="K786" s="71"/>
      <c r="L786" s="71"/>
      <c r="M786" s="5"/>
    </row>
    <row r="787" spans="1:13" s="3" customFormat="1">
      <c r="A787" s="1"/>
      <c r="B787" s="8"/>
      <c r="C787" s="5"/>
      <c r="D787" s="12"/>
      <c r="E787" s="9"/>
      <c r="F787" s="9"/>
      <c r="G787" s="5"/>
      <c r="H787" s="16"/>
      <c r="I787" s="69"/>
      <c r="J787" s="70"/>
      <c r="K787" s="71"/>
      <c r="L787" s="71"/>
      <c r="M787" s="5"/>
    </row>
    <row r="788" spans="1:13" s="3" customFormat="1">
      <c r="A788" s="1"/>
      <c r="B788" s="8"/>
      <c r="C788" s="5"/>
      <c r="D788" s="12"/>
      <c r="E788" s="9"/>
      <c r="F788" s="9"/>
      <c r="G788" s="5"/>
      <c r="H788" s="16"/>
      <c r="I788" s="69"/>
      <c r="J788" s="70"/>
      <c r="K788" s="71"/>
      <c r="L788" s="71"/>
      <c r="M788" s="5"/>
    </row>
    <row r="789" spans="1:13" s="3" customFormat="1">
      <c r="A789" s="1"/>
      <c r="B789" s="8"/>
      <c r="C789" s="5"/>
      <c r="D789" s="12"/>
      <c r="E789" s="9"/>
      <c r="F789" s="9"/>
      <c r="G789" s="5"/>
      <c r="H789" s="16"/>
      <c r="I789" s="69"/>
      <c r="J789" s="70"/>
      <c r="K789" s="71"/>
      <c r="L789" s="71"/>
      <c r="M789" s="5"/>
    </row>
    <row r="790" spans="1:13" s="3" customFormat="1">
      <c r="A790" s="1"/>
      <c r="B790" s="8"/>
      <c r="C790" s="5"/>
      <c r="D790" s="12"/>
      <c r="E790" s="9"/>
      <c r="F790" s="9"/>
      <c r="G790" s="5"/>
      <c r="H790" s="16"/>
      <c r="I790" s="69"/>
      <c r="J790" s="70"/>
      <c r="K790" s="71"/>
      <c r="L790" s="71"/>
      <c r="M790" s="5"/>
    </row>
    <row r="791" spans="1:13" s="3" customFormat="1">
      <c r="A791" s="1"/>
      <c r="B791" s="8"/>
      <c r="C791" s="5"/>
      <c r="D791" s="12"/>
      <c r="E791" s="9"/>
      <c r="F791" s="9"/>
      <c r="G791" s="5"/>
      <c r="H791" s="16"/>
      <c r="I791" s="69"/>
      <c r="J791" s="70"/>
      <c r="K791" s="71"/>
      <c r="L791" s="71"/>
      <c r="M791" s="5"/>
    </row>
    <row r="792" spans="1:13" s="3" customFormat="1">
      <c r="A792" s="1"/>
      <c r="B792" s="8"/>
      <c r="C792" s="5"/>
      <c r="D792" s="12"/>
      <c r="E792" s="9"/>
      <c r="F792" s="9"/>
      <c r="G792" s="5"/>
      <c r="H792" s="16"/>
      <c r="I792" s="69"/>
      <c r="J792" s="70"/>
      <c r="K792" s="71"/>
      <c r="L792" s="71"/>
      <c r="M792" s="5"/>
    </row>
    <row r="793" spans="1:13" s="3" customFormat="1">
      <c r="A793" s="1"/>
      <c r="B793" s="8"/>
      <c r="C793" s="5"/>
      <c r="D793" s="12"/>
      <c r="E793" s="9"/>
      <c r="F793" s="9"/>
      <c r="G793" s="5"/>
      <c r="H793" s="16"/>
      <c r="I793" s="69"/>
      <c r="J793" s="70"/>
      <c r="K793" s="71"/>
      <c r="L793" s="71"/>
      <c r="M793" s="5"/>
    </row>
    <row r="794" spans="1:13" s="3" customFormat="1">
      <c r="A794" s="1"/>
      <c r="B794" s="8"/>
      <c r="C794" s="5"/>
      <c r="D794" s="12"/>
      <c r="E794" s="9"/>
      <c r="F794" s="9"/>
      <c r="G794" s="5"/>
      <c r="H794" s="16"/>
      <c r="I794" s="69"/>
      <c r="J794" s="70"/>
      <c r="K794" s="71"/>
      <c r="L794" s="71"/>
      <c r="M794" s="5"/>
    </row>
    <row r="795" spans="1:13" s="3" customFormat="1">
      <c r="A795" s="1"/>
      <c r="B795" s="8"/>
      <c r="C795" s="5"/>
      <c r="D795" s="12"/>
      <c r="E795" s="9"/>
      <c r="F795" s="9"/>
      <c r="G795" s="5"/>
      <c r="H795" s="16"/>
      <c r="I795" s="69"/>
      <c r="J795" s="70"/>
      <c r="K795" s="71"/>
      <c r="L795" s="71"/>
      <c r="M795" s="5"/>
    </row>
    <row r="796" spans="1:13" s="3" customFormat="1">
      <c r="A796" s="1"/>
      <c r="B796" s="8"/>
      <c r="C796" s="5"/>
      <c r="D796" s="12"/>
      <c r="E796" s="9"/>
      <c r="F796" s="9"/>
      <c r="G796" s="5"/>
      <c r="H796" s="16"/>
      <c r="I796" s="69"/>
      <c r="J796" s="70"/>
      <c r="K796" s="71"/>
      <c r="L796" s="71"/>
      <c r="M796" s="5"/>
    </row>
    <row r="797" spans="1:13" s="3" customFormat="1">
      <c r="A797" s="1"/>
      <c r="B797" s="8"/>
      <c r="C797" s="5"/>
      <c r="D797" s="12"/>
      <c r="E797" s="9"/>
      <c r="F797" s="9"/>
      <c r="G797" s="5"/>
      <c r="H797" s="16"/>
      <c r="I797" s="69"/>
      <c r="J797" s="70"/>
      <c r="K797" s="71"/>
      <c r="L797" s="71"/>
      <c r="M797" s="5"/>
    </row>
    <row r="798" spans="1:13" s="3" customFormat="1">
      <c r="A798" s="1"/>
      <c r="B798" s="8"/>
      <c r="C798" s="5"/>
      <c r="D798" s="12"/>
      <c r="E798" s="9"/>
      <c r="F798" s="9"/>
      <c r="G798" s="5"/>
      <c r="H798" s="16"/>
      <c r="I798" s="69"/>
      <c r="J798" s="70"/>
      <c r="K798" s="71"/>
      <c r="L798" s="71"/>
      <c r="M798" s="5"/>
    </row>
    <row r="799" spans="1:13" s="3" customFormat="1">
      <c r="A799" s="1"/>
      <c r="B799" s="8"/>
      <c r="C799" s="5"/>
      <c r="D799" s="12"/>
      <c r="E799" s="9"/>
      <c r="F799" s="9"/>
      <c r="G799" s="5"/>
      <c r="H799" s="16"/>
      <c r="I799" s="69"/>
      <c r="J799" s="70"/>
      <c r="K799" s="71"/>
      <c r="L799" s="71"/>
      <c r="M799" s="5"/>
    </row>
    <row r="800" spans="1:13" s="3" customFormat="1">
      <c r="A800" s="1"/>
      <c r="B800" s="8"/>
      <c r="C800" s="5"/>
      <c r="D800" s="12"/>
      <c r="E800" s="9"/>
      <c r="F800" s="9"/>
      <c r="G800" s="5"/>
      <c r="H800" s="16"/>
      <c r="I800" s="69"/>
      <c r="J800" s="70"/>
      <c r="K800" s="71"/>
      <c r="L800" s="71"/>
      <c r="M800" s="5"/>
    </row>
    <row r="801" spans="1:13" s="3" customFormat="1">
      <c r="A801" s="1"/>
      <c r="B801" s="8"/>
      <c r="C801" s="5"/>
      <c r="D801" s="12"/>
      <c r="E801" s="9"/>
      <c r="F801" s="9"/>
      <c r="G801" s="5"/>
      <c r="H801" s="16"/>
      <c r="I801" s="69"/>
      <c r="J801" s="70"/>
      <c r="K801" s="71"/>
      <c r="L801" s="71"/>
      <c r="M801" s="5"/>
    </row>
    <row r="802" spans="1:13" s="3" customFormat="1">
      <c r="A802" s="1"/>
      <c r="B802" s="8"/>
      <c r="C802" s="5"/>
      <c r="D802" s="12"/>
      <c r="E802" s="9"/>
      <c r="F802" s="9"/>
      <c r="G802" s="5"/>
      <c r="H802" s="16"/>
      <c r="I802" s="69"/>
      <c r="J802" s="70"/>
      <c r="K802" s="71"/>
      <c r="L802" s="71"/>
      <c r="M802" s="5"/>
    </row>
    <row r="803" spans="1:13" s="3" customFormat="1">
      <c r="A803" s="1"/>
      <c r="B803" s="8"/>
      <c r="C803" s="5"/>
      <c r="D803" s="12"/>
      <c r="E803" s="9"/>
      <c r="F803" s="9"/>
      <c r="G803" s="5"/>
      <c r="H803" s="16"/>
      <c r="I803" s="69"/>
      <c r="J803" s="70"/>
      <c r="K803" s="71"/>
      <c r="L803" s="71"/>
      <c r="M803" s="5"/>
    </row>
    <row r="804" spans="1:13" s="3" customFormat="1">
      <c r="A804" s="1"/>
      <c r="B804" s="8"/>
      <c r="C804" s="5"/>
      <c r="D804" s="12"/>
      <c r="E804" s="9"/>
      <c r="F804" s="9"/>
      <c r="G804" s="5"/>
      <c r="H804" s="16"/>
      <c r="I804" s="69"/>
      <c r="J804" s="70"/>
      <c r="K804" s="71"/>
      <c r="L804" s="71"/>
      <c r="M804" s="5"/>
    </row>
    <row r="805" spans="1:13" s="3" customFormat="1">
      <c r="A805" s="1"/>
      <c r="B805" s="8"/>
      <c r="C805" s="5"/>
      <c r="D805" s="12"/>
      <c r="E805" s="9"/>
      <c r="F805" s="9"/>
      <c r="G805" s="5"/>
      <c r="H805" s="16"/>
      <c r="I805" s="69"/>
      <c r="J805" s="70"/>
      <c r="K805" s="71"/>
      <c r="L805" s="71"/>
      <c r="M805" s="5"/>
    </row>
    <row r="806" spans="1:13" s="3" customFormat="1">
      <c r="A806" s="1"/>
      <c r="B806" s="8"/>
      <c r="C806" s="5"/>
      <c r="D806" s="12"/>
      <c r="E806" s="9"/>
      <c r="F806" s="9"/>
      <c r="G806" s="5"/>
      <c r="H806" s="16"/>
      <c r="I806" s="69"/>
      <c r="J806" s="70"/>
      <c r="K806" s="71"/>
      <c r="L806" s="71"/>
      <c r="M806" s="5"/>
    </row>
    <row r="807" spans="1:13" s="3" customFormat="1">
      <c r="A807" s="1"/>
      <c r="B807" s="8"/>
      <c r="C807" s="5"/>
      <c r="D807" s="12"/>
      <c r="E807" s="9"/>
      <c r="F807" s="9"/>
      <c r="G807" s="5"/>
      <c r="H807" s="16"/>
      <c r="I807" s="69"/>
      <c r="J807" s="70"/>
      <c r="K807" s="71"/>
      <c r="L807" s="71"/>
      <c r="M807" s="5"/>
    </row>
    <row r="808" spans="1:13" s="3" customFormat="1">
      <c r="A808" s="1"/>
      <c r="B808" s="8"/>
      <c r="C808" s="5"/>
      <c r="D808" s="12"/>
      <c r="E808" s="9"/>
      <c r="F808" s="9"/>
      <c r="G808" s="5"/>
      <c r="H808" s="16"/>
      <c r="I808" s="69"/>
      <c r="J808" s="70"/>
      <c r="K808" s="71"/>
      <c r="L808" s="71"/>
      <c r="M808" s="5"/>
    </row>
    <row r="809" spans="1:13" s="3" customFormat="1">
      <c r="A809" s="1"/>
      <c r="B809" s="8"/>
      <c r="C809" s="5"/>
      <c r="D809" s="12"/>
      <c r="E809" s="9"/>
      <c r="F809" s="9"/>
      <c r="G809" s="5"/>
      <c r="H809" s="16"/>
      <c r="I809" s="69"/>
      <c r="J809" s="70"/>
      <c r="K809" s="71"/>
      <c r="L809" s="71"/>
      <c r="M809" s="5"/>
    </row>
    <row r="810" spans="1:13" s="3" customFormat="1">
      <c r="A810" s="1"/>
      <c r="B810" s="8"/>
      <c r="C810" s="5"/>
      <c r="D810" s="12"/>
      <c r="E810" s="9"/>
      <c r="F810" s="9"/>
      <c r="G810" s="5"/>
      <c r="H810" s="16"/>
      <c r="I810" s="69"/>
      <c r="J810" s="70"/>
      <c r="K810" s="71"/>
      <c r="L810" s="71"/>
      <c r="M810" s="5"/>
    </row>
    <row r="811" spans="1:13" s="3" customFormat="1">
      <c r="A811" s="1"/>
      <c r="B811" s="8"/>
      <c r="C811" s="5"/>
      <c r="D811" s="12"/>
      <c r="E811" s="9"/>
      <c r="F811" s="9"/>
      <c r="G811" s="5"/>
      <c r="H811" s="16"/>
      <c r="I811" s="69"/>
      <c r="J811" s="70"/>
      <c r="K811" s="71"/>
      <c r="L811" s="71"/>
      <c r="M811" s="5"/>
    </row>
    <row r="812" spans="1:13" s="3" customFormat="1">
      <c r="A812" s="1"/>
      <c r="B812" s="8"/>
      <c r="C812" s="5"/>
      <c r="D812" s="12"/>
      <c r="E812" s="9"/>
      <c r="F812" s="9"/>
      <c r="G812" s="5"/>
      <c r="H812" s="16"/>
      <c r="I812" s="69"/>
      <c r="J812" s="70"/>
      <c r="K812" s="71"/>
      <c r="L812" s="71"/>
      <c r="M812" s="5"/>
    </row>
    <row r="813" spans="1:13" s="3" customFormat="1">
      <c r="A813" s="1"/>
      <c r="B813" s="8"/>
      <c r="C813" s="5"/>
      <c r="D813" s="12"/>
      <c r="E813" s="9"/>
      <c r="F813" s="9"/>
      <c r="G813" s="5"/>
      <c r="H813" s="16"/>
      <c r="I813" s="69"/>
      <c r="J813" s="70"/>
      <c r="K813" s="71"/>
      <c r="L813" s="71"/>
      <c r="M813" s="5"/>
    </row>
    <row r="814" spans="1:13" s="3" customFormat="1">
      <c r="A814" s="1"/>
      <c r="B814" s="8"/>
      <c r="C814" s="5"/>
      <c r="D814" s="12"/>
      <c r="E814" s="9"/>
      <c r="F814" s="9"/>
      <c r="G814" s="5"/>
      <c r="H814" s="16"/>
      <c r="I814" s="69"/>
      <c r="J814" s="70"/>
      <c r="K814" s="71"/>
      <c r="L814" s="71"/>
      <c r="M814" s="5"/>
    </row>
    <row r="815" spans="1:13" s="3" customFormat="1">
      <c r="A815" s="1"/>
      <c r="B815" s="8"/>
      <c r="C815" s="5"/>
      <c r="D815" s="12"/>
      <c r="E815" s="9"/>
      <c r="F815" s="9"/>
      <c r="G815" s="5"/>
      <c r="H815" s="16"/>
      <c r="I815" s="69"/>
      <c r="J815" s="70"/>
      <c r="K815" s="71"/>
      <c r="L815" s="71"/>
      <c r="M815" s="5"/>
    </row>
    <row r="816" spans="1:13" s="3" customFormat="1">
      <c r="A816" s="1"/>
      <c r="B816" s="8"/>
      <c r="C816" s="5"/>
      <c r="D816" s="12"/>
      <c r="E816" s="9"/>
      <c r="F816" s="9"/>
      <c r="G816" s="5"/>
      <c r="H816" s="16"/>
      <c r="I816" s="69"/>
      <c r="J816" s="70"/>
      <c r="K816" s="71"/>
      <c r="L816" s="71"/>
      <c r="M816" s="5"/>
    </row>
    <row r="817" spans="1:13" s="3" customFormat="1">
      <c r="A817" s="1"/>
      <c r="B817" s="8"/>
      <c r="C817" s="5"/>
      <c r="D817" s="12"/>
      <c r="E817" s="9"/>
      <c r="F817" s="9"/>
      <c r="G817" s="5"/>
      <c r="H817" s="16"/>
      <c r="I817" s="69"/>
      <c r="J817" s="70"/>
      <c r="K817" s="71"/>
      <c r="L817" s="71"/>
      <c r="M817" s="5"/>
    </row>
    <row r="818" spans="1:13" s="3" customFormat="1">
      <c r="A818" s="1"/>
      <c r="B818" s="8"/>
      <c r="C818" s="5"/>
      <c r="D818" s="12"/>
      <c r="E818" s="9"/>
      <c r="F818" s="9"/>
      <c r="G818" s="5"/>
      <c r="H818" s="16"/>
      <c r="I818" s="69"/>
      <c r="J818" s="70"/>
      <c r="K818" s="71"/>
      <c r="L818" s="71"/>
      <c r="M818" s="5"/>
    </row>
    <row r="819" spans="1:13" s="3" customFormat="1">
      <c r="A819" s="1"/>
      <c r="B819" s="8"/>
      <c r="C819" s="5"/>
      <c r="D819" s="12"/>
      <c r="E819" s="9"/>
      <c r="F819" s="9"/>
      <c r="G819" s="5"/>
      <c r="H819" s="16"/>
      <c r="I819" s="69"/>
      <c r="J819" s="70"/>
      <c r="K819" s="71"/>
      <c r="L819" s="71"/>
      <c r="M819" s="5"/>
    </row>
    <row r="820" spans="1:13" s="3" customFormat="1">
      <c r="A820" s="1"/>
      <c r="B820" s="8"/>
      <c r="C820" s="5"/>
      <c r="D820" s="12"/>
      <c r="E820" s="9"/>
      <c r="F820" s="9"/>
      <c r="G820" s="5"/>
      <c r="H820" s="16"/>
      <c r="I820" s="69"/>
      <c r="J820" s="70"/>
      <c r="K820" s="71"/>
      <c r="L820" s="71"/>
      <c r="M820" s="5"/>
    </row>
    <row r="821" spans="1:13" s="3" customFormat="1">
      <c r="A821" s="1"/>
      <c r="B821" s="8"/>
      <c r="C821" s="5"/>
      <c r="D821" s="12"/>
      <c r="E821" s="9"/>
      <c r="F821" s="9"/>
      <c r="G821" s="5"/>
      <c r="H821" s="16"/>
      <c r="I821" s="69"/>
      <c r="J821" s="70"/>
      <c r="K821" s="71"/>
      <c r="L821" s="71"/>
      <c r="M821" s="5"/>
    </row>
    <row r="822" spans="1:13" s="3" customFormat="1">
      <c r="A822" s="1"/>
      <c r="B822" s="8"/>
      <c r="C822" s="5"/>
      <c r="D822" s="12"/>
      <c r="E822" s="9"/>
      <c r="F822" s="9"/>
      <c r="G822" s="5"/>
      <c r="H822" s="16"/>
      <c r="I822" s="69"/>
      <c r="J822" s="70"/>
      <c r="K822" s="71"/>
      <c r="L822" s="71"/>
      <c r="M822" s="5"/>
    </row>
    <row r="823" spans="1:13" s="3" customFormat="1">
      <c r="A823" s="1"/>
      <c r="B823" s="8"/>
      <c r="C823" s="5"/>
      <c r="D823" s="12"/>
      <c r="E823" s="9"/>
      <c r="F823" s="9"/>
      <c r="G823" s="5"/>
      <c r="H823" s="16"/>
      <c r="I823" s="69"/>
      <c r="J823" s="70"/>
      <c r="K823" s="71"/>
      <c r="L823" s="71"/>
      <c r="M823" s="5"/>
    </row>
    <row r="824" spans="1:13" s="3" customFormat="1">
      <c r="A824" s="1"/>
      <c r="B824" s="8"/>
      <c r="C824" s="5"/>
      <c r="D824" s="12"/>
      <c r="E824" s="9"/>
      <c r="F824" s="9"/>
      <c r="G824" s="5"/>
      <c r="H824" s="16"/>
      <c r="I824" s="69"/>
      <c r="J824" s="70"/>
      <c r="K824" s="71"/>
      <c r="L824" s="71"/>
      <c r="M824" s="5"/>
    </row>
    <row r="825" spans="1:13" s="3" customFormat="1">
      <c r="A825" s="1"/>
      <c r="B825" s="8"/>
      <c r="C825" s="5"/>
      <c r="D825" s="12"/>
      <c r="E825" s="9"/>
      <c r="F825" s="9"/>
      <c r="G825" s="5"/>
      <c r="H825" s="16"/>
      <c r="I825" s="69"/>
      <c r="J825" s="70"/>
      <c r="K825" s="71"/>
      <c r="L825" s="71"/>
      <c r="M825" s="5"/>
    </row>
    <row r="826" spans="1:13" s="3" customFormat="1">
      <c r="A826" s="1"/>
      <c r="B826" s="8"/>
      <c r="C826" s="5"/>
      <c r="D826" s="12"/>
      <c r="E826" s="9"/>
      <c r="F826" s="9"/>
      <c r="G826" s="5"/>
      <c r="H826" s="16"/>
      <c r="I826" s="69"/>
      <c r="J826" s="70"/>
      <c r="K826" s="71"/>
      <c r="L826" s="71"/>
      <c r="M826" s="5"/>
    </row>
    <row r="827" spans="1:13" s="3" customFormat="1">
      <c r="A827" s="1"/>
      <c r="B827" s="8"/>
      <c r="C827" s="5"/>
      <c r="D827" s="12"/>
      <c r="E827" s="9"/>
      <c r="F827" s="9"/>
      <c r="G827" s="5"/>
      <c r="H827" s="16"/>
      <c r="I827" s="69"/>
      <c r="J827" s="70"/>
      <c r="K827" s="71"/>
      <c r="L827" s="71"/>
      <c r="M827" s="5"/>
    </row>
    <row r="828" spans="1:13" s="3" customFormat="1">
      <c r="A828" s="1"/>
      <c r="B828" s="8"/>
      <c r="C828" s="5"/>
      <c r="D828" s="12"/>
      <c r="E828" s="9"/>
      <c r="F828" s="9"/>
      <c r="G828" s="5"/>
      <c r="H828" s="16"/>
      <c r="I828" s="69"/>
      <c r="J828" s="70"/>
      <c r="K828" s="71"/>
      <c r="L828" s="71"/>
      <c r="M828" s="5"/>
    </row>
    <row r="829" spans="1:13" s="3" customFormat="1">
      <c r="A829" s="1"/>
      <c r="B829" s="8"/>
      <c r="C829" s="5"/>
      <c r="D829" s="12"/>
      <c r="E829" s="9"/>
      <c r="F829" s="9"/>
      <c r="G829" s="5"/>
      <c r="H829" s="16"/>
      <c r="I829" s="69"/>
      <c r="J829" s="70"/>
      <c r="K829" s="71"/>
      <c r="L829" s="71"/>
      <c r="M829" s="5"/>
    </row>
    <row r="830" spans="1:13" s="3" customFormat="1">
      <c r="A830" s="1"/>
      <c r="B830" s="8"/>
      <c r="C830" s="5"/>
      <c r="D830" s="12"/>
      <c r="E830" s="9"/>
      <c r="F830" s="9"/>
      <c r="G830" s="5"/>
      <c r="H830" s="16"/>
      <c r="I830" s="69"/>
      <c r="J830" s="70"/>
      <c r="K830" s="71"/>
      <c r="L830" s="71"/>
      <c r="M830" s="5"/>
    </row>
    <row r="831" spans="1:13" s="3" customFormat="1">
      <c r="A831" s="1"/>
      <c r="B831" s="8"/>
      <c r="C831" s="5"/>
      <c r="D831" s="12"/>
      <c r="E831" s="9"/>
      <c r="F831" s="9"/>
      <c r="G831" s="5"/>
      <c r="H831" s="16"/>
      <c r="I831" s="69"/>
      <c r="J831" s="70"/>
      <c r="K831" s="71"/>
      <c r="L831" s="71"/>
      <c r="M831" s="5"/>
    </row>
    <row r="832" spans="1:13" s="3" customFormat="1">
      <c r="A832" s="1"/>
      <c r="B832" s="8"/>
      <c r="C832" s="5"/>
      <c r="D832" s="12"/>
      <c r="E832" s="9"/>
      <c r="F832" s="9"/>
      <c r="G832" s="5"/>
      <c r="H832" s="16"/>
      <c r="I832" s="69"/>
      <c r="J832" s="70"/>
      <c r="K832" s="71"/>
      <c r="L832" s="71"/>
      <c r="M832" s="5"/>
    </row>
    <row r="833" spans="1:13" s="3" customFormat="1">
      <c r="A833" s="1"/>
      <c r="B833" s="8"/>
      <c r="C833" s="5"/>
      <c r="D833" s="12"/>
      <c r="E833" s="9"/>
      <c r="F833" s="9"/>
      <c r="G833" s="5"/>
      <c r="H833" s="16"/>
      <c r="I833" s="69"/>
      <c r="J833" s="70"/>
      <c r="K833" s="71"/>
      <c r="L833" s="71"/>
      <c r="M833" s="5"/>
    </row>
    <row r="834" spans="1:13" s="3" customFormat="1">
      <c r="A834" s="1"/>
      <c r="B834" s="8"/>
      <c r="C834" s="5"/>
      <c r="D834" s="12"/>
      <c r="E834" s="9"/>
      <c r="F834" s="9"/>
      <c r="G834" s="5"/>
      <c r="H834" s="16"/>
      <c r="I834" s="69"/>
      <c r="J834" s="70"/>
      <c r="K834" s="71"/>
      <c r="L834" s="71"/>
      <c r="M834" s="5"/>
    </row>
    <row r="835" spans="1:13" s="3" customFormat="1">
      <c r="A835" s="1"/>
      <c r="B835" s="8"/>
      <c r="C835" s="5"/>
      <c r="D835" s="12"/>
      <c r="E835" s="9"/>
      <c r="F835" s="9"/>
      <c r="G835" s="5"/>
      <c r="H835" s="16"/>
      <c r="I835" s="69"/>
      <c r="J835" s="70"/>
      <c r="K835" s="71"/>
      <c r="L835" s="71"/>
      <c r="M835" s="5"/>
    </row>
    <row r="836" spans="1:13" s="3" customFormat="1">
      <c r="A836" s="1"/>
      <c r="B836" s="8"/>
      <c r="C836" s="5"/>
      <c r="D836" s="12"/>
      <c r="E836" s="9"/>
      <c r="F836" s="9"/>
      <c r="G836" s="5"/>
      <c r="H836" s="16"/>
      <c r="I836" s="69"/>
      <c r="J836" s="70"/>
      <c r="K836" s="71"/>
      <c r="L836" s="71"/>
      <c r="M836" s="5"/>
    </row>
    <row r="837" spans="1:13" s="3" customFormat="1">
      <c r="A837" s="1"/>
      <c r="B837" s="8"/>
      <c r="C837" s="5"/>
      <c r="D837" s="12"/>
      <c r="E837" s="9"/>
      <c r="F837" s="9"/>
      <c r="G837" s="5"/>
      <c r="H837" s="16"/>
      <c r="I837" s="69"/>
      <c r="J837" s="70"/>
      <c r="K837" s="71"/>
      <c r="L837" s="71"/>
      <c r="M837" s="5"/>
    </row>
    <row r="838" spans="1:13" s="3" customFormat="1">
      <c r="A838" s="1"/>
      <c r="B838" s="8"/>
      <c r="C838" s="5"/>
      <c r="D838" s="12"/>
      <c r="E838" s="9"/>
      <c r="F838" s="9"/>
      <c r="G838" s="5"/>
      <c r="H838" s="16"/>
      <c r="I838" s="69"/>
      <c r="J838" s="70"/>
      <c r="K838" s="71"/>
      <c r="L838" s="71"/>
      <c r="M838" s="5"/>
    </row>
    <row r="839" spans="1:13" s="3" customFormat="1">
      <c r="A839" s="1"/>
      <c r="B839" s="8"/>
      <c r="C839" s="5"/>
      <c r="D839" s="12"/>
      <c r="E839" s="9"/>
      <c r="F839" s="9"/>
      <c r="G839" s="5"/>
      <c r="H839" s="16"/>
      <c r="I839" s="69"/>
      <c r="J839" s="70"/>
      <c r="K839" s="71"/>
      <c r="L839" s="71"/>
      <c r="M839" s="5"/>
    </row>
    <row r="840" spans="1:13" s="3" customFormat="1">
      <c r="A840" s="1"/>
      <c r="B840" s="8"/>
      <c r="C840" s="5"/>
      <c r="D840" s="12"/>
      <c r="E840" s="9"/>
      <c r="F840" s="9"/>
      <c r="G840" s="5"/>
      <c r="H840" s="16"/>
      <c r="I840" s="69"/>
      <c r="J840" s="70"/>
      <c r="K840" s="71"/>
      <c r="L840" s="71"/>
      <c r="M840" s="5"/>
    </row>
    <row r="841" spans="1:13" s="3" customFormat="1">
      <c r="A841" s="1"/>
      <c r="B841" s="8"/>
      <c r="C841" s="5"/>
      <c r="D841" s="12"/>
      <c r="E841" s="9"/>
      <c r="F841" s="9"/>
      <c r="G841" s="5"/>
      <c r="H841" s="16"/>
      <c r="I841" s="69"/>
      <c r="J841" s="70"/>
      <c r="K841" s="71"/>
      <c r="L841" s="71"/>
      <c r="M841" s="5"/>
    </row>
    <row r="842" spans="1:13" s="3" customFormat="1">
      <c r="A842" s="1"/>
      <c r="B842" s="8"/>
      <c r="C842" s="5"/>
      <c r="D842" s="12"/>
      <c r="E842" s="9"/>
      <c r="F842" s="9"/>
      <c r="G842" s="5"/>
      <c r="H842" s="16"/>
      <c r="I842" s="69"/>
      <c r="J842" s="70"/>
      <c r="K842" s="71"/>
      <c r="L842" s="71"/>
      <c r="M842" s="5"/>
    </row>
    <row r="843" spans="1:13" s="3" customFormat="1">
      <c r="A843" s="1"/>
      <c r="B843" s="8"/>
      <c r="C843" s="5"/>
      <c r="D843" s="12"/>
      <c r="E843" s="9"/>
      <c r="F843" s="9"/>
      <c r="G843" s="5"/>
      <c r="H843" s="16"/>
      <c r="I843" s="69"/>
      <c r="J843" s="70"/>
      <c r="K843" s="71"/>
      <c r="L843" s="71"/>
      <c r="M843" s="5"/>
    </row>
    <row r="844" spans="1:13" s="3" customFormat="1">
      <c r="A844" s="1"/>
      <c r="B844" s="8"/>
      <c r="C844" s="5"/>
      <c r="D844" s="12"/>
      <c r="E844" s="9"/>
      <c r="F844" s="9"/>
      <c r="G844" s="5"/>
      <c r="H844" s="16"/>
      <c r="I844" s="69"/>
      <c r="J844" s="70"/>
      <c r="K844" s="71"/>
      <c r="L844" s="71"/>
      <c r="M844" s="5"/>
    </row>
    <row r="845" spans="1:13" s="3" customFormat="1">
      <c r="A845" s="1"/>
      <c r="B845" s="8"/>
      <c r="C845" s="5"/>
      <c r="D845" s="12"/>
      <c r="E845" s="9"/>
      <c r="F845" s="9"/>
      <c r="G845" s="5"/>
      <c r="H845" s="16"/>
      <c r="I845" s="69"/>
      <c r="J845" s="70"/>
      <c r="K845" s="71"/>
      <c r="L845" s="71"/>
      <c r="M845" s="5"/>
    </row>
    <row r="846" spans="1:13" s="3" customFormat="1">
      <c r="A846" s="1"/>
      <c r="B846" s="8"/>
      <c r="C846" s="5"/>
      <c r="D846" s="12"/>
      <c r="E846" s="9"/>
      <c r="F846" s="9"/>
      <c r="G846" s="5"/>
      <c r="H846" s="16"/>
      <c r="I846" s="69"/>
      <c r="J846" s="70"/>
      <c r="K846" s="71"/>
      <c r="L846" s="71"/>
      <c r="M846" s="5"/>
    </row>
    <row r="847" spans="1:13" s="3" customFormat="1">
      <c r="A847" s="1"/>
      <c r="B847" s="8"/>
      <c r="C847" s="5"/>
      <c r="D847" s="12"/>
      <c r="E847" s="9"/>
      <c r="F847" s="9"/>
      <c r="G847" s="5"/>
      <c r="H847" s="16"/>
      <c r="I847" s="69"/>
      <c r="J847" s="70"/>
      <c r="K847" s="71"/>
      <c r="L847" s="71"/>
      <c r="M847" s="5"/>
    </row>
    <row r="848" spans="1:13" s="3" customFormat="1">
      <c r="A848" s="1"/>
      <c r="B848" s="8"/>
      <c r="C848" s="5"/>
      <c r="D848" s="12"/>
      <c r="E848" s="9"/>
      <c r="F848" s="9"/>
      <c r="G848" s="5"/>
      <c r="H848" s="16"/>
      <c r="I848" s="69"/>
      <c r="J848" s="70"/>
      <c r="K848" s="71"/>
      <c r="L848" s="71"/>
      <c r="M848" s="5"/>
    </row>
    <row r="849" spans="1:13" s="3" customFormat="1">
      <c r="A849" s="1"/>
      <c r="B849" s="8"/>
      <c r="C849" s="5"/>
      <c r="D849" s="12"/>
      <c r="E849" s="9"/>
      <c r="F849" s="9"/>
      <c r="G849" s="5"/>
      <c r="H849" s="16"/>
      <c r="I849" s="69"/>
      <c r="J849" s="70"/>
      <c r="K849" s="71"/>
      <c r="L849" s="71"/>
      <c r="M849" s="5"/>
    </row>
    <row r="850" spans="1:13" s="3" customFormat="1">
      <c r="A850" s="1"/>
      <c r="B850" s="8"/>
      <c r="C850" s="5"/>
      <c r="D850" s="12"/>
      <c r="E850" s="9"/>
      <c r="F850" s="9"/>
      <c r="G850" s="5"/>
      <c r="H850" s="16"/>
      <c r="I850" s="69"/>
      <c r="J850" s="70"/>
      <c r="K850" s="71"/>
      <c r="L850" s="71"/>
      <c r="M850" s="5"/>
    </row>
    <row r="851" spans="1:13" s="3" customFormat="1">
      <c r="A851" s="1"/>
      <c r="B851" s="8"/>
      <c r="C851" s="5"/>
      <c r="D851" s="12"/>
      <c r="E851" s="9"/>
      <c r="F851" s="9"/>
      <c r="G851" s="5"/>
      <c r="H851" s="16"/>
      <c r="I851" s="69"/>
      <c r="J851" s="70"/>
      <c r="K851" s="71"/>
      <c r="L851" s="71"/>
      <c r="M851" s="5"/>
    </row>
    <row r="852" spans="1:13" s="3" customFormat="1">
      <c r="A852" s="1"/>
      <c r="B852" s="8"/>
      <c r="C852" s="5"/>
      <c r="D852" s="12"/>
      <c r="E852" s="9"/>
      <c r="F852" s="9"/>
      <c r="G852" s="5"/>
      <c r="H852" s="16"/>
      <c r="I852" s="69"/>
      <c r="J852" s="70"/>
      <c r="K852" s="71"/>
      <c r="L852" s="71"/>
      <c r="M852" s="5"/>
    </row>
    <row r="853" spans="1:13" s="3" customFormat="1">
      <c r="A853" s="1"/>
      <c r="B853" s="8"/>
      <c r="C853" s="5"/>
      <c r="D853" s="12"/>
      <c r="E853" s="9"/>
      <c r="F853" s="9"/>
      <c r="G853" s="5"/>
      <c r="H853" s="16"/>
      <c r="I853" s="69"/>
      <c r="J853" s="70"/>
      <c r="K853" s="71"/>
      <c r="L853" s="71"/>
      <c r="M853" s="5"/>
    </row>
    <row r="854" spans="1:13" s="3" customFormat="1">
      <c r="A854" s="1"/>
      <c r="B854" s="8"/>
      <c r="C854" s="5"/>
      <c r="D854" s="12"/>
      <c r="E854" s="9"/>
      <c r="F854" s="9"/>
      <c r="G854" s="5"/>
      <c r="H854" s="16"/>
      <c r="I854" s="69"/>
      <c r="J854" s="70"/>
      <c r="K854" s="71"/>
      <c r="L854" s="71"/>
      <c r="M854" s="5"/>
    </row>
    <row r="855" spans="1:13" s="3" customFormat="1">
      <c r="A855" s="1"/>
      <c r="B855" s="8"/>
      <c r="C855" s="5"/>
      <c r="D855" s="12"/>
      <c r="E855" s="9"/>
      <c r="F855" s="9"/>
      <c r="G855" s="5"/>
      <c r="H855" s="16"/>
      <c r="I855" s="69"/>
      <c r="J855" s="70"/>
      <c r="K855" s="71"/>
      <c r="L855" s="71"/>
      <c r="M855" s="5"/>
    </row>
    <row r="856" spans="1:13" s="3" customFormat="1">
      <c r="A856" s="1"/>
      <c r="B856" s="8"/>
      <c r="C856" s="5"/>
      <c r="D856" s="12"/>
      <c r="E856" s="9"/>
      <c r="F856" s="9"/>
      <c r="G856" s="5"/>
      <c r="H856" s="16"/>
      <c r="I856" s="69"/>
      <c r="J856" s="70"/>
      <c r="K856" s="71"/>
      <c r="L856" s="71"/>
      <c r="M856" s="5"/>
    </row>
    <row r="857" spans="1:13" s="3" customFormat="1">
      <c r="A857" s="1"/>
      <c r="B857" s="8"/>
      <c r="C857" s="5"/>
      <c r="D857" s="12"/>
      <c r="E857" s="9"/>
      <c r="F857" s="9"/>
      <c r="G857" s="5"/>
      <c r="H857" s="16"/>
      <c r="I857" s="69"/>
      <c r="J857" s="70"/>
      <c r="K857" s="71"/>
      <c r="L857" s="71"/>
      <c r="M857" s="5"/>
    </row>
    <row r="858" spans="1:13" s="3" customFormat="1">
      <c r="A858" s="1"/>
      <c r="B858" s="8"/>
      <c r="C858" s="5"/>
      <c r="D858" s="12"/>
      <c r="E858" s="9"/>
      <c r="F858" s="9"/>
      <c r="G858" s="5"/>
      <c r="H858" s="16"/>
      <c r="I858" s="69"/>
      <c r="J858" s="70"/>
      <c r="K858" s="71"/>
      <c r="L858" s="71"/>
      <c r="M858" s="5"/>
    </row>
    <row r="859" spans="1:13" s="3" customFormat="1">
      <c r="A859" s="1"/>
      <c r="B859" s="8"/>
      <c r="C859" s="5"/>
      <c r="D859" s="12"/>
      <c r="E859" s="9"/>
      <c r="F859" s="9"/>
      <c r="G859" s="5"/>
      <c r="H859" s="16"/>
      <c r="I859" s="69"/>
      <c r="J859" s="70"/>
      <c r="K859" s="71"/>
      <c r="L859" s="71"/>
      <c r="M859" s="5"/>
    </row>
    <row r="860" spans="1:13" s="3" customFormat="1">
      <c r="A860" s="1"/>
      <c r="B860" s="8"/>
      <c r="C860" s="5"/>
      <c r="D860" s="12"/>
      <c r="E860" s="9"/>
      <c r="F860" s="9"/>
      <c r="G860" s="5"/>
      <c r="H860" s="16"/>
      <c r="I860" s="69"/>
      <c r="J860" s="70"/>
      <c r="K860" s="71"/>
      <c r="L860" s="71"/>
      <c r="M860" s="5"/>
    </row>
    <row r="861" spans="1:13" s="3" customFormat="1">
      <c r="A861" s="1"/>
      <c r="B861" s="8"/>
      <c r="C861" s="5"/>
      <c r="D861" s="12"/>
      <c r="E861" s="9"/>
      <c r="F861" s="9"/>
      <c r="G861" s="5"/>
      <c r="H861" s="16"/>
      <c r="I861" s="69"/>
      <c r="J861" s="70"/>
      <c r="K861" s="71"/>
      <c r="L861" s="71"/>
      <c r="M861" s="5"/>
    </row>
    <row r="862" spans="1:13" s="3" customFormat="1">
      <c r="A862" s="1"/>
      <c r="B862" s="8"/>
      <c r="C862" s="5"/>
      <c r="D862" s="12"/>
      <c r="E862" s="9"/>
      <c r="F862" s="9"/>
      <c r="G862" s="5"/>
      <c r="H862" s="16"/>
      <c r="I862" s="69"/>
      <c r="J862" s="70"/>
      <c r="K862" s="71"/>
      <c r="L862" s="71"/>
      <c r="M862" s="5"/>
    </row>
    <row r="863" spans="1:13" s="3" customFormat="1">
      <c r="A863" s="1"/>
      <c r="B863" s="8"/>
      <c r="C863" s="5"/>
      <c r="D863" s="12"/>
      <c r="E863" s="9"/>
      <c r="F863" s="9"/>
      <c r="G863" s="5"/>
      <c r="H863" s="16"/>
      <c r="I863" s="69"/>
      <c r="J863" s="70"/>
      <c r="K863" s="71"/>
      <c r="L863" s="71"/>
      <c r="M863" s="5"/>
    </row>
    <row r="864" spans="1:13" s="3" customFormat="1">
      <c r="A864" s="1"/>
      <c r="B864" s="8"/>
      <c r="C864" s="5"/>
      <c r="D864" s="12"/>
      <c r="E864" s="9"/>
      <c r="F864" s="9"/>
      <c r="G864" s="5"/>
      <c r="H864" s="16"/>
      <c r="I864" s="69"/>
      <c r="J864" s="70"/>
      <c r="K864" s="71"/>
      <c r="L864" s="71"/>
      <c r="M864" s="5"/>
    </row>
    <row r="865" spans="1:13" s="3" customFormat="1">
      <c r="A865" s="1"/>
      <c r="B865" s="8"/>
      <c r="C865" s="5"/>
      <c r="D865" s="12"/>
      <c r="E865" s="9"/>
      <c r="F865" s="9"/>
      <c r="G865" s="5"/>
      <c r="H865" s="16"/>
      <c r="I865" s="69"/>
      <c r="J865" s="70"/>
      <c r="K865" s="71"/>
      <c r="L865" s="71"/>
      <c r="M865" s="5"/>
    </row>
    <row r="866" spans="1:13" s="3" customFormat="1">
      <c r="A866" s="1"/>
      <c r="B866" s="8"/>
      <c r="C866" s="5"/>
      <c r="D866" s="12"/>
      <c r="E866" s="9"/>
      <c r="F866" s="9"/>
      <c r="G866" s="5"/>
      <c r="H866" s="16"/>
      <c r="I866" s="69"/>
      <c r="J866" s="70"/>
      <c r="K866" s="71"/>
      <c r="L866" s="71"/>
      <c r="M866" s="5"/>
    </row>
    <row r="867" spans="1:13" s="3" customFormat="1">
      <c r="A867" s="1"/>
      <c r="B867" s="8"/>
      <c r="C867" s="5"/>
      <c r="D867" s="12"/>
      <c r="E867" s="9"/>
      <c r="F867" s="9"/>
      <c r="G867" s="5"/>
      <c r="H867" s="16"/>
      <c r="I867" s="69"/>
      <c r="J867" s="70"/>
      <c r="K867" s="71"/>
      <c r="L867" s="71"/>
      <c r="M867" s="5"/>
    </row>
    <row r="868" spans="1:13" s="3" customFormat="1">
      <c r="A868" s="1"/>
      <c r="B868" s="8"/>
      <c r="C868" s="5"/>
      <c r="D868" s="12"/>
      <c r="E868" s="9"/>
      <c r="F868" s="9"/>
      <c r="G868" s="5"/>
      <c r="H868" s="16"/>
      <c r="I868" s="69"/>
      <c r="J868" s="70"/>
      <c r="K868" s="71"/>
      <c r="L868" s="71"/>
      <c r="M868" s="5"/>
    </row>
    <row r="869" spans="1:13" s="3" customFormat="1">
      <c r="A869" s="1"/>
      <c r="B869" s="8"/>
      <c r="C869" s="5"/>
      <c r="D869" s="12"/>
      <c r="E869" s="9"/>
      <c r="F869" s="9"/>
      <c r="G869" s="5"/>
      <c r="H869" s="16"/>
      <c r="I869" s="69"/>
      <c r="J869" s="70"/>
      <c r="K869" s="71"/>
      <c r="L869" s="71"/>
      <c r="M869" s="5"/>
    </row>
    <row r="870" spans="1:13" s="3" customFormat="1">
      <c r="A870" s="1"/>
      <c r="B870" s="8"/>
      <c r="C870" s="5"/>
      <c r="D870" s="12"/>
      <c r="E870" s="9"/>
      <c r="F870" s="9"/>
      <c r="G870" s="5"/>
      <c r="H870" s="16"/>
      <c r="I870" s="69"/>
      <c r="J870" s="70"/>
      <c r="K870" s="71"/>
      <c r="L870" s="71"/>
      <c r="M870" s="5"/>
    </row>
    <row r="871" spans="1:13" s="3" customFormat="1">
      <c r="A871" s="1"/>
      <c r="B871" s="8"/>
      <c r="C871" s="5"/>
      <c r="D871" s="12"/>
      <c r="E871" s="9"/>
      <c r="F871" s="9"/>
      <c r="G871" s="5"/>
      <c r="H871" s="16"/>
      <c r="I871" s="69"/>
      <c r="J871" s="70"/>
      <c r="K871" s="71"/>
      <c r="L871" s="71"/>
      <c r="M871" s="5"/>
    </row>
    <row r="872" spans="1:13" s="3" customFormat="1">
      <c r="A872" s="1"/>
      <c r="B872" s="8"/>
      <c r="C872" s="5"/>
      <c r="D872" s="12"/>
      <c r="E872" s="9"/>
      <c r="F872" s="9"/>
      <c r="G872" s="5"/>
      <c r="H872" s="16"/>
      <c r="I872" s="69"/>
      <c r="J872" s="70"/>
      <c r="K872" s="71"/>
      <c r="L872" s="71"/>
      <c r="M872" s="5"/>
    </row>
    <row r="873" spans="1:13" s="3" customFormat="1">
      <c r="A873" s="1"/>
      <c r="B873" s="8"/>
      <c r="C873" s="5"/>
      <c r="D873" s="12"/>
      <c r="E873" s="9"/>
      <c r="F873" s="9"/>
      <c r="G873" s="5"/>
      <c r="H873" s="16"/>
      <c r="I873" s="69"/>
      <c r="J873" s="70"/>
      <c r="K873" s="71"/>
      <c r="L873" s="71"/>
      <c r="M873" s="5"/>
    </row>
    <row r="874" spans="1:13" s="3" customFormat="1">
      <c r="A874" s="1"/>
      <c r="B874" s="8"/>
      <c r="C874" s="5"/>
      <c r="D874" s="12"/>
      <c r="E874" s="9"/>
      <c r="F874" s="9"/>
      <c r="G874" s="5"/>
      <c r="H874" s="16"/>
      <c r="I874" s="69"/>
      <c r="J874" s="70"/>
      <c r="K874" s="71"/>
      <c r="L874" s="71"/>
      <c r="M874" s="5"/>
    </row>
    <row r="875" spans="1:13" s="3" customFormat="1">
      <c r="A875" s="1"/>
      <c r="B875" s="8"/>
      <c r="C875" s="5"/>
      <c r="D875" s="12"/>
      <c r="E875" s="9"/>
      <c r="F875" s="9"/>
      <c r="G875" s="5"/>
      <c r="H875" s="16"/>
      <c r="I875" s="69"/>
      <c r="J875" s="70"/>
      <c r="K875" s="71"/>
      <c r="L875" s="71"/>
      <c r="M875" s="5"/>
    </row>
    <row r="876" spans="1:13" s="3" customFormat="1">
      <c r="A876" s="1"/>
      <c r="B876" s="8"/>
      <c r="C876" s="5"/>
      <c r="D876" s="12"/>
      <c r="E876" s="9"/>
      <c r="F876" s="9"/>
      <c r="G876" s="5"/>
      <c r="H876" s="16"/>
      <c r="I876" s="69"/>
      <c r="J876" s="70"/>
      <c r="K876" s="71"/>
      <c r="L876" s="71"/>
      <c r="M876" s="5"/>
    </row>
    <row r="877" spans="1:13" s="3" customFormat="1">
      <c r="A877" s="1"/>
      <c r="B877" s="8"/>
      <c r="C877" s="5"/>
      <c r="D877" s="12"/>
      <c r="E877" s="9"/>
      <c r="F877" s="9"/>
      <c r="G877" s="5"/>
      <c r="H877" s="16"/>
      <c r="I877" s="69"/>
      <c r="J877" s="70"/>
      <c r="K877" s="71"/>
      <c r="L877" s="71"/>
      <c r="M877" s="5"/>
    </row>
    <row r="878" spans="1:13" s="3" customFormat="1">
      <c r="A878" s="1"/>
      <c r="B878" s="8"/>
      <c r="C878" s="5"/>
      <c r="D878" s="12"/>
      <c r="E878" s="9"/>
      <c r="F878" s="9"/>
      <c r="G878" s="5"/>
      <c r="H878" s="16"/>
      <c r="I878" s="69"/>
      <c r="J878" s="70"/>
      <c r="K878" s="71"/>
      <c r="L878" s="71"/>
      <c r="M878" s="5"/>
    </row>
    <row r="879" spans="1:13" s="3" customFormat="1">
      <c r="A879" s="1"/>
      <c r="B879" s="8"/>
      <c r="C879" s="5"/>
      <c r="D879" s="12"/>
      <c r="E879" s="9"/>
      <c r="F879" s="9"/>
      <c r="G879" s="5"/>
      <c r="H879" s="16"/>
      <c r="I879" s="69"/>
      <c r="J879" s="70"/>
      <c r="K879" s="71"/>
      <c r="L879" s="71"/>
      <c r="M879" s="5"/>
    </row>
    <row r="880" spans="1:13" s="3" customFormat="1">
      <c r="A880" s="1"/>
      <c r="B880" s="8"/>
      <c r="C880" s="5"/>
      <c r="D880" s="12"/>
      <c r="E880" s="9"/>
      <c r="F880" s="9"/>
      <c r="G880" s="5"/>
      <c r="H880" s="16"/>
      <c r="I880" s="69"/>
      <c r="J880" s="70"/>
      <c r="K880" s="71"/>
      <c r="L880" s="71"/>
      <c r="M880" s="5"/>
    </row>
    <row r="881" spans="1:13" s="3" customFormat="1">
      <c r="A881" s="1"/>
      <c r="B881" s="8"/>
      <c r="C881" s="5"/>
      <c r="D881" s="12"/>
      <c r="E881" s="9"/>
      <c r="F881" s="9"/>
      <c r="G881" s="5"/>
      <c r="H881" s="16"/>
      <c r="I881" s="69"/>
      <c r="J881" s="70"/>
      <c r="K881" s="71"/>
      <c r="L881" s="71"/>
      <c r="M881" s="5"/>
    </row>
    <row r="882" spans="1:13" s="3" customFormat="1">
      <c r="A882" s="1"/>
      <c r="B882" s="8"/>
      <c r="C882" s="5"/>
      <c r="D882" s="12"/>
      <c r="E882" s="9"/>
      <c r="F882" s="9"/>
      <c r="G882" s="5"/>
      <c r="H882" s="16"/>
      <c r="I882" s="69"/>
      <c r="J882" s="70"/>
      <c r="K882" s="71"/>
      <c r="L882" s="71"/>
      <c r="M882" s="5"/>
    </row>
    <row r="883" spans="1:13" s="3" customFormat="1">
      <c r="A883" s="1"/>
      <c r="B883" s="8"/>
      <c r="C883" s="5"/>
      <c r="D883" s="12"/>
      <c r="E883" s="9"/>
      <c r="F883" s="9"/>
      <c r="G883" s="5"/>
      <c r="H883" s="16"/>
      <c r="I883" s="69"/>
      <c r="J883" s="70"/>
      <c r="K883" s="71"/>
      <c r="L883" s="71"/>
      <c r="M883" s="5"/>
    </row>
    <row r="884" spans="1:13" s="3" customFormat="1">
      <c r="A884" s="1"/>
      <c r="B884" s="8"/>
      <c r="C884" s="5"/>
      <c r="D884" s="12"/>
      <c r="E884" s="9"/>
      <c r="F884" s="9"/>
      <c r="G884" s="5"/>
      <c r="H884" s="16"/>
      <c r="I884" s="69"/>
      <c r="J884" s="70"/>
      <c r="K884" s="71"/>
      <c r="L884" s="71"/>
      <c r="M884" s="5"/>
    </row>
    <row r="885" spans="1:13" s="3" customFormat="1">
      <c r="A885" s="1"/>
      <c r="B885" s="8"/>
      <c r="C885" s="5"/>
      <c r="D885" s="12"/>
      <c r="E885" s="9"/>
      <c r="F885" s="9"/>
      <c r="G885" s="5"/>
      <c r="H885" s="16"/>
      <c r="I885" s="69"/>
      <c r="J885" s="70"/>
      <c r="K885" s="71"/>
      <c r="L885" s="71"/>
      <c r="M885" s="5"/>
    </row>
    <row r="886" spans="1:13" s="3" customFormat="1">
      <c r="A886" s="1"/>
      <c r="B886" s="8"/>
      <c r="C886" s="5"/>
      <c r="D886" s="12"/>
      <c r="E886" s="9"/>
      <c r="F886" s="9"/>
      <c r="G886" s="5"/>
      <c r="H886" s="16"/>
      <c r="I886" s="69"/>
      <c r="J886" s="70"/>
      <c r="K886" s="71"/>
      <c r="L886" s="71"/>
      <c r="M886" s="5"/>
    </row>
    <row r="887" spans="1:13" s="3" customFormat="1">
      <c r="A887" s="1"/>
      <c r="B887" s="8"/>
      <c r="C887" s="5"/>
      <c r="D887" s="12"/>
      <c r="E887" s="9"/>
      <c r="F887" s="9"/>
      <c r="G887" s="5"/>
      <c r="H887" s="16"/>
      <c r="I887" s="69"/>
      <c r="J887" s="70"/>
      <c r="K887" s="71"/>
      <c r="L887" s="71"/>
      <c r="M887" s="5"/>
    </row>
    <row r="888" spans="1:13" s="3" customFormat="1">
      <c r="A888" s="1"/>
      <c r="B888" s="8"/>
      <c r="C888" s="5"/>
      <c r="D888" s="12"/>
      <c r="E888" s="9"/>
      <c r="F888" s="9"/>
      <c r="G888" s="5"/>
      <c r="H888" s="16"/>
      <c r="I888" s="69"/>
      <c r="J888" s="70"/>
      <c r="K888" s="71"/>
      <c r="L888" s="71"/>
      <c r="M888" s="5"/>
    </row>
    <row r="889" spans="1:13" s="3" customFormat="1">
      <c r="A889" s="1"/>
      <c r="B889" s="8"/>
      <c r="C889" s="5"/>
      <c r="D889" s="12"/>
      <c r="E889" s="9"/>
      <c r="F889" s="9"/>
      <c r="G889" s="5"/>
      <c r="H889" s="16"/>
      <c r="I889" s="69"/>
      <c r="J889" s="70"/>
      <c r="K889" s="71"/>
      <c r="L889" s="71"/>
      <c r="M889" s="5"/>
    </row>
    <row r="890" spans="1:13" s="3" customFormat="1">
      <c r="A890" s="1"/>
      <c r="B890" s="8"/>
      <c r="C890" s="5"/>
      <c r="D890" s="12"/>
      <c r="E890" s="9"/>
      <c r="F890" s="9"/>
      <c r="G890" s="5"/>
      <c r="H890" s="16"/>
      <c r="I890" s="69"/>
      <c r="J890" s="70"/>
      <c r="K890" s="71"/>
      <c r="L890" s="71"/>
      <c r="M890" s="5"/>
    </row>
    <row r="891" spans="1:13" s="3" customFormat="1">
      <c r="A891" s="1"/>
      <c r="B891" s="8"/>
      <c r="C891" s="5"/>
      <c r="D891" s="12"/>
      <c r="E891" s="9"/>
      <c r="F891" s="9"/>
      <c r="G891" s="5"/>
      <c r="H891" s="16"/>
      <c r="I891" s="69"/>
      <c r="J891" s="70"/>
      <c r="K891" s="71"/>
      <c r="L891" s="71"/>
      <c r="M891" s="5"/>
    </row>
    <row r="892" spans="1:13" s="3" customFormat="1">
      <c r="A892" s="1"/>
      <c r="B892" s="8"/>
      <c r="C892" s="5"/>
      <c r="D892" s="12"/>
      <c r="E892" s="9"/>
      <c r="F892" s="9"/>
      <c r="G892" s="5"/>
      <c r="H892" s="16"/>
      <c r="I892" s="69"/>
      <c r="J892" s="70"/>
      <c r="K892" s="71"/>
      <c r="L892" s="71"/>
      <c r="M892" s="5"/>
    </row>
    <row r="893" spans="1:13" s="3" customFormat="1">
      <c r="A893" s="1"/>
      <c r="B893" s="8"/>
      <c r="C893" s="5"/>
      <c r="D893" s="12"/>
      <c r="E893" s="9"/>
      <c r="F893" s="9"/>
      <c r="G893" s="5"/>
      <c r="H893" s="16"/>
      <c r="I893" s="69"/>
      <c r="J893" s="70"/>
      <c r="K893" s="71"/>
      <c r="L893" s="71"/>
      <c r="M893" s="5"/>
    </row>
    <row r="894" spans="1:13" s="3" customFormat="1">
      <c r="A894" s="1"/>
      <c r="B894" s="8"/>
      <c r="C894" s="5"/>
      <c r="D894" s="12"/>
      <c r="E894" s="9"/>
      <c r="F894" s="9"/>
      <c r="G894" s="5"/>
      <c r="H894" s="16"/>
      <c r="I894" s="69"/>
      <c r="J894" s="70"/>
      <c r="K894" s="71"/>
      <c r="L894" s="71"/>
      <c r="M894" s="5"/>
    </row>
    <row r="895" spans="1:13" s="3" customFormat="1">
      <c r="A895" s="1"/>
      <c r="B895" s="8"/>
      <c r="C895" s="5"/>
      <c r="D895" s="12"/>
      <c r="E895" s="9"/>
      <c r="F895" s="9"/>
      <c r="G895" s="5"/>
      <c r="H895" s="16"/>
      <c r="I895" s="69"/>
      <c r="J895" s="70"/>
      <c r="K895" s="71"/>
      <c r="L895" s="71"/>
      <c r="M895" s="5"/>
    </row>
    <row r="896" spans="1:13" s="3" customFormat="1">
      <c r="A896" s="1"/>
      <c r="B896" s="8"/>
      <c r="C896" s="5"/>
      <c r="D896" s="12"/>
      <c r="E896" s="9"/>
      <c r="F896" s="9"/>
      <c r="G896" s="5"/>
      <c r="H896" s="16"/>
      <c r="I896" s="69"/>
      <c r="J896" s="70"/>
      <c r="K896" s="71"/>
      <c r="L896" s="71"/>
      <c r="M896" s="5"/>
    </row>
    <row r="897" spans="1:13" s="3" customFormat="1">
      <c r="A897" s="1"/>
      <c r="B897" s="8"/>
      <c r="C897" s="5"/>
      <c r="D897" s="12"/>
      <c r="E897" s="9"/>
      <c r="F897" s="9"/>
      <c r="G897" s="5"/>
      <c r="H897" s="16"/>
      <c r="I897" s="69"/>
      <c r="J897" s="70"/>
      <c r="K897" s="71"/>
      <c r="L897" s="71"/>
      <c r="M897" s="5"/>
    </row>
    <row r="898" spans="1:13" s="3" customFormat="1">
      <c r="A898" s="1"/>
      <c r="B898" s="8"/>
      <c r="C898" s="5"/>
      <c r="D898" s="12"/>
      <c r="E898" s="9"/>
      <c r="F898" s="9"/>
      <c r="G898" s="5"/>
      <c r="H898" s="16"/>
      <c r="I898" s="69"/>
      <c r="J898" s="70"/>
      <c r="K898" s="71"/>
      <c r="L898" s="71"/>
      <c r="M898" s="5"/>
    </row>
    <row r="899" spans="1:13" s="3" customFormat="1">
      <c r="A899" s="1"/>
      <c r="B899" s="8"/>
      <c r="C899" s="5"/>
      <c r="D899" s="12"/>
      <c r="E899" s="9"/>
      <c r="F899" s="9"/>
      <c r="G899" s="5"/>
      <c r="H899" s="16"/>
      <c r="I899" s="69"/>
      <c r="J899" s="70"/>
      <c r="K899" s="71"/>
      <c r="L899" s="71"/>
      <c r="M899" s="5"/>
    </row>
    <row r="900" spans="1:13" s="3" customFormat="1">
      <c r="A900" s="1"/>
      <c r="B900" s="8"/>
      <c r="C900" s="5"/>
      <c r="D900" s="12"/>
      <c r="E900" s="9"/>
      <c r="F900" s="9"/>
      <c r="G900" s="5"/>
      <c r="H900" s="16"/>
      <c r="I900" s="69"/>
      <c r="J900" s="70"/>
      <c r="K900" s="71"/>
      <c r="L900" s="71"/>
      <c r="M900" s="5"/>
    </row>
    <row r="901" spans="1:13" s="3" customFormat="1">
      <c r="A901" s="1"/>
      <c r="B901" s="8"/>
      <c r="C901" s="5"/>
      <c r="D901" s="12"/>
      <c r="E901" s="9"/>
      <c r="F901" s="9"/>
      <c r="G901" s="5"/>
      <c r="H901" s="16"/>
      <c r="I901" s="69"/>
      <c r="J901" s="70"/>
      <c r="K901" s="71"/>
      <c r="L901" s="71"/>
      <c r="M901" s="5"/>
    </row>
    <row r="902" spans="1:13" s="3" customFormat="1">
      <c r="A902" s="1"/>
      <c r="B902" s="8"/>
      <c r="C902" s="5"/>
      <c r="D902" s="12"/>
      <c r="E902" s="9"/>
      <c r="F902" s="9"/>
      <c r="G902" s="5"/>
      <c r="H902" s="16"/>
      <c r="I902" s="69"/>
      <c r="J902" s="70"/>
      <c r="K902" s="71"/>
      <c r="L902" s="71"/>
      <c r="M902" s="5"/>
    </row>
    <row r="903" spans="1:13" s="3" customFormat="1">
      <c r="A903" s="1"/>
      <c r="B903" s="8"/>
      <c r="C903" s="5"/>
      <c r="D903" s="12"/>
      <c r="E903" s="9"/>
      <c r="F903" s="9"/>
      <c r="G903" s="5"/>
      <c r="H903" s="16"/>
      <c r="I903" s="69"/>
      <c r="J903" s="70"/>
      <c r="K903" s="71"/>
      <c r="L903" s="71"/>
      <c r="M903" s="5"/>
    </row>
    <row r="904" spans="1:13" s="3" customFormat="1">
      <c r="A904" s="1"/>
      <c r="B904" s="8"/>
      <c r="C904" s="5"/>
      <c r="D904" s="12"/>
      <c r="E904" s="9"/>
      <c r="F904" s="9"/>
      <c r="G904" s="5"/>
      <c r="H904" s="16"/>
      <c r="I904" s="69"/>
      <c r="J904" s="70"/>
      <c r="K904" s="71"/>
      <c r="L904" s="71"/>
      <c r="M904" s="5"/>
    </row>
    <row r="905" spans="1:13" s="3" customFormat="1">
      <c r="A905" s="1"/>
      <c r="B905" s="8"/>
      <c r="C905" s="5"/>
      <c r="D905" s="12"/>
      <c r="E905" s="9"/>
      <c r="F905" s="9"/>
      <c r="G905" s="5"/>
      <c r="H905" s="16"/>
      <c r="I905" s="69"/>
      <c r="J905" s="70"/>
      <c r="K905" s="71"/>
      <c r="L905" s="71"/>
      <c r="M905" s="5"/>
    </row>
    <row r="906" spans="1:13" s="3" customFormat="1">
      <c r="A906" s="1"/>
      <c r="B906" s="8"/>
      <c r="C906" s="5"/>
      <c r="D906" s="12"/>
      <c r="E906" s="9"/>
      <c r="F906" s="9"/>
      <c r="G906" s="5"/>
      <c r="H906" s="16"/>
      <c r="I906" s="69"/>
      <c r="J906" s="70"/>
      <c r="K906" s="71"/>
      <c r="L906" s="71"/>
      <c r="M906" s="5"/>
    </row>
    <row r="907" spans="1:13" s="3" customFormat="1">
      <c r="A907" s="1"/>
      <c r="B907" s="8"/>
      <c r="C907" s="5"/>
      <c r="D907" s="12"/>
      <c r="E907" s="9"/>
      <c r="F907" s="9"/>
      <c r="G907" s="5"/>
      <c r="H907" s="16"/>
      <c r="I907" s="69"/>
      <c r="J907" s="70"/>
      <c r="K907" s="71"/>
      <c r="L907" s="71"/>
      <c r="M907" s="5"/>
    </row>
    <row r="908" spans="1:13" s="3" customFormat="1">
      <c r="A908" s="1"/>
      <c r="B908" s="8"/>
      <c r="C908" s="5"/>
      <c r="D908" s="12"/>
      <c r="E908" s="9"/>
      <c r="F908" s="9"/>
      <c r="G908" s="5"/>
      <c r="H908" s="16"/>
      <c r="I908" s="69"/>
      <c r="J908" s="70"/>
      <c r="K908" s="71"/>
      <c r="L908" s="71"/>
      <c r="M908" s="5"/>
    </row>
    <row r="909" spans="1:13" s="3" customFormat="1">
      <c r="A909" s="1"/>
      <c r="B909" s="8"/>
      <c r="C909" s="5"/>
      <c r="D909" s="12"/>
      <c r="E909" s="9"/>
      <c r="F909" s="9"/>
      <c r="G909" s="5"/>
      <c r="H909" s="16"/>
      <c r="I909" s="69"/>
      <c r="J909" s="70"/>
      <c r="K909" s="71"/>
      <c r="L909" s="71"/>
      <c r="M909" s="5"/>
    </row>
    <row r="910" spans="1:13" s="3" customFormat="1">
      <c r="A910" s="1"/>
      <c r="B910" s="8"/>
      <c r="C910" s="5"/>
      <c r="D910" s="12"/>
      <c r="E910" s="9"/>
      <c r="F910" s="9"/>
      <c r="G910" s="5"/>
      <c r="H910" s="16"/>
      <c r="I910" s="69"/>
      <c r="J910" s="70"/>
      <c r="K910" s="71"/>
      <c r="L910" s="71"/>
      <c r="M910" s="5"/>
    </row>
    <row r="911" spans="1:13" s="3" customFormat="1">
      <c r="A911" s="1"/>
      <c r="B911" s="8"/>
      <c r="C911" s="5"/>
      <c r="D911" s="12"/>
      <c r="E911" s="9"/>
      <c r="F911" s="9"/>
      <c r="G911" s="5"/>
      <c r="H911" s="16"/>
      <c r="I911" s="69"/>
      <c r="J911" s="70"/>
      <c r="K911" s="71"/>
      <c r="L911" s="71"/>
      <c r="M911" s="5"/>
    </row>
    <row r="912" spans="1:13" s="3" customFormat="1">
      <c r="A912" s="1"/>
      <c r="B912" s="8"/>
      <c r="C912" s="5"/>
      <c r="D912" s="12"/>
      <c r="E912" s="9"/>
      <c r="F912" s="9"/>
      <c r="G912" s="5"/>
      <c r="H912" s="16"/>
      <c r="I912" s="69"/>
      <c r="J912" s="70"/>
      <c r="K912" s="71"/>
      <c r="L912" s="71"/>
      <c r="M912" s="5"/>
    </row>
    <row r="913" spans="1:13" s="3" customFormat="1">
      <c r="A913" s="1"/>
      <c r="B913" s="8"/>
      <c r="C913" s="5"/>
      <c r="D913" s="12"/>
      <c r="E913" s="9"/>
      <c r="F913" s="9"/>
      <c r="G913" s="5"/>
      <c r="H913" s="16"/>
      <c r="I913" s="69"/>
      <c r="J913" s="70"/>
      <c r="K913" s="71"/>
      <c r="L913" s="71"/>
      <c r="M913" s="5"/>
    </row>
    <row r="914" spans="1:13" s="3" customFormat="1">
      <c r="A914" s="1"/>
      <c r="B914" s="8"/>
      <c r="C914" s="5"/>
      <c r="D914" s="12"/>
      <c r="E914" s="9"/>
      <c r="F914" s="9"/>
      <c r="G914" s="5"/>
      <c r="H914" s="16"/>
      <c r="I914" s="69"/>
      <c r="J914" s="70"/>
      <c r="K914" s="71"/>
      <c r="L914" s="71"/>
      <c r="M914" s="5"/>
    </row>
    <row r="915" spans="1:13" s="3" customFormat="1">
      <c r="A915" s="1"/>
      <c r="B915" s="8"/>
      <c r="C915" s="5"/>
      <c r="D915" s="12"/>
      <c r="E915" s="9"/>
      <c r="F915" s="9"/>
      <c r="G915" s="5"/>
      <c r="H915" s="16"/>
      <c r="I915" s="69"/>
      <c r="J915" s="70"/>
      <c r="K915" s="71"/>
      <c r="L915" s="71"/>
      <c r="M915" s="5"/>
    </row>
    <row r="916" spans="1:13" s="3" customFormat="1">
      <c r="A916" s="1"/>
      <c r="B916" s="8"/>
      <c r="C916" s="5"/>
      <c r="D916" s="12"/>
      <c r="E916" s="9"/>
      <c r="F916" s="9"/>
      <c r="G916" s="5"/>
      <c r="H916" s="16"/>
      <c r="I916" s="69"/>
      <c r="J916" s="70"/>
      <c r="K916" s="71"/>
      <c r="L916" s="71"/>
      <c r="M916" s="5"/>
    </row>
    <row r="917" spans="1:13" s="3" customFormat="1">
      <c r="A917" s="1"/>
      <c r="B917" s="8"/>
      <c r="C917" s="5"/>
      <c r="D917" s="12"/>
      <c r="E917" s="9"/>
      <c r="F917" s="9"/>
      <c r="G917" s="5"/>
      <c r="H917" s="16"/>
      <c r="I917" s="69"/>
      <c r="J917" s="70"/>
      <c r="K917" s="71"/>
      <c r="L917" s="71"/>
      <c r="M917" s="5"/>
    </row>
    <row r="918" spans="1:13" s="3" customFormat="1">
      <c r="A918" s="1"/>
      <c r="B918" s="8"/>
      <c r="C918" s="5"/>
      <c r="D918" s="12"/>
      <c r="E918" s="9"/>
      <c r="F918" s="9"/>
      <c r="G918" s="5"/>
      <c r="H918" s="16"/>
      <c r="I918" s="69"/>
      <c r="J918" s="70"/>
      <c r="K918" s="71"/>
      <c r="L918" s="71"/>
      <c r="M918" s="5"/>
    </row>
    <row r="919" spans="1:13" s="3" customFormat="1">
      <c r="A919" s="1"/>
      <c r="B919" s="8"/>
      <c r="C919" s="5"/>
      <c r="D919" s="12"/>
      <c r="E919" s="9"/>
      <c r="F919" s="9"/>
      <c r="G919" s="5"/>
      <c r="H919" s="16"/>
      <c r="I919" s="69"/>
      <c r="J919" s="70"/>
      <c r="K919" s="71"/>
      <c r="L919" s="71"/>
      <c r="M919" s="5"/>
    </row>
    <row r="920" spans="1:13" s="3" customFormat="1">
      <c r="A920" s="1"/>
      <c r="B920" s="8"/>
      <c r="C920" s="5"/>
      <c r="D920" s="12"/>
      <c r="E920" s="9"/>
      <c r="F920" s="9"/>
      <c r="G920" s="5"/>
      <c r="H920" s="16"/>
      <c r="I920" s="69"/>
      <c r="J920" s="70"/>
      <c r="K920" s="71"/>
      <c r="L920" s="71"/>
      <c r="M920" s="5"/>
    </row>
    <row r="921" spans="1:13" s="3" customFormat="1">
      <c r="A921" s="1"/>
      <c r="B921" s="8"/>
      <c r="C921" s="5"/>
      <c r="D921" s="12"/>
      <c r="E921" s="9"/>
      <c r="F921" s="9"/>
      <c r="G921" s="5"/>
      <c r="H921" s="16"/>
      <c r="I921" s="69"/>
      <c r="J921" s="70"/>
      <c r="K921" s="71"/>
      <c r="L921" s="71"/>
      <c r="M921" s="5"/>
    </row>
    <row r="922" spans="1:13" s="3" customFormat="1">
      <c r="A922" s="1"/>
      <c r="B922" s="8"/>
      <c r="C922" s="5"/>
      <c r="D922" s="12"/>
      <c r="E922" s="9"/>
      <c r="F922" s="9"/>
      <c r="G922" s="5"/>
      <c r="H922" s="16"/>
      <c r="I922" s="69"/>
      <c r="J922" s="70"/>
      <c r="K922" s="71"/>
      <c r="L922" s="71"/>
      <c r="M922" s="5"/>
    </row>
    <row r="923" spans="1:13" s="3" customFormat="1">
      <c r="A923" s="1"/>
      <c r="B923" s="8"/>
      <c r="C923" s="5"/>
      <c r="D923" s="12"/>
      <c r="E923" s="9"/>
      <c r="F923" s="9"/>
      <c r="G923" s="5"/>
      <c r="H923" s="16"/>
      <c r="I923" s="69"/>
      <c r="J923" s="70"/>
      <c r="K923" s="71"/>
      <c r="L923" s="71"/>
      <c r="M923" s="5"/>
    </row>
    <row r="924" spans="1:13" s="3" customFormat="1">
      <c r="A924" s="1"/>
      <c r="B924" s="8"/>
      <c r="C924" s="5"/>
      <c r="D924" s="12"/>
      <c r="E924" s="9"/>
      <c r="F924" s="9"/>
      <c r="G924" s="5"/>
      <c r="H924" s="16"/>
      <c r="I924" s="69"/>
      <c r="J924" s="70"/>
      <c r="K924" s="71"/>
      <c r="L924" s="71"/>
      <c r="M924" s="5"/>
    </row>
    <row r="925" spans="1:13" s="3" customFormat="1">
      <c r="A925" s="1"/>
      <c r="B925" s="8"/>
      <c r="C925" s="5"/>
      <c r="D925" s="12"/>
      <c r="E925" s="9"/>
      <c r="F925" s="9"/>
      <c r="G925" s="5"/>
      <c r="H925" s="16"/>
      <c r="I925" s="69"/>
      <c r="J925" s="70"/>
      <c r="K925" s="71"/>
      <c r="L925" s="71"/>
      <c r="M925" s="5"/>
    </row>
    <row r="926" spans="1:13" s="3" customFormat="1">
      <c r="A926" s="1"/>
      <c r="B926" s="8"/>
      <c r="C926" s="5"/>
      <c r="D926" s="12"/>
      <c r="E926" s="9"/>
      <c r="F926" s="9"/>
      <c r="G926" s="5"/>
      <c r="H926" s="16"/>
      <c r="I926" s="69"/>
      <c r="J926" s="70"/>
      <c r="K926" s="71"/>
      <c r="L926" s="71"/>
      <c r="M926" s="5"/>
    </row>
    <row r="927" spans="1:13" s="3" customFormat="1">
      <c r="A927" s="1"/>
      <c r="B927" s="8"/>
      <c r="C927" s="5"/>
      <c r="D927" s="12"/>
      <c r="E927" s="9"/>
      <c r="F927" s="9"/>
      <c r="G927" s="5"/>
      <c r="H927" s="16"/>
      <c r="I927" s="69"/>
      <c r="J927" s="70"/>
      <c r="K927" s="71"/>
      <c r="L927" s="71"/>
      <c r="M927" s="5"/>
    </row>
    <row r="928" spans="1:13" s="3" customFormat="1">
      <c r="A928" s="1"/>
      <c r="B928" s="8"/>
      <c r="C928" s="5"/>
      <c r="D928" s="12"/>
      <c r="E928" s="9"/>
      <c r="F928" s="9"/>
      <c r="G928" s="5"/>
      <c r="H928" s="16"/>
      <c r="I928" s="69"/>
      <c r="J928" s="70"/>
      <c r="K928" s="71"/>
      <c r="L928" s="71"/>
      <c r="M928" s="5"/>
    </row>
    <row r="929" spans="1:13" s="3" customFormat="1">
      <c r="A929" s="1"/>
      <c r="B929" s="8"/>
      <c r="C929" s="5"/>
      <c r="D929" s="12"/>
      <c r="E929" s="9"/>
      <c r="F929" s="9"/>
      <c r="G929" s="5"/>
      <c r="H929" s="16"/>
      <c r="I929" s="69"/>
      <c r="J929" s="70"/>
      <c r="K929" s="71"/>
      <c r="L929" s="71"/>
      <c r="M929" s="5"/>
    </row>
    <row r="930" spans="1:13" s="3" customFormat="1">
      <c r="A930" s="1"/>
      <c r="B930" s="8"/>
      <c r="C930" s="5"/>
      <c r="D930" s="12"/>
      <c r="E930" s="9"/>
      <c r="F930" s="9"/>
      <c r="G930" s="5"/>
      <c r="H930" s="16"/>
      <c r="I930" s="69"/>
      <c r="J930" s="70"/>
      <c r="K930" s="71"/>
      <c r="L930" s="71"/>
      <c r="M930" s="5"/>
    </row>
    <row r="931" spans="1:13" s="3" customFormat="1">
      <c r="A931" s="1"/>
      <c r="B931" s="8"/>
      <c r="C931" s="5"/>
      <c r="D931" s="12"/>
      <c r="E931" s="9"/>
      <c r="F931" s="9"/>
      <c r="G931" s="5"/>
      <c r="H931" s="16"/>
      <c r="I931" s="69"/>
      <c r="J931" s="70"/>
      <c r="K931" s="71"/>
      <c r="L931" s="71"/>
      <c r="M931" s="5"/>
    </row>
    <row r="932" spans="1:13" s="3" customFormat="1">
      <c r="A932" s="1"/>
      <c r="B932" s="8"/>
      <c r="C932" s="5"/>
      <c r="D932" s="12"/>
      <c r="E932" s="9"/>
      <c r="F932" s="9"/>
      <c r="G932" s="5"/>
      <c r="H932" s="16"/>
      <c r="I932" s="69"/>
      <c r="J932" s="70"/>
      <c r="K932" s="71"/>
      <c r="L932" s="71"/>
      <c r="M932" s="5"/>
    </row>
    <row r="933" spans="1:13" s="3" customFormat="1">
      <c r="A933" s="1"/>
      <c r="B933" s="8"/>
      <c r="C933" s="5"/>
      <c r="D933" s="12"/>
      <c r="E933" s="9"/>
      <c r="F933" s="9"/>
      <c r="G933" s="5"/>
      <c r="H933" s="16"/>
      <c r="I933" s="69"/>
      <c r="J933" s="70"/>
      <c r="K933" s="71"/>
      <c r="L933" s="71"/>
      <c r="M933" s="5"/>
    </row>
    <row r="934" spans="1:13" s="3" customFormat="1">
      <c r="A934" s="1"/>
      <c r="B934" s="8"/>
      <c r="C934" s="5"/>
      <c r="D934" s="12"/>
      <c r="E934" s="9"/>
      <c r="F934" s="9"/>
      <c r="G934" s="5"/>
      <c r="H934" s="16"/>
      <c r="I934" s="69"/>
      <c r="J934" s="70"/>
      <c r="K934" s="71"/>
      <c r="L934" s="71"/>
      <c r="M934" s="5"/>
    </row>
    <row r="935" spans="1:13" s="3" customFormat="1">
      <c r="A935" s="1"/>
      <c r="B935" s="8"/>
      <c r="C935" s="5"/>
      <c r="D935" s="12"/>
      <c r="E935" s="9"/>
      <c r="F935" s="9"/>
      <c r="G935" s="5"/>
      <c r="H935" s="16"/>
      <c r="I935" s="69"/>
      <c r="J935" s="70"/>
      <c r="K935" s="71"/>
      <c r="L935" s="71"/>
      <c r="M935" s="5"/>
    </row>
    <row r="936" spans="1:13" s="3" customFormat="1">
      <c r="A936" s="1"/>
      <c r="B936" s="8"/>
      <c r="C936" s="5"/>
      <c r="D936" s="12"/>
      <c r="E936" s="9"/>
      <c r="F936" s="9"/>
      <c r="G936" s="5"/>
      <c r="H936" s="16"/>
      <c r="I936" s="69"/>
      <c r="J936" s="70"/>
      <c r="K936" s="71"/>
      <c r="L936" s="71"/>
      <c r="M936" s="5"/>
    </row>
    <row r="937" spans="1:13" s="3" customFormat="1">
      <c r="A937" s="1"/>
      <c r="B937" s="8"/>
      <c r="C937" s="5"/>
      <c r="D937" s="12"/>
      <c r="E937" s="9"/>
      <c r="F937" s="9"/>
      <c r="G937" s="5"/>
      <c r="H937" s="16"/>
      <c r="I937" s="69"/>
      <c r="J937" s="70"/>
      <c r="K937" s="71"/>
      <c r="L937" s="71"/>
      <c r="M937" s="5"/>
    </row>
    <row r="938" spans="1:13" s="3" customFormat="1">
      <c r="A938" s="1"/>
      <c r="B938" s="8"/>
      <c r="C938" s="5"/>
      <c r="D938" s="12"/>
      <c r="E938" s="9"/>
      <c r="F938" s="9"/>
      <c r="G938" s="5"/>
      <c r="H938" s="16"/>
      <c r="I938" s="69"/>
      <c r="J938" s="70"/>
      <c r="K938" s="71"/>
      <c r="L938" s="71"/>
      <c r="M938" s="5"/>
    </row>
    <row r="939" spans="1:13" s="3" customFormat="1">
      <c r="A939" s="1"/>
      <c r="B939" s="8"/>
      <c r="C939" s="5"/>
      <c r="D939" s="12"/>
      <c r="E939" s="9"/>
      <c r="F939" s="9"/>
      <c r="G939" s="5"/>
      <c r="H939" s="16"/>
      <c r="I939" s="69"/>
      <c r="J939" s="70"/>
      <c r="K939" s="71"/>
      <c r="L939" s="71"/>
      <c r="M939" s="5"/>
    </row>
    <row r="940" spans="1:13" s="3" customFormat="1">
      <c r="A940" s="1"/>
      <c r="B940" s="8"/>
      <c r="C940" s="5"/>
      <c r="D940" s="12"/>
      <c r="E940" s="9"/>
      <c r="F940" s="9"/>
      <c r="G940" s="5"/>
      <c r="H940" s="16"/>
      <c r="I940" s="69"/>
      <c r="J940" s="70"/>
      <c r="K940" s="71"/>
      <c r="L940" s="71"/>
      <c r="M940" s="5"/>
    </row>
    <row r="941" spans="1:13" s="3" customFormat="1">
      <c r="A941" s="1"/>
      <c r="B941" s="8"/>
      <c r="C941" s="5"/>
      <c r="D941" s="12"/>
      <c r="E941" s="9"/>
      <c r="F941" s="9"/>
      <c r="G941" s="5"/>
      <c r="H941" s="16"/>
      <c r="I941" s="69"/>
      <c r="J941" s="70"/>
      <c r="K941" s="71"/>
      <c r="L941" s="71"/>
      <c r="M941" s="5"/>
    </row>
    <row r="942" spans="1:13" s="3" customFormat="1">
      <c r="A942" s="1"/>
      <c r="B942" s="8"/>
      <c r="C942" s="5"/>
      <c r="D942" s="12"/>
      <c r="E942" s="9"/>
      <c r="F942" s="9"/>
      <c r="G942" s="5"/>
      <c r="H942" s="16"/>
      <c r="I942" s="69"/>
      <c r="J942" s="70"/>
      <c r="K942" s="71"/>
      <c r="L942" s="71"/>
      <c r="M942" s="5"/>
    </row>
    <row r="943" spans="1:13" s="3" customFormat="1">
      <c r="A943" s="1"/>
      <c r="B943" s="8"/>
      <c r="C943" s="5"/>
      <c r="D943" s="12"/>
      <c r="E943" s="9"/>
      <c r="F943" s="9"/>
      <c r="G943" s="5"/>
      <c r="H943" s="16"/>
      <c r="I943" s="69"/>
      <c r="J943" s="70"/>
      <c r="K943" s="71"/>
      <c r="L943" s="71"/>
      <c r="M943" s="5"/>
    </row>
    <row r="944" spans="1:13" s="3" customFormat="1">
      <c r="A944" s="1"/>
      <c r="B944" s="8"/>
      <c r="C944" s="5"/>
      <c r="D944" s="12"/>
      <c r="E944" s="9"/>
      <c r="F944" s="9"/>
      <c r="G944" s="5"/>
      <c r="H944" s="16"/>
      <c r="I944" s="69"/>
      <c r="J944" s="70"/>
      <c r="K944" s="71"/>
      <c r="L944" s="71"/>
      <c r="M944" s="5"/>
    </row>
    <row r="945" spans="1:13" s="3" customFormat="1">
      <c r="A945" s="1"/>
      <c r="B945" s="8"/>
      <c r="C945" s="5"/>
      <c r="D945" s="12"/>
      <c r="E945" s="9"/>
      <c r="F945" s="9"/>
      <c r="G945" s="5"/>
      <c r="H945" s="16"/>
      <c r="I945" s="69"/>
      <c r="J945" s="70"/>
      <c r="K945" s="71"/>
      <c r="L945" s="71"/>
      <c r="M945" s="5"/>
    </row>
    <row r="946" spans="1:13" s="3" customFormat="1">
      <c r="A946" s="1"/>
      <c r="B946" s="8"/>
      <c r="C946" s="5"/>
      <c r="D946" s="12"/>
      <c r="E946" s="9"/>
      <c r="F946" s="9"/>
      <c r="G946" s="5"/>
      <c r="H946" s="16"/>
      <c r="I946" s="69"/>
      <c r="J946" s="70"/>
      <c r="K946" s="71"/>
      <c r="L946" s="71"/>
      <c r="M946" s="5"/>
    </row>
    <row r="947" spans="1:13" s="3" customFormat="1">
      <c r="A947" s="1"/>
      <c r="B947" s="8"/>
      <c r="C947" s="5"/>
      <c r="D947" s="12"/>
      <c r="E947" s="9"/>
      <c r="F947" s="9"/>
      <c r="G947" s="5"/>
      <c r="H947" s="16"/>
      <c r="I947" s="69"/>
      <c r="J947" s="70"/>
      <c r="K947" s="71"/>
      <c r="L947" s="71"/>
      <c r="M947" s="5"/>
    </row>
    <row r="948" spans="1:13" s="3" customFormat="1">
      <c r="A948" s="1"/>
      <c r="B948" s="8"/>
      <c r="C948" s="5"/>
      <c r="D948" s="12"/>
      <c r="E948" s="9"/>
      <c r="F948" s="9"/>
      <c r="G948" s="5"/>
      <c r="H948" s="16"/>
      <c r="I948" s="69"/>
      <c r="J948" s="70"/>
      <c r="K948" s="71"/>
      <c r="L948" s="71"/>
      <c r="M948" s="5"/>
    </row>
    <row r="949" spans="1:13" s="3" customFormat="1">
      <c r="A949" s="1"/>
      <c r="B949" s="8"/>
      <c r="C949" s="5"/>
      <c r="D949" s="12"/>
      <c r="E949" s="9"/>
      <c r="F949" s="9"/>
      <c r="G949" s="5"/>
      <c r="H949" s="16"/>
      <c r="I949" s="69"/>
      <c r="J949" s="70"/>
      <c r="K949" s="71"/>
      <c r="L949" s="71"/>
      <c r="M949" s="5"/>
    </row>
    <row r="950" spans="1:13" s="3" customFormat="1">
      <c r="A950" s="1"/>
      <c r="B950" s="8"/>
      <c r="C950" s="5"/>
      <c r="D950" s="12"/>
      <c r="E950" s="9"/>
      <c r="F950" s="9"/>
      <c r="G950" s="5"/>
      <c r="H950" s="16"/>
      <c r="I950" s="69"/>
      <c r="J950" s="70"/>
      <c r="K950" s="71"/>
      <c r="L950" s="71"/>
      <c r="M950" s="5"/>
    </row>
    <row r="951" spans="1:13" s="3" customFormat="1">
      <c r="A951" s="1"/>
      <c r="B951" s="8"/>
      <c r="C951" s="5"/>
      <c r="D951" s="12"/>
      <c r="E951" s="9"/>
      <c r="F951" s="9"/>
      <c r="G951" s="5"/>
      <c r="H951" s="16"/>
      <c r="I951" s="69"/>
      <c r="J951" s="70"/>
      <c r="K951" s="71"/>
      <c r="L951" s="71"/>
      <c r="M951" s="5"/>
    </row>
    <row r="952" spans="1:13" s="3" customFormat="1">
      <c r="A952" s="1"/>
      <c r="B952" s="8"/>
      <c r="C952" s="5"/>
      <c r="D952" s="12"/>
      <c r="E952" s="9"/>
      <c r="F952" s="9"/>
      <c r="G952" s="5"/>
      <c r="H952" s="16"/>
      <c r="I952" s="69"/>
      <c r="J952" s="70"/>
      <c r="K952" s="71"/>
      <c r="L952" s="71"/>
      <c r="M952" s="5"/>
    </row>
    <row r="953" spans="1:13" s="3" customFormat="1">
      <c r="A953" s="1"/>
      <c r="B953" s="8"/>
      <c r="C953" s="5"/>
      <c r="D953" s="12"/>
      <c r="E953" s="9"/>
      <c r="F953" s="9"/>
      <c r="G953" s="5"/>
      <c r="H953" s="16"/>
      <c r="I953" s="69"/>
      <c r="J953" s="70"/>
      <c r="K953" s="71"/>
      <c r="L953" s="71"/>
      <c r="M953" s="5"/>
    </row>
    <row r="954" spans="1:13" s="3" customFormat="1">
      <c r="A954" s="1"/>
      <c r="B954" s="8"/>
      <c r="C954" s="5"/>
      <c r="D954" s="12"/>
      <c r="E954" s="9"/>
      <c r="F954" s="9"/>
      <c r="G954" s="5"/>
      <c r="H954" s="16"/>
      <c r="I954" s="69"/>
      <c r="J954" s="70"/>
      <c r="K954" s="71"/>
      <c r="L954" s="71"/>
      <c r="M954" s="5"/>
    </row>
    <row r="955" spans="1:13" s="3" customFormat="1">
      <c r="A955" s="1"/>
      <c r="B955" s="8"/>
      <c r="C955" s="5"/>
      <c r="D955" s="12"/>
      <c r="E955" s="9"/>
      <c r="F955" s="9"/>
      <c r="G955" s="5"/>
      <c r="H955" s="16"/>
      <c r="I955" s="69"/>
      <c r="J955" s="70"/>
      <c r="K955" s="71"/>
      <c r="L955" s="71"/>
      <c r="M955" s="5"/>
    </row>
    <row r="956" spans="1:13" s="3" customFormat="1">
      <c r="A956" s="1"/>
      <c r="B956" s="8"/>
      <c r="C956" s="5"/>
      <c r="D956" s="12"/>
      <c r="E956" s="9"/>
      <c r="F956" s="9"/>
      <c r="G956" s="5"/>
      <c r="H956" s="16"/>
      <c r="I956" s="69"/>
      <c r="J956" s="70"/>
      <c r="K956" s="71"/>
      <c r="L956" s="71"/>
      <c r="M956" s="5"/>
    </row>
    <row r="957" spans="1:13" s="3" customFormat="1">
      <c r="A957" s="1"/>
      <c r="B957" s="8"/>
      <c r="C957" s="5"/>
      <c r="D957" s="12"/>
      <c r="E957" s="9"/>
      <c r="F957" s="9"/>
      <c r="G957" s="5"/>
      <c r="H957" s="16"/>
      <c r="I957" s="69"/>
      <c r="J957" s="70"/>
      <c r="K957" s="71"/>
      <c r="L957" s="71"/>
      <c r="M957" s="5"/>
    </row>
    <row r="958" spans="1:13" s="3" customFormat="1">
      <c r="A958" s="1"/>
      <c r="B958" s="8"/>
      <c r="C958" s="5"/>
      <c r="D958" s="12"/>
      <c r="E958" s="9"/>
      <c r="F958" s="9"/>
      <c r="G958" s="5"/>
      <c r="H958" s="16"/>
      <c r="I958" s="69"/>
      <c r="J958" s="70"/>
      <c r="K958" s="71"/>
      <c r="L958" s="71"/>
      <c r="M958" s="5"/>
    </row>
    <row r="959" spans="1:13" s="3" customFormat="1">
      <c r="A959" s="1"/>
      <c r="B959" s="8"/>
      <c r="C959" s="5"/>
      <c r="D959" s="12"/>
      <c r="E959" s="9"/>
      <c r="F959" s="9"/>
      <c r="G959" s="5"/>
      <c r="H959" s="16"/>
      <c r="I959" s="69"/>
      <c r="J959" s="70"/>
      <c r="K959" s="71"/>
      <c r="L959" s="71"/>
      <c r="M959" s="5"/>
    </row>
    <row r="960" spans="1:13" s="3" customFormat="1">
      <c r="A960" s="1"/>
      <c r="B960" s="8"/>
      <c r="C960" s="5"/>
      <c r="D960" s="12"/>
      <c r="E960" s="9"/>
      <c r="F960" s="9"/>
      <c r="G960" s="5"/>
      <c r="H960" s="16"/>
      <c r="I960" s="69"/>
      <c r="J960" s="70"/>
      <c r="K960" s="71"/>
      <c r="L960" s="71"/>
      <c r="M960" s="5"/>
    </row>
    <row r="961" spans="1:13" s="3" customFormat="1">
      <c r="A961" s="1"/>
      <c r="B961" s="8"/>
      <c r="C961" s="5"/>
      <c r="D961" s="12"/>
      <c r="E961" s="9"/>
      <c r="F961" s="9"/>
      <c r="G961" s="5"/>
      <c r="H961" s="16"/>
      <c r="I961" s="69"/>
      <c r="J961" s="70"/>
      <c r="K961" s="71"/>
      <c r="L961" s="71"/>
      <c r="M961" s="5"/>
    </row>
    <row r="962" spans="1:13" s="3" customFormat="1">
      <c r="A962" s="1"/>
      <c r="B962" s="8"/>
      <c r="C962" s="5"/>
      <c r="D962" s="12"/>
      <c r="E962" s="9"/>
      <c r="F962" s="9"/>
      <c r="G962" s="5"/>
      <c r="H962" s="16"/>
      <c r="I962" s="69"/>
      <c r="J962" s="70"/>
      <c r="K962" s="71"/>
      <c r="L962" s="71"/>
      <c r="M962" s="5"/>
    </row>
    <row r="963" spans="1:13" s="3" customFormat="1">
      <c r="A963" s="1"/>
      <c r="B963" s="8"/>
      <c r="C963" s="5"/>
      <c r="D963" s="12"/>
      <c r="E963" s="9"/>
      <c r="F963" s="9"/>
      <c r="G963" s="5"/>
      <c r="H963" s="16"/>
      <c r="I963" s="69"/>
      <c r="J963" s="70"/>
      <c r="K963" s="71"/>
      <c r="L963" s="71"/>
      <c r="M963" s="5"/>
    </row>
    <row r="964" spans="1:13" s="3" customFormat="1">
      <c r="A964" s="1"/>
      <c r="B964" s="8"/>
      <c r="C964" s="5"/>
      <c r="D964" s="12"/>
      <c r="E964" s="9"/>
      <c r="F964" s="9"/>
      <c r="G964" s="5"/>
      <c r="H964" s="16"/>
      <c r="I964" s="69"/>
      <c r="J964" s="70"/>
      <c r="K964" s="71"/>
      <c r="L964" s="71"/>
      <c r="M964" s="5"/>
    </row>
    <row r="965" spans="1:13" s="3" customFormat="1">
      <c r="A965" s="1"/>
      <c r="B965" s="8"/>
      <c r="C965" s="5"/>
      <c r="D965" s="12"/>
      <c r="E965" s="9"/>
      <c r="F965" s="9"/>
      <c r="G965" s="5"/>
      <c r="H965" s="16"/>
      <c r="I965" s="69"/>
      <c r="J965" s="70"/>
      <c r="K965" s="71"/>
      <c r="L965" s="71"/>
      <c r="M965" s="5"/>
    </row>
    <row r="966" spans="1:13" s="3" customFormat="1">
      <c r="A966" s="1"/>
      <c r="B966" s="8"/>
      <c r="C966" s="5"/>
      <c r="D966" s="12"/>
      <c r="E966" s="9"/>
      <c r="F966" s="9"/>
      <c r="G966" s="5"/>
      <c r="H966" s="16"/>
      <c r="I966" s="69"/>
      <c r="J966" s="70"/>
      <c r="K966" s="71"/>
      <c r="L966" s="71"/>
      <c r="M966" s="5"/>
    </row>
    <row r="967" spans="1:13" s="3" customFormat="1">
      <c r="A967" s="1"/>
      <c r="B967" s="8"/>
      <c r="C967" s="5"/>
      <c r="D967" s="12"/>
      <c r="E967" s="9"/>
      <c r="F967" s="9"/>
      <c r="G967" s="5"/>
      <c r="H967" s="16"/>
      <c r="I967" s="69"/>
      <c r="J967" s="70"/>
      <c r="K967" s="71"/>
      <c r="L967" s="71"/>
      <c r="M967" s="5"/>
    </row>
    <row r="968" spans="1:13" s="3" customFormat="1">
      <c r="A968" s="1"/>
      <c r="B968" s="8"/>
      <c r="C968" s="5"/>
      <c r="D968" s="12"/>
      <c r="E968" s="9"/>
      <c r="F968" s="9"/>
      <c r="G968" s="5"/>
      <c r="H968" s="16"/>
      <c r="I968" s="69"/>
      <c r="J968" s="70"/>
      <c r="K968" s="71"/>
      <c r="L968" s="71"/>
      <c r="M968" s="5"/>
    </row>
    <row r="969" spans="1:13" s="3" customFormat="1">
      <c r="A969" s="1"/>
      <c r="B969" s="8"/>
      <c r="C969" s="5"/>
      <c r="D969" s="12"/>
      <c r="E969" s="9"/>
      <c r="F969" s="9"/>
      <c r="G969" s="5"/>
      <c r="H969" s="16"/>
      <c r="I969" s="69"/>
      <c r="J969" s="70"/>
      <c r="K969" s="71"/>
      <c r="L969" s="71"/>
      <c r="M969" s="5"/>
    </row>
    <row r="970" spans="1:13" s="3" customFormat="1">
      <c r="A970" s="1"/>
      <c r="B970" s="8"/>
      <c r="C970" s="5"/>
      <c r="D970" s="12"/>
      <c r="E970" s="9"/>
      <c r="F970" s="9"/>
      <c r="G970" s="5"/>
      <c r="H970" s="16"/>
      <c r="I970" s="69"/>
      <c r="J970" s="70"/>
      <c r="K970" s="71"/>
      <c r="L970" s="71"/>
      <c r="M970" s="5"/>
    </row>
    <row r="971" spans="1:13" s="3" customFormat="1">
      <c r="A971" s="1"/>
      <c r="B971" s="8"/>
      <c r="C971" s="5"/>
      <c r="D971" s="12"/>
      <c r="E971" s="9"/>
      <c r="F971" s="9"/>
      <c r="G971" s="5"/>
      <c r="H971" s="16"/>
      <c r="I971" s="69"/>
      <c r="J971" s="70"/>
      <c r="K971" s="71"/>
      <c r="L971" s="71"/>
      <c r="M971" s="5"/>
    </row>
    <row r="972" spans="1:13" s="3" customFormat="1">
      <c r="A972" s="1"/>
      <c r="B972" s="8"/>
      <c r="C972" s="5"/>
      <c r="D972" s="12"/>
      <c r="E972" s="9"/>
      <c r="F972" s="9"/>
      <c r="G972" s="5"/>
      <c r="H972" s="16"/>
      <c r="I972" s="69"/>
      <c r="J972" s="70"/>
      <c r="K972" s="71"/>
      <c r="L972" s="71"/>
      <c r="M972" s="5"/>
    </row>
    <row r="973" spans="1:13" s="3" customFormat="1">
      <c r="A973" s="1"/>
      <c r="B973" s="8"/>
      <c r="C973" s="5"/>
      <c r="D973" s="12"/>
      <c r="E973" s="9"/>
      <c r="F973" s="9"/>
      <c r="G973" s="5"/>
      <c r="H973" s="16"/>
      <c r="I973" s="69"/>
      <c r="J973" s="70"/>
      <c r="K973" s="71"/>
      <c r="L973" s="71"/>
      <c r="M973" s="5"/>
    </row>
    <row r="974" spans="1:13" s="3" customFormat="1">
      <c r="A974" s="1"/>
      <c r="B974" s="8"/>
      <c r="C974" s="5"/>
      <c r="D974" s="12"/>
      <c r="E974" s="9"/>
      <c r="F974" s="9"/>
      <c r="G974" s="5"/>
      <c r="H974" s="16"/>
      <c r="I974" s="69"/>
      <c r="J974" s="70"/>
      <c r="K974" s="71"/>
      <c r="L974" s="71"/>
      <c r="M974" s="5"/>
    </row>
    <row r="975" spans="1:13" s="3" customFormat="1">
      <c r="A975" s="1"/>
      <c r="B975" s="8"/>
      <c r="C975" s="5"/>
      <c r="D975" s="12"/>
      <c r="E975" s="9"/>
      <c r="F975" s="9"/>
      <c r="G975" s="5"/>
      <c r="H975" s="16"/>
      <c r="I975" s="69"/>
      <c r="J975" s="70"/>
      <c r="K975" s="71"/>
      <c r="L975" s="71"/>
      <c r="M975" s="5"/>
    </row>
    <row r="976" spans="1:13" s="3" customFormat="1">
      <c r="A976" s="1"/>
      <c r="B976" s="8"/>
      <c r="C976" s="5"/>
      <c r="D976" s="12"/>
      <c r="E976" s="9"/>
      <c r="F976" s="9"/>
      <c r="G976" s="5"/>
      <c r="H976" s="16"/>
      <c r="I976" s="69"/>
      <c r="J976" s="70"/>
      <c r="K976" s="71"/>
      <c r="L976" s="71"/>
      <c r="M976" s="5"/>
    </row>
    <row r="977" spans="1:13" s="3" customFormat="1">
      <c r="A977" s="1"/>
      <c r="B977" s="8"/>
      <c r="C977" s="5"/>
      <c r="D977" s="12"/>
      <c r="E977" s="9"/>
      <c r="F977" s="9"/>
      <c r="G977" s="5"/>
      <c r="H977" s="16"/>
      <c r="I977" s="69"/>
      <c r="J977" s="70"/>
      <c r="K977" s="71"/>
      <c r="L977" s="71"/>
      <c r="M977" s="5"/>
    </row>
    <row r="978" spans="1:13" s="3" customFormat="1">
      <c r="A978" s="1"/>
      <c r="B978" s="8"/>
      <c r="C978" s="5"/>
      <c r="D978" s="12"/>
      <c r="E978" s="9"/>
      <c r="F978" s="9"/>
      <c r="G978" s="5"/>
      <c r="H978" s="16"/>
      <c r="I978" s="69"/>
      <c r="J978" s="70"/>
      <c r="K978" s="71"/>
      <c r="L978" s="71"/>
      <c r="M978" s="5"/>
    </row>
    <row r="979" spans="1:13" s="3" customFormat="1">
      <c r="A979" s="1"/>
      <c r="B979" s="8"/>
      <c r="C979" s="5"/>
      <c r="D979" s="12"/>
      <c r="E979" s="9"/>
      <c r="F979" s="9"/>
      <c r="G979" s="5"/>
      <c r="H979" s="16"/>
      <c r="I979" s="69"/>
      <c r="J979" s="70"/>
      <c r="K979" s="71"/>
      <c r="L979" s="71"/>
      <c r="M979" s="5"/>
    </row>
    <row r="980" spans="1:13" s="3" customFormat="1">
      <c r="A980" s="1"/>
      <c r="B980" s="8"/>
      <c r="C980" s="5"/>
      <c r="D980" s="12"/>
      <c r="E980" s="9"/>
      <c r="F980" s="9"/>
      <c r="G980" s="5"/>
      <c r="H980" s="16"/>
      <c r="I980" s="69"/>
      <c r="J980" s="70"/>
      <c r="K980" s="71"/>
      <c r="L980" s="71"/>
      <c r="M980" s="5"/>
    </row>
    <row r="981" spans="1:13" s="3" customFormat="1">
      <c r="A981" s="1"/>
      <c r="B981" s="8"/>
      <c r="C981" s="5"/>
      <c r="D981" s="12"/>
      <c r="E981" s="9"/>
      <c r="F981" s="9"/>
      <c r="G981" s="5"/>
      <c r="H981" s="16"/>
      <c r="I981" s="69"/>
      <c r="J981" s="70"/>
      <c r="K981" s="71"/>
      <c r="L981" s="71"/>
      <c r="M981" s="5"/>
    </row>
    <row r="982" spans="1:13" s="3" customFormat="1">
      <c r="A982" s="1"/>
      <c r="B982" s="8"/>
      <c r="C982" s="5"/>
      <c r="D982" s="12"/>
      <c r="E982" s="9"/>
      <c r="F982" s="9"/>
      <c r="G982" s="5"/>
      <c r="H982" s="16"/>
      <c r="I982" s="69"/>
      <c r="J982" s="70"/>
      <c r="K982" s="71"/>
      <c r="L982" s="71"/>
      <c r="M982" s="5"/>
    </row>
    <row r="983" spans="1:13" s="3" customFormat="1">
      <c r="A983" s="1"/>
      <c r="B983" s="8"/>
      <c r="C983" s="5"/>
      <c r="D983" s="12"/>
      <c r="E983" s="9"/>
      <c r="F983" s="9"/>
      <c r="G983" s="5"/>
      <c r="H983" s="16"/>
      <c r="I983" s="69"/>
      <c r="J983" s="70"/>
      <c r="K983" s="71"/>
      <c r="L983" s="71"/>
      <c r="M983" s="5"/>
    </row>
    <row r="984" spans="1:13" s="3" customFormat="1">
      <c r="A984" s="1"/>
      <c r="B984" s="8"/>
      <c r="C984" s="5"/>
      <c r="D984" s="12"/>
      <c r="E984" s="9"/>
      <c r="F984" s="9"/>
      <c r="G984" s="5"/>
      <c r="H984" s="16"/>
      <c r="I984" s="69"/>
      <c r="J984" s="70"/>
      <c r="K984" s="71"/>
      <c r="L984" s="71"/>
      <c r="M984" s="5"/>
    </row>
    <row r="985" spans="1:13" s="3" customFormat="1">
      <c r="A985" s="1"/>
      <c r="B985" s="8"/>
      <c r="C985" s="5"/>
      <c r="D985" s="12"/>
      <c r="E985" s="9"/>
      <c r="F985" s="9"/>
      <c r="G985" s="5"/>
      <c r="H985" s="16"/>
      <c r="I985" s="69"/>
      <c r="J985" s="70"/>
      <c r="K985" s="71"/>
      <c r="L985" s="71"/>
      <c r="M985" s="5"/>
    </row>
    <row r="986" spans="1:13" s="3" customFormat="1">
      <c r="A986" s="1"/>
      <c r="B986" s="8"/>
      <c r="C986" s="5"/>
      <c r="D986" s="12"/>
      <c r="E986" s="9"/>
      <c r="F986" s="9"/>
      <c r="G986" s="5"/>
      <c r="H986" s="16"/>
      <c r="I986" s="69"/>
      <c r="J986" s="70"/>
      <c r="K986" s="71"/>
      <c r="L986" s="71"/>
      <c r="M986" s="5"/>
    </row>
    <row r="987" spans="1:13" s="3" customFormat="1">
      <c r="A987" s="1"/>
      <c r="B987" s="8"/>
      <c r="C987" s="5"/>
      <c r="D987" s="12"/>
      <c r="E987" s="9"/>
      <c r="F987" s="9"/>
      <c r="G987" s="5"/>
      <c r="H987" s="16"/>
      <c r="I987" s="69"/>
      <c r="J987" s="70"/>
      <c r="K987" s="71"/>
      <c r="L987" s="71"/>
      <c r="M987" s="5"/>
    </row>
    <row r="988" spans="1:13" s="3" customFormat="1">
      <c r="A988" s="1"/>
      <c r="B988" s="8"/>
      <c r="C988" s="5"/>
      <c r="D988" s="12"/>
      <c r="E988" s="9"/>
      <c r="F988" s="9"/>
      <c r="G988" s="5"/>
      <c r="H988" s="16"/>
      <c r="I988" s="69"/>
      <c r="J988" s="70"/>
      <c r="K988" s="71"/>
      <c r="L988" s="71"/>
      <c r="M988" s="5"/>
    </row>
    <row r="989" spans="1:13" s="3" customFormat="1">
      <c r="A989" s="1"/>
      <c r="B989" s="8"/>
      <c r="C989" s="5"/>
      <c r="D989" s="12"/>
      <c r="E989" s="9"/>
      <c r="F989" s="9"/>
      <c r="G989" s="5"/>
      <c r="H989" s="16"/>
      <c r="I989" s="69"/>
      <c r="J989" s="70"/>
      <c r="K989" s="71"/>
      <c r="L989" s="71"/>
      <c r="M989" s="5"/>
    </row>
    <row r="990" spans="1:13" s="3" customFormat="1">
      <c r="A990" s="1"/>
      <c r="B990" s="8"/>
      <c r="C990" s="5"/>
      <c r="D990" s="12"/>
      <c r="E990" s="9"/>
      <c r="F990" s="9"/>
      <c r="G990" s="5"/>
      <c r="H990" s="16"/>
      <c r="I990" s="69"/>
      <c r="J990" s="70"/>
      <c r="K990" s="71"/>
      <c r="L990" s="71"/>
      <c r="M990" s="5"/>
    </row>
    <row r="991" spans="1:13" s="3" customFormat="1">
      <c r="A991" s="1"/>
      <c r="B991" s="8"/>
      <c r="C991" s="5"/>
      <c r="D991" s="12"/>
      <c r="E991" s="9"/>
      <c r="F991" s="9"/>
      <c r="G991" s="5"/>
      <c r="H991" s="16"/>
      <c r="I991" s="69"/>
      <c r="J991" s="70"/>
      <c r="K991" s="71"/>
      <c r="L991" s="71"/>
      <c r="M991" s="5"/>
    </row>
    <row r="992" spans="1:13" s="3" customFormat="1">
      <c r="A992" s="1"/>
      <c r="B992" s="8"/>
      <c r="C992" s="5"/>
      <c r="D992" s="12"/>
      <c r="E992" s="9"/>
      <c r="F992" s="9"/>
      <c r="G992" s="5"/>
      <c r="H992" s="16"/>
      <c r="I992" s="69"/>
      <c r="J992" s="70"/>
      <c r="K992" s="71"/>
      <c r="L992" s="71"/>
      <c r="M992" s="5"/>
    </row>
    <row r="993" spans="1:13" s="3" customFormat="1">
      <c r="A993" s="1"/>
      <c r="B993" s="8"/>
      <c r="C993" s="5"/>
      <c r="D993" s="12"/>
      <c r="E993" s="9"/>
      <c r="F993" s="9"/>
      <c r="G993" s="5"/>
      <c r="H993" s="16"/>
      <c r="I993" s="69"/>
      <c r="J993" s="70"/>
      <c r="K993" s="71"/>
      <c r="L993" s="71"/>
      <c r="M993" s="5"/>
    </row>
    <row r="994" spans="1:13" s="3" customFormat="1">
      <c r="A994" s="1"/>
      <c r="B994" s="8"/>
      <c r="C994" s="5"/>
      <c r="D994" s="12"/>
      <c r="E994" s="9"/>
      <c r="F994" s="9"/>
      <c r="G994" s="5"/>
      <c r="H994" s="16"/>
      <c r="I994" s="69"/>
      <c r="J994" s="70"/>
      <c r="K994" s="71"/>
      <c r="L994" s="71"/>
      <c r="M994" s="5"/>
    </row>
    <row r="995" spans="1:13" s="3" customFormat="1">
      <c r="A995" s="1"/>
      <c r="B995" s="8"/>
      <c r="C995" s="5"/>
      <c r="D995" s="12"/>
      <c r="E995" s="9"/>
      <c r="F995" s="9"/>
      <c r="G995" s="5"/>
      <c r="H995" s="16"/>
      <c r="I995" s="69"/>
      <c r="J995" s="70"/>
      <c r="K995" s="71"/>
      <c r="L995" s="71"/>
      <c r="M995" s="5"/>
    </row>
    <row r="996" spans="1:13" s="3" customFormat="1">
      <c r="A996" s="1"/>
      <c r="B996" s="8"/>
      <c r="C996" s="5"/>
      <c r="D996" s="12"/>
      <c r="E996" s="9"/>
      <c r="F996" s="9"/>
      <c r="G996" s="5"/>
      <c r="H996" s="16"/>
      <c r="I996" s="69"/>
      <c r="J996" s="70"/>
      <c r="K996" s="71"/>
      <c r="L996" s="71"/>
      <c r="M996" s="5"/>
    </row>
    <row r="997" spans="1:13" s="3" customFormat="1">
      <c r="A997" s="1"/>
      <c r="B997" s="8"/>
      <c r="C997" s="5"/>
      <c r="D997" s="12"/>
      <c r="E997" s="9"/>
      <c r="F997" s="9"/>
      <c r="G997" s="5"/>
      <c r="H997" s="16"/>
      <c r="I997" s="69"/>
      <c r="J997" s="70"/>
      <c r="K997" s="71"/>
      <c r="L997" s="71"/>
      <c r="M997" s="5"/>
    </row>
    <row r="998" spans="1:13" s="3" customFormat="1">
      <c r="A998" s="1"/>
      <c r="B998" s="8"/>
      <c r="C998" s="5"/>
      <c r="D998" s="12"/>
      <c r="E998" s="9"/>
      <c r="F998" s="9"/>
      <c r="G998" s="5"/>
      <c r="H998" s="16"/>
      <c r="I998" s="69"/>
      <c r="J998" s="70"/>
      <c r="K998" s="71"/>
      <c r="L998" s="71"/>
      <c r="M998" s="5"/>
    </row>
    <row r="999" spans="1:13" s="3" customFormat="1">
      <c r="A999" s="1"/>
      <c r="B999" s="8"/>
      <c r="C999" s="5"/>
      <c r="D999" s="12"/>
      <c r="E999" s="9"/>
      <c r="F999" s="9"/>
      <c r="G999" s="5"/>
      <c r="H999" s="16"/>
      <c r="I999" s="69"/>
      <c r="J999" s="70"/>
      <c r="K999" s="71"/>
      <c r="L999" s="71"/>
      <c r="M999" s="5"/>
    </row>
    <row r="1000" spans="1:13" s="3" customFormat="1">
      <c r="A1000" s="1"/>
      <c r="B1000" s="8"/>
      <c r="C1000" s="5"/>
      <c r="D1000" s="12"/>
      <c r="E1000" s="9"/>
      <c r="F1000" s="9"/>
      <c r="G1000" s="5"/>
      <c r="H1000" s="16"/>
      <c r="I1000" s="69"/>
      <c r="J1000" s="70"/>
      <c r="K1000" s="71"/>
      <c r="L1000" s="71"/>
      <c r="M1000" s="5"/>
    </row>
    <row r="1001" spans="1:13" s="3" customFormat="1">
      <c r="A1001" s="1"/>
      <c r="B1001" s="8"/>
      <c r="C1001" s="5"/>
      <c r="D1001" s="12"/>
      <c r="E1001" s="9"/>
      <c r="F1001" s="9"/>
      <c r="G1001" s="5"/>
      <c r="H1001" s="16"/>
      <c r="I1001" s="69"/>
      <c r="J1001" s="70"/>
      <c r="K1001" s="71"/>
      <c r="L1001" s="71"/>
      <c r="M1001" s="5"/>
    </row>
    <row r="1002" spans="1:13" s="3" customFormat="1">
      <c r="A1002" s="1"/>
      <c r="B1002" s="8"/>
      <c r="C1002" s="5"/>
      <c r="D1002" s="12"/>
      <c r="E1002" s="9"/>
      <c r="F1002" s="9"/>
      <c r="G1002" s="5"/>
      <c r="H1002" s="16"/>
      <c r="I1002" s="69"/>
      <c r="J1002" s="70"/>
      <c r="K1002" s="71"/>
      <c r="L1002" s="71"/>
      <c r="M1002" s="5"/>
    </row>
    <row r="1003" spans="1:13" s="3" customFormat="1">
      <c r="A1003" s="1"/>
      <c r="B1003" s="8"/>
      <c r="C1003" s="5"/>
      <c r="D1003" s="12"/>
      <c r="E1003" s="9"/>
      <c r="F1003" s="9"/>
      <c r="G1003" s="5"/>
      <c r="H1003" s="16"/>
      <c r="I1003" s="69"/>
      <c r="J1003" s="70"/>
      <c r="K1003" s="71"/>
      <c r="L1003" s="71"/>
      <c r="M1003" s="5"/>
    </row>
    <row r="1004" spans="1:13" s="3" customFormat="1">
      <c r="A1004" s="1"/>
      <c r="B1004" s="8"/>
      <c r="C1004" s="5"/>
      <c r="D1004" s="12"/>
      <c r="E1004" s="9"/>
      <c r="F1004" s="9"/>
      <c r="G1004" s="5"/>
      <c r="H1004" s="16"/>
      <c r="I1004" s="69"/>
      <c r="J1004" s="70"/>
      <c r="K1004" s="71"/>
      <c r="L1004" s="71"/>
      <c r="M1004" s="5"/>
    </row>
    <row r="1005" spans="1:13" s="3" customFormat="1">
      <c r="A1005" s="1"/>
      <c r="B1005" s="8"/>
      <c r="C1005" s="5"/>
      <c r="D1005" s="12"/>
      <c r="E1005" s="9"/>
      <c r="F1005" s="9"/>
      <c r="G1005" s="5"/>
      <c r="H1005" s="16"/>
      <c r="I1005" s="69"/>
      <c r="J1005" s="70"/>
      <c r="K1005" s="71"/>
      <c r="L1005" s="71"/>
      <c r="M1005" s="5"/>
    </row>
    <row r="1006" spans="1:13" s="3" customFormat="1">
      <c r="A1006" s="1"/>
      <c r="B1006" s="8"/>
      <c r="C1006" s="5"/>
      <c r="D1006" s="12"/>
      <c r="E1006" s="9"/>
      <c r="F1006" s="9"/>
      <c r="G1006" s="5"/>
      <c r="H1006" s="16"/>
      <c r="I1006" s="69"/>
      <c r="J1006" s="70"/>
      <c r="K1006" s="71"/>
      <c r="L1006" s="71"/>
      <c r="M1006" s="5"/>
    </row>
    <row r="1007" spans="1:13" s="3" customFormat="1">
      <c r="A1007" s="1"/>
      <c r="B1007" s="8"/>
      <c r="C1007" s="5"/>
      <c r="D1007" s="12"/>
      <c r="E1007" s="9"/>
      <c r="F1007" s="9"/>
      <c r="G1007" s="5"/>
      <c r="H1007" s="16"/>
      <c r="I1007" s="69"/>
      <c r="J1007" s="70"/>
      <c r="K1007" s="71"/>
      <c r="L1007" s="71"/>
      <c r="M1007" s="5"/>
    </row>
    <row r="1008" spans="1:13" s="3" customFormat="1">
      <c r="A1008" s="1"/>
      <c r="B1008" s="8"/>
      <c r="C1008" s="5"/>
      <c r="D1008" s="12"/>
      <c r="E1008" s="9"/>
      <c r="F1008" s="9"/>
      <c r="G1008" s="5"/>
      <c r="H1008" s="16"/>
      <c r="I1008" s="69"/>
      <c r="J1008" s="70"/>
      <c r="K1008" s="71"/>
      <c r="L1008" s="71"/>
      <c r="M1008" s="5"/>
    </row>
    <row r="1009" spans="1:13" s="3" customFormat="1">
      <c r="A1009" s="1"/>
      <c r="B1009" s="8"/>
      <c r="C1009" s="5"/>
      <c r="D1009" s="12"/>
      <c r="E1009" s="9"/>
      <c r="F1009" s="9"/>
      <c r="G1009" s="5"/>
      <c r="H1009" s="16"/>
      <c r="I1009" s="69"/>
      <c r="J1009" s="70"/>
      <c r="K1009" s="71"/>
      <c r="L1009" s="71"/>
      <c r="M1009" s="5"/>
    </row>
    <row r="1010" spans="1:13" s="3" customFormat="1">
      <c r="A1010" s="1"/>
      <c r="B1010" s="8"/>
      <c r="C1010" s="5"/>
      <c r="D1010" s="12"/>
      <c r="E1010" s="9"/>
      <c r="F1010" s="9"/>
      <c r="G1010" s="5"/>
      <c r="H1010" s="16"/>
      <c r="I1010" s="69"/>
      <c r="J1010" s="70"/>
      <c r="K1010" s="71"/>
      <c r="L1010" s="71"/>
      <c r="M1010" s="5"/>
    </row>
    <row r="1011" spans="1:13" s="3" customFormat="1">
      <c r="A1011" s="1"/>
      <c r="B1011" s="8"/>
      <c r="C1011" s="5"/>
      <c r="D1011" s="12"/>
      <c r="E1011" s="9"/>
      <c r="F1011" s="9"/>
      <c r="G1011" s="5"/>
      <c r="H1011" s="16"/>
      <c r="I1011" s="69"/>
      <c r="J1011" s="70"/>
      <c r="K1011" s="71"/>
      <c r="L1011" s="71"/>
      <c r="M1011" s="5"/>
    </row>
    <row r="1012" spans="1:13" s="3" customFormat="1">
      <c r="A1012" s="1"/>
      <c r="B1012" s="8"/>
      <c r="C1012" s="5"/>
      <c r="D1012" s="12"/>
      <c r="E1012" s="9"/>
      <c r="F1012" s="9"/>
      <c r="G1012" s="5"/>
      <c r="H1012" s="16"/>
      <c r="I1012" s="69"/>
      <c r="J1012" s="70"/>
      <c r="K1012" s="71"/>
      <c r="L1012" s="71"/>
      <c r="M1012" s="5"/>
    </row>
    <row r="1013" spans="1:13" s="3" customFormat="1">
      <c r="A1013" s="1"/>
      <c r="B1013" s="8"/>
      <c r="C1013" s="5"/>
      <c r="D1013" s="12"/>
      <c r="E1013" s="9"/>
      <c r="F1013" s="9"/>
      <c r="G1013" s="5"/>
      <c r="H1013" s="16"/>
      <c r="I1013" s="69"/>
      <c r="J1013" s="70"/>
      <c r="K1013" s="71"/>
      <c r="L1013" s="71"/>
      <c r="M1013" s="5"/>
    </row>
    <row r="1014" spans="1:13" s="3" customFormat="1">
      <c r="A1014" s="1"/>
      <c r="B1014" s="8"/>
      <c r="C1014" s="5"/>
      <c r="D1014" s="12"/>
      <c r="E1014" s="9"/>
      <c r="F1014" s="9"/>
      <c r="G1014" s="5"/>
      <c r="H1014" s="16"/>
      <c r="I1014" s="69"/>
      <c r="J1014" s="70"/>
      <c r="K1014" s="71"/>
      <c r="L1014" s="71"/>
      <c r="M1014" s="5"/>
    </row>
    <row r="1015" spans="1:13" s="3" customFormat="1">
      <c r="A1015" s="1"/>
      <c r="B1015" s="8"/>
      <c r="C1015" s="5"/>
      <c r="D1015" s="12"/>
      <c r="E1015" s="9"/>
      <c r="F1015" s="9"/>
      <c r="G1015" s="5"/>
      <c r="H1015" s="16"/>
      <c r="I1015" s="69"/>
      <c r="J1015" s="70"/>
      <c r="K1015" s="71"/>
      <c r="L1015" s="71"/>
      <c r="M1015" s="5"/>
    </row>
    <row r="1016" spans="1:13" s="3" customFormat="1">
      <c r="A1016" s="1"/>
      <c r="B1016" s="8"/>
      <c r="C1016" s="5"/>
      <c r="D1016" s="12"/>
      <c r="E1016" s="9"/>
      <c r="F1016" s="9"/>
      <c r="G1016" s="5"/>
      <c r="H1016" s="16"/>
      <c r="I1016" s="69"/>
      <c r="J1016" s="70"/>
      <c r="K1016" s="71"/>
      <c r="L1016" s="71"/>
      <c r="M1016" s="5"/>
    </row>
    <row r="1017" spans="1:13" s="3" customFormat="1">
      <c r="A1017" s="1"/>
      <c r="B1017" s="8"/>
      <c r="C1017" s="5"/>
      <c r="D1017" s="12"/>
      <c r="E1017" s="23"/>
      <c r="F1017" s="9"/>
      <c r="G1017" s="5"/>
      <c r="H1017" s="16"/>
      <c r="I1017" s="69"/>
      <c r="J1017" s="70"/>
      <c r="K1017" s="71"/>
      <c r="L1017" s="71"/>
      <c r="M1017" s="5"/>
    </row>
    <row r="1018" spans="1:13" s="3" customFormat="1">
      <c r="A1018" s="1"/>
      <c r="B1018" s="8"/>
      <c r="C1018" s="5"/>
      <c r="D1018" s="12"/>
      <c r="E1018" s="23"/>
      <c r="F1018" s="9"/>
      <c r="G1018" s="5"/>
      <c r="H1018" s="16"/>
      <c r="I1018" s="69"/>
      <c r="J1018" s="70"/>
      <c r="K1018" s="71"/>
      <c r="L1018" s="71"/>
      <c r="M1018" s="5"/>
    </row>
    <row r="1019" spans="1:13" s="3" customFormat="1">
      <c r="A1019" s="1"/>
      <c r="B1019" s="8"/>
      <c r="C1019" s="5"/>
      <c r="D1019" s="12"/>
      <c r="E1019" s="23"/>
      <c r="F1019" s="9"/>
      <c r="G1019" s="5"/>
      <c r="H1019" s="16"/>
      <c r="I1019" s="69"/>
      <c r="J1019" s="70"/>
      <c r="K1019" s="71"/>
      <c r="L1019" s="71"/>
      <c r="M1019" s="5"/>
    </row>
    <row r="1020" spans="1:13" s="3" customFormat="1">
      <c r="A1020" s="1"/>
      <c r="B1020" s="8"/>
      <c r="C1020" s="5"/>
      <c r="D1020" s="12"/>
      <c r="E1020" s="23"/>
      <c r="F1020" s="9"/>
      <c r="G1020" s="5"/>
      <c r="H1020" s="16"/>
      <c r="I1020" s="69"/>
      <c r="J1020" s="70"/>
      <c r="K1020" s="71"/>
      <c r="L1020" s="71"/>
      <c r="M1020" s="5"/>
    </row>
    <row r="1021" spans="1:13" s="3" customFormat="1">
      <c r="A1021" s="1"/>
      <c r="B1021" s="8"/>
      <c r="C1021" s="5"/>
      <c r="D1021" s="12"/>
      <c r="E1021" s="23"/>
      <c r="F1021" s="9"/>
      <c r="G1021" s="5"/>
      <c r="H1021" s="16"/>
      <c r="I1021" s="69"/>
      <c r="J1021" s="70"/>
      <c r="K1021" s="71"/>
      <c r="L1021" s="71"/>
      <c r="M1021" s="5"/>
    </row>
    <row r="1022" spans="1:13" s="3" customFormat="1">
      <c r="A1022" s="1"/>
      <c r="B1022" s="8"/>
      <c r="C1022" s="5"/>
      <c r="D1022" s="12"/>
      <c r="E1022" s="23"/>
      <c r="F1022" s="9"/>
      <c r="G1022" s="5"/>
      <c r="H1022" s="16"/>
      <c r="I1022" s="69"/>
      <c r="J1022" s="70"/>
      <c r="K1022" s="71"/>
      <c r="L1022" s="71"/>
      <c r="M1022" s="5"/>
    </row>
    <row r="1023" spans="1:13" s="3" customFormat="1">
      <c r="A1023" s="1"/>
      <c r="B1023" s="8"/>
      <c r="C1023" s="5"/>
      <c r="D1023" s="12"/>
      <c r="E1023" s="23"/>
      <c r="F1023" s="9"/>
      <c r="G1023" s="5"/>
      <c r="H1023" s="16"/>
      <c r="I1023" s="69"/>
      <c r="J1023" s="70"/>
      <c r="K1023" s="71"/>
      <c r="L1023" s="71"/>
      <c r="M1023" s="5"/>
    </row>
    <row r="1024" spans="1:13" s="3" customFormat="1">
      <c r="A1024" s="1"/>
      <c r="B1024" s="8"/>
      <c r="C1024" s="5"/>
      <c r="D1024" s="12"/>
      <c r="E1024" s="23"/>
      <c r="F1024" s="9"/>
      <c r="G1024" s="5"/>
      <c r="H1024" s="16"/>
      <c r="I1024" s="69"/>
      <c r="J1024" s="70"/>
      <c r="K1024" s="71"/>
      <c r="L1024" s="71"/>
      <c r="M1024" s="5"/>
    </row>
    <row r="1025" spans="1:13" s="3" customFormat="1">
      <c r="A1025" s="1"/>
      <c r="B1025" s="8"/>
      <c r="C1025" s="5"/>
      <c r="D1025" s="12"/>
      <c r="E1025" s="23"/>
      <c r="F1025" s="9"/>
      <c r="G1025" s="5"/>
      <c r="H1025" s="16"/>
      <c r="I1025" s="69"/>
      <c r="J1025" s="70"/>
      <c r="K1025" s="71"/>
      <c r="L1025" s="71"/>
      <c r="M1025" s="5"/>
    </row>
    <row r="1026" spans="1:13" s="3" customFormat="1">
      <c r="A1026" s="1"/>
      <c r="B1026" s="8"/>
      <c r="C1026" s="5"/>
      <c r="D1026" s="12"/>
      <c r="E1026" s="23"/>
      <c r="F1026" s="9"/>
      <c r="G1026" s="5"/>
      <c r="H1026" s="16"/>
      <c r="I1026" s="69"/>
      <c r="J1026" s="70"/>
      <c r="K1026" s="71"/>
      <c r="L1026" s="71"/>
      <c r="M1026" s="5"/>
    </row>
    <row r="1027" spans="1:13" s="3" customFormat="1">
      <c r="A1027" s="1"/>
      <c r="B1027" s="8"/>
      <c r="C1027" s="5"/>
      <c r="D1027" s="12"/>
      <c r="E1027" s="23"/>
      <c r="F1027" s="9"/>
      <c r="G1027" s="5"/>
      <c r="H1027" s="16"/>
      <c r="I1027" s="69"/>
      <c r="J1027" s="70"/>
      <c r="K1027" s="71"/>
      <c r="L1027" s="71"/>
      <c r="M1027" s="5"/>
    </row>
    <row r="1028" spans="1:13" s="3" customFormat="1">
      <c r="A1028" s="1"/>
      <c r="B1028" s="8"/>
      <c r="C1028" s="5"/>
      <c r="D1028" s="12"/>
      <c r="E1028" s="23"/>
      <c r="F1028" s="9"/>
      <c r="G1028" s="5"/>
      <c r="H1028" s="16"/>
      <c r="I1028" s="69"/>
      <c r="J1028" s="70"/>
      <c r="K1028" s="71"/>
      <c r="L1028" s="71"/>
      <c r="M1028" s="5"/>
    </row>
    <row r="1029" spans="1:13" s="3" customFormat="1">
      <c r="A1029" s="1"/>
      <c r="B1029" s="8"/>
      <c r="C1029" s="5"/>
      <c r="D1029" s="12"/>
      <c r="E1029" s="23"/>
      <c r="F1029" s="9"/>
      <c r="G1029" s="5"/>
      <c r="H1029" s="16"/>
      <c r="I1029" s="69"/>
      <c r="J1029" s="70"/>
      <c r="K1029" s="71"/>
      <c r="L1029" s="71"/>
      <c r="M1029" s="5"/>
    </row>
    <row r="1030" spans="1:13" s="3" customFormat="1">
      <c r="A1030" s="1"/>
      <c r="B1030" s="8"/>
      <c r="C1030" s="5"/>
      <c r="D1030" s="12"/>
      <c r="E1030" s="23"/>
      <c r="F1030" s="9"/>
      <c r="G1030" s="5"/>
      <c r="H1030" s="16"/>
      <c r="I1030" s="69"/>
      <c r="J1030" s="70"/>
      <c r="K1030" s="71"/>
      <c r="L1030" s="71"/>
      <c r="M1030" s="5"/>
    </row>
    <row r="1031" spans="1:13" s="3" customFormat="1">
      <c r="A1031" s="1"/>
      <c r="B1031" s="8"/>
      <c r="C1031" s="5"/>
      <c r="D1031" s="12"/>
      <c r="E1031" s="23"/>
      <c r="F1031" s="9"/>
      <c r="G1031" s="5"/>
      <c r="H1031" s="16"/>
      <c r="I1031" s="69"/>
      <c r="J1031" s="70"/>
      <c r="K1031" s="71"/>
      <c r="L1031" s="71"/>
      <c r="M1031" s="5"/>
    </row>
    <row r="1032" spans="1:13" s="3" customFormat="1">
      <c r="A1032" s="1"/>
      <c r="B1032" s="8"/>
      <c r="C1032" s="5"/>
      <c r="D1032" s="12"/>
      <c r="E1032" s="23"/>
      <c r="F1032" s="9"/>
      <c r="G1032" s="5"/>
      <c r="H1032" s="16"/>
      <c r="I1032" s="69"/>
      <c r="J1032" s="70"/>
      <c r="K1032" s="71"/>
      <c r="L1032" s="71"/>
      <c r="M1032" s="5"/>
    </row>
    <row r="1033" spans="1:13" s="3" customFormat="1">
      <c r="A1033" s="1"/>
      <c r="B1033" s="8"/>
      <c r="C1033" s="5"/>
      <c r="D1033" s="12"/>
      <c r="E1033" s="23"/>
      <c r="F1033" s="9"/>
      <c r="G1033" s="5"/>
      <c r="H1033" s="16"/>
      <c r="I1033" s="69"/>
      <c r="J1033" s="70"/>
      <c r="K1033" s="71"/>
      <c r="L1033" s="71"/>
      <c r="M1033" s="5"/>
    </row>
    <row r="1034" spans="1:13" s="3" customFormat="1">
      <c r="A1034" s="1"/>
      <c r="B1034" s="8"/>
      <c r="C1034" s="5"/>
      <c r="D1034" s="12"/>
      <c r="E1034" s="23"/>
      <c r="F1034" s="9"/>
      <c r="G1034" s="5"/>
      <c r="H1034" s="16"/>
      <c r="I1034" s="69"/>
      <c r="J1034" s="70"/>
      <c r="K1034" s="71"/>
      <c r="L1034" s="71"/>
      <c r="M1034" s="5"/>
    </row>
    <row r="1035" spans="1:13" s="3" customFormat="1">
      <c r="A1035" s="1"/>
      <c r="B1035" s="8"/>
      <c r="C1035" s="5"/>
      <c r="D1035" s="12"/>
      <c r="E1035" s="23"/>
      <c r="F1035" s="9"/>
      <c r="G1035" s="5"/>
      <c r="H1035" s="16"/>
      <c r="I1035" s="69"/>
      <c r="J1035" s="70"/>
      <c r="K1035" s="71"/>
      <c r="L1035" s="71"/>
      <c r="M1035" s="5"/>
    </row>
    <row r="1036" spans="1:13" s="3" customFormat="1">
      <c r="A1036" s="1"/>
      <c r="B1036" s="8"/>
      <c r="C1036" s="5"/>
      <c r="D1036" s="12"/>
      <c r="E1036" s="23"/>
      <c r="F1036" s="9"/>
      <c r="G1036" s="5"/>
      <c r="H1036" s="16"/>
      <c r="I1036" s="69"/>
      <c r="J1036" s="70"/>
      <c r="K1036" s="71"/>
      <c r="L1036" s="71"/>
      <c r="M1036" s="5"/>
    </row>
    <row r="1037" spans="1:13" s="3" customFormat="1">
      <c r="A1037" s="1"/>
      <c r="B1037" s="8"/>
      <c r="C1037" s="5"/>
      <c r="D1037" s="12"/>
      <c r="E1037" s="23"/>
      <c r="F1037" s="9"/>
      <c r="G1037" s="5"/>
      <c r="H1037" s="16"/>
      <c r="I1037" s="69"/>
      <c r="J1037" s="70"/>
      <c r="K1037" s="71"/>
      <c r="L1037" s="71"/>
      <c r="M1037" s="5"/>
    </row>
    <row r="1038" spans="1:13" s="3" customFormat="1">
      <c r="A1038" s="1"/>
      <c r="B1038" s="8"/>
      <c r="C1038" s="5"/>
      <c r="D1038" s="12"/>
      <c r="E1038" s="23"/>
      <c r="F1038" s="9"/>
      <c r="G1038" s="5"/>
      <c r="H1038" s="16"/>
      <c r="I1038" s="69"/>
      <c r="J1038" s="70"/>
      <c r="K1038" s="71"/>
      <c r="L1038" s="71"/>
      <c r="M1038" s="5"/>
    </row>
    <row r="1039" spans="1:13" s="3" customFormat="1">
      <c r="A1039" s="1"/>
      <c r="B1039" s="8"/>
      <c r="C1039" s="5"/>
      <c r="D1039" s="12"/>
      <c r="E1039" s="23"/>
      <c r="F1039" s="9"/>
      <c r="G1039" s="5"/>
      <c r="H1039" s="16"/>
      <c r="I1039" s="69"/>
      <c r="J1039" s="70"/>
      <c r="K1039" s="71"/>
      <c r="L1039" s="71"/>
      <c r="M1039" s="5"/>
    </row>
    <row r="1040" spans="1:13" s="3" customFormat="1">
      <c r="A1040" s="1"/>
      <c r="B1040" s="8"/>
      <c r="C1040" s="5"/>
      <c r="D1040" s="12"/>
      <c r="E1040" s="23"/>
      <c r="F1040" s="9"/>
      <c r="G1040" s="5"/>
      <c r="H1040" s="16"/>
      <c r="I1040" s="69"/>
      <c r="J1040" s="70"/>
      <c r="K1040" s="71"/>
      <c r="L1040" s="71"/>
      <c r="M1040" s="5"/>
    </row>
    <row r="1041" spans="1:13" s="3" customFormat="1">
      <c r="A1041" s="1"/>
      <c r="B1041" s="8"/>
      <c r="C1041" s="5"/>
      <c r="D1041" s="12"/>
      <c r="E1041" s="23"/>
      <c r="F1041" s="9"/>
      <c r="G1041" s="5"/>
      <c r="H1041" s="16"/>
      <c r="I1041" s="69"/>
      <c r="J1041" s="70"/>
      <c r="K1041" s="71"/>
      <c r="L1041" s="71"/>
      <c r="M1041" s="5"/>
    </row>
    <row r="1042" spans="1:13" s="3" customFormat="1">
      <c r="A1042" s="1"/>
      <c r="B1042" s="8"/>
      <c r="C1042" s="5"/>
      <c r="D1042" s="12"/>
      <c r="E1042" s="23"/>
      <c r="F1042" s="9"/>
      <c r="G1042" s="5"/>
      <c r="H1042" s="16"/>
      <c r="I1042" s="69"/>
      <c r="J1042" s="70"/>
      <c r="K1042" s="71"/>
      <c r="L1042" s="71"/>
      <c r="M1042" s="5"/>
    </row>
    <row r="1043" spans="1:13" s="3" customFormat="1">
      <c r="A1043" s="1"/>
      <c r="B1043" s="8"/>
      <c r="C1043" s="5"/>
      <c r="D1043" s="12"/>
      <c r="E1043" s="23"/>
      <c r="F1043" s="9"/>
      <c r="G1043" s="5"/>
      <c r="H1043" s="16"/>
      <c r="I1043" s="69"/>
      <c r="J1043" s="70"/>
      <c r="K1043" s="71"/>
      <c r="L1043" s="71"/>
      <c r="M1043" s="5"/>
    </row>
    <row r="1044" spans="1:13" s="3" customFormat="1">
      <c r="A1044" s="1"/>
      <c r="B1044" s="8"/>
      <c r="C1044" s="5"/>
      <c r="D1044" s="12"/>
      <c r="E1044" s="23"/>
      <c r="F1044" s="9"/>
      <c r="G1044" s="5"/>
      <c r="H1044" s="16"/>
      <c r="I1044" s="69"/>
      <c r="J1044" s="70"/>
      <c r="K1044" s="71"/>
      <c r="L1044" s="71"/>
      <c r="M1044" s="5"/>
    </row>
    <row r="1045" spans="1:13" s="3" customFormat="1">
      <c r="A1045" s="1"/>
      <c r="B1045" s="8"/>
      <c r="C1045" s="5"/>
      <c r="D1045" s="12"/>
      <c r="E1045" s="23"/>
      <c r="F1045" s="9"/>
      <c r="G1045" s="5"/>
      <c r="H1045" s="16"/>
      <c r="I1045" s="69"/>
      <c r="J1045" s="70"/>
      <c r="K1045" s="71"/>
      <c r="L1045" s="71"/>
      <c r="M1045" s="5"/>
    </row>
    <row r="1046" spans="1:13" s="3" customFormat="1">
      <c r="A1046" s="1"/>
      <c r="B1046" s="8"/>
      <c r="C1046" s="5"/>
      <c r="D1046" s="12"/>
      <c r="E1046" s="23"/>
      <c r="F1046" s="9"/>
      <c r="G1046" s="5"/>
      <c r="H1046" s="16"/>
      <c r="I1046" s="69"/>
      <c r="J1046" s="70"/>
      <c r="K1046" s="71"/>
      <c r="L1046" s="71"/>
      <c r="M1046" s="5"/>
    </row>
    <row r="1047" spans="1:13" s="3" customFormat="1">
      <c r="A1047" s="1"/>
      <c r="B1047" s="8"/>
      <c r="C1047" s="5"/>
      <c r="D1047" s="12"/>
      <c r="E1047" s="23"/>
      <c r="F1047" s="9"/>
      <c r="G1047" s="5"/>
      <c r="H1047" s="16"/>
      <c r="I1047" s="69"/>
      <c r="J1047" s="70"/>
      <c r="K1047" s="71"/>
      <c r="L1047" s="71"/>
      <c r="M1047" s="5"/>
    </row>
    <row r="1048" spans="1:13" s="3" customFormat="1">
      <c r="A1048" s="1"/>
      <c r="B1048" s="8"/>
      <c r="C1048" s="5"/>
      <c r="D1048" s="12"/>
      <c r="E1048" s="23"/>
      <c r="F1048" s="9"/>
      <c r="G1048" s="5"/>
      <c r="H1048" s="16"/>
      <c r="I1048" s="69"/>
      <c r="J1048" s="70"/>
      <c r="K1048" s="71"/>
      <c r="L1048" s="71"/>
      <c r="M1048" s="5"/>
    </row>
    <row r="1049" spans="1:13" s="3" customFormat="1">
      <c r="A1049" s="1"/>
      <c r="B1049" s="8"/>
      <c r="C1049" s="5"/>
      <c r="D1049" s="12"/>
      <c r="E1049" s="23"/>
      <c r="F1049" s="9"/>
      <c r="G1049" s="5"/>
      <c r="H1049" s="16"/>
      <c r="I1049" s="69"/>
      <c r="J1049" s="70"/>
      <c r="K1049" s="71"/>
      <c r="L1049" s="71"/>
      <c r="M1049" s="5"/>
    </row>
    <row r="1050" spans="1:13" s="3" customFormat="1">
      <c r="A1050" s="1"/>
      <c r="B1050" s="8"/>
      <c r="C1050" s="5"/>
      <c r="D1050" s="12"/>
      <c r="E1050" s="23"/>
      <c r="F1050" s="9"/>
      <c r="G1050" s="5"/>
      <c r="H1050" s="16"/>
      <c r="I1050" s="69"/>
      <c r="J1050" s="70"/>
      <c r="K1050" s="71"/>
      <c r="L1050" s="71"/>
      <c r="M1050" s="5"/>
    </row>
    <row r="1051" spans="1:13" s="3" customFormat="1">
      <c r="A1051" s="1"/>
      <c r="B1051" s="8"/>
      <c r="C1051" s="5"/>
      <c r="D1051" s="12"/>
      <c r="E1051" s="23"/>
      <c r="F1051" s="9"/>
      <c r="G1051" s="5"/>
      <c r="H1051" s="16"/>
      <c r="I1051" s="69"/>
      <c r="J1051" s="70"/>
      <c r="K1051" s="71"/>
      <c r="L1051" s="71"/>
      <c r="M1051" s="5"/>
    </row>
    <row r="1052" spans="1:13" s="3" customFormat="1">
      <c r="A1052" s="1"/>
      <c r="B1052" s="8"/>
      <c r="C1052" s="5"/>
      <c r="D1052" s="12"/>
      <c r="E1052" s="23"/>
      <c r="F1052" s="9"/>
      <c r="G1052" s="5"/>
      <c r="H1052" s="16"/>
      <c r="I1052" s="69"/>
      <c r="J1052" s="70"/>
      <c r="K1052" s="71"/>
      <c r="L1052" s="71"/>
      <c r="M1052" s="5"/>
    </row>
    <row r="1053" spans="1:13" s="3" customFormat="1">
      <c r="A1053" s="1"/>
      <c r="B1053" s="8"/>
      <c r="C1053" s="5"/>
      <c r="D1053" s="12"/>
      <c r="E1053" s="23"/>
      <c r="F1053" s="9"/>
      <c r="G1053" s="5"/>
      <c r="H1053" s="16"/>
      <c r="I1053" s="69"/>
      <c r="J1053" s="70"/>
      <c r="K1053" s="71"/>
      <c r="L1053" s="71"/>
      <c r="M1053" s="5"/>
    </row>
    <row r="1054" spans="1:13" s="3" customFormat="1">
      <c r="A1054" s="1"/>
      <c r="B1054" s="8"/>
      <c r="C1054" s="5"/>
      <c r="D1054" s="12"/>
      <c r="E1054" s="23"/>
      <c r="F1054" s="9"/>
      <c r="G1054" s="5"/>
      <c r="H1054" s="16"/>
      <c r="I1054" s="69"/>
      <c r="J1054" s="70"/>
      <c r="K1054" s="71"/>
      <c r="L1054" s="71"/>
      <c r="M1054" s="5"/>
    </row>
    <row r="1055" spans="1:13" s="3" customFormat="1">
      <c r="A1055" s="1"/>
      <c r="B1055" s="8"/>
      <c r="C1055" s="5"/>
      <c r="D1055" s="12"/>
      <c r="E1055" s="23"/>
      <c r="F1055" s="9"/>
      <c r="G1055" s="5"/>
      <c r="H1055" s="16"/>
      <c r="I1055" s="69"/>
      <c r="J1055" s="70"/>
      <c r="K1055" s="71"/>
      <c r="L1055" s="71"/>
      <c r="M1055" s="5"/>
    </row>
    <row r="1056" spans="1:13" s="3" customFormat="1">
      <c r="A1056" s="1"/>
      <c r="B1056" s="8"/>
      <c r="C1056" s="5"/>
      <c r="D1056" s="12"/>
      <c r="E1056" s="23"/>
      <c r="F1056" s="9"/>
      <c r="G1056" s="5"/>
      <c r="H1056" s="16"/>
      <c r="I1056" s="69"/>
      <c r="J1056" s="70"/>
      <c r="K1056" s="71"/>
      <c r="L1056" s="71"/>
      <c r="M1056" s="5"/>
    </row>
    <row r="1057" spans="1:13" s="3" customFormat="1">
      <c r="A1057" s="1"/>
      <c r="B1057" s="8"/>
      <c r="C1057" s="5"/>
      <c r="D1057" s="12"/>
      <c r="E1057" s="23"/>
      <c r="F1057" s="9"/>
      <c r="G1057" s="5"/>
      <c r="H1057" s="16"/>
      <c r="I1057" s="69"/>
      <c r="J1057" s="70"/>
      <c r="K1057" s="71"/>
      <c r="L1057" s="71"/>
      <c r="M1057" s="5"/>
    </row>
    <row r="1058" spans="1:13" s="3" customFormat="1">
      <c r="A1058" s="1"/>
      <c r="B1058" s="8"/>
      <c r="C1058" s="5"/>
      <c r="D1058" s="12"/>
      <c r="E1058" s="23"/>
      <c r="F1058" s="9"/>
      <c r="G1058" s="5"/>
      <c r="H1058" s="16"/>
      <c r="I1058" s="69"/>
      <c r="J1058" s="70"/>
      <c r="K1058" s="71"/>
      <c r="L1058" s="71"/>
      <c r="M1058" s="5"/>
    </row>
    <row r="1059" spans="1:13" s="3" customFormat="1">
      <c r="A1059" s="1"/>
      <c r="B1059" s="8"/>
      <c r="C1059" s="5"/>
      <c r="D1059" s="12"/>
      <c r="E1059" s="23"/>
      <c r="F1059" s="9"/>
      <c r="G1059" s="5"/>
      <c r="H1059" s="16"/>
      <c r="I1059" s="69"/>
      <c r="J1059" s="70"/>
      <c r="K1059" s="71"/>
      <c r="L1059" s="71"/>
      <c r="M1059" s="5"/>
    </row>
    <row r="1060" spans="1:13" s="3" customFormat="1">
      <c r="A1060" s="1"/>
      <c r="B1060" s="8"/>
      <c r="C1060" s="5"/>
      <c r="D1060" s="12"/>
      <c r="E1060" s="23"/>
      <c r="F1060" s="9"/>
      <c r="G1060" s="5"/>
      <c r="H1060" s="16"/>
      <c r="I1060" s="69"/>
      <c r="J1060" s="70"/>
      <c r="K1060" s="71"/>
      <c r="L1060" s="71"/>
      <c r="M1060" s="5"/>
    </row>
    <row r="1061" spans="1:13" s="3" customFormat="1">
      <c r="A1061" s="1"/>
      <c r="B1061" s="8"/>
      <c r="C1061" s="5"/>
      <c r="D1061" s="12"/>
      <c r="E1061" s="23"/>
      <c r="F1061" s="9"/>
      <c r="G1061" s="5"/>
      <c r="H1061" s="16"/>
      <c r="I1061" s="69"/>
      <c r="J1061" s="70"/>
      <c r="K1061" s="71"/>
      <c r="L1061" s="71"/>
      <c r="M1061" s="5"/>
    </row>
    <row r="1062" spans="1:13" s="3" customFormat="1">
      <c r="A1062" s="1"/>
      <c r="B1062" s="8"/>
      <c r="C1062" s="5"/>
      <c r="D1062" s="12"/>
      <c r="E1062" s="23"/>
      <c r="F1062" s="9"/>
      <c r="G1062" s="5"/>
      <c r="H1062" s="16"/>
      <c r="I1062" s="69"/>
      <c r="J1062" s="70"/>
      <c r="K1062" s="71"/>
      <c r="L1062" s="71"/>
      <c r="M1062" s="5"/>
    </row>
    <row r="1063" spans="1:13" s="3" customFormat="1">
      <c r="A1063" s="1"/>
      <c r="B1063" s="8"/>
      <c r="C1063" s="5"/>
      <c r="D1063" s="12"/>
      <c r="E1063" s="23"/>
      <c r="F1063" s="9"/>
      <c r="G1063" s="5"/>
      <c r="H1063" s="16"/>
      <c r="I1063" s="69"/>
      <c r="J1063" s="70"/>
      <c r="K1063" s="71"/>
      <c r="L1063" s="71"/>
      <c r="M1063" s="5"/>
    </row>
    <row r="1064" spans="1:13" s="3" customFormat="1">
      <c r="A1064" s="1"/>
      <c r="B1064" s="8"/>
      <c r="C1064" s="5"/>
      <c r="D1064" s="12"/>
      <c r="E1064" s="23"/>
      <c r="F1064" s="9"/>
      <c r="G1064" s="5"/>
      <c r="H1064" s="16"/>
      <c r="I1064" s="69"/>
      <c r="J1064" s="70"/>
      <c r="K1064" s="71"/>
      <c r="L1064" s="71"/>
      <c r="M1064" s="5"/>
    </row>
    <row r="1065" spans="1:13" s="3" customFormat="1">
      <c r="A1065" s="1"/>
      <c r="B1065" s="8"/>
      <c r="C1065" s="5"/>
      <c r="D1065" s="12"/>
      <c r="E1065" s="23"/>
      <c r="F1065" s="9"/>
      <c r="G1065" s="5"/>
      <c r="H1065" s="16"/>
      <c r="I1065" s="69"/>
      <c r="J1065" s="70"/>
      <c r="K1065" s="71"/>
      <c r="L1065" s="71"/>
      <c r="M1065" s="5"/>
    </row>
    <row r="1066" spans="1:13" s="3" customFormat="1">
      <c r="A1066" s="1"/>
      <c r="B1066" s="8"/>
      <c r="C1066" s="5"/>
      <c r="D1066" s="12"/>
      <c r="E1066" s="23"/>
      <c r="F1066" s="9"/>
      <c r="G1066" s="5"/>
      <c r="H1066" s="16"/>
      <c r="I1066" s="69"/>
      <c r="J1066" s="70"/>
      <c r="K1066" s="71"/>
      <c r="L1066" s="71"/>
      <c r="M1066" s="5"/>
    </row>
    <row r="1067" spans="1:13" s="3" customFormat="1">
      <c r="A1067" s="1"/>
      <c r="B1067" s="8"/>
      <c r="C1067" s="5"/>
      <c r="D1067" s="12"/>
      <c r="E1067" s="23"/>
      <c r="F1067" s="9"/>
      <c r="G1067" s="5"/>
      <c r="H1067" s="16"/>
      <c r="I1067" s="69"/>
      <c r="J1067" s="70"/>
      <c r="K1067" s="71"/>
      <c r="L1067" s="71"/>
      <c r="M1067" s="5"/>
    </row>
    <row r="1068" spans="1:13" s="3" customFormat="1">
      <c r="A1068" s="1"/>
      <c r="B1068" s="8"/>
      <c r="C1068" s="5"/>
      <c r="D1068" s="12"/>
      <c r="E1068" s="23"/>
      <c r="F1068" s="9"/>
      <c r="G1068" s="5"/>
      <c r="H1068" s="16"/>
      <c r="I1068" s="69"/>
      <c r="J1068" s="70"/>
      <c r="K1068" s="71"/>
      <c r="L1068" s="71"/>
      <c r="M1068" s="5"/>
    </row>
    <row r="1069" spans="1:13" s="3" customFormat="1">
      <c r="A1069" s="1"/>
      <c r="B1069" s="8"/>
      <c r="C1069" s="5"/>
      <c r="D1069" s="12"/>
      <c r="E1069" s="23"/>
      <c r="F1069" s="9"/>
      <c r="G1069" s="5"/>
      <c r="H1069" s="16"/>
      <c r="I1069" s="69"/>
      <c r="J1069" s="70"/>
      <c r="K1069" s="71"/>
      <c r="L1069" s="71"/>
      <c r="M1069" s="5"/>
    </row>
    <row r="1070" spans="1:13" s="3" customFormat="1">
      <c r="A1070" s="1"/>
      <c r="B1070" s="8"/>
      <c r="C1070" s="5"/>
      <c r="D1070" s="12"/>
      <c r="E1070" s="23"/>
      <c r="F1070" s="9"/>
      <c r="G1070" s="5"/>
      <c r="H1070" s="16"/>
      <c r="I1070" s="69"/>
      <c r="J1070" s="70"/>
      <c r="K1070" s="71"/>
      <c r="L1070" s="71"/>
      <c r="M1070" s="5"/>
    </row>
    <row r="1071" spans="1:13" s="3" customFormat="1">
      <c r="A1071" s="1"/>
      <c r="B1071" s="8"/>
      <c r="C1071" s="5"/>
      <c r="D1071" s="12"/>
      <c r="E1071" s="23"/>
      <c r="F1071" s="9"/>
      <c r="G1071" s="5"/>
      <c r="H1071" s="16"/>
      <c r="I1071" s="69"/>
      <c r="J1071" s="70"/>
      <c r="K1071" s="71"/>
      <c r="L1071" s="71"/>
      <c r="M1071" s="5"/>
    </row>
    <row r="1072" spans="1:13" s="3" customFormat="1">
      <c r="A1072" s="1"/>
      <c r="B1072" s="8"/>
      <c r="C1072" s="5"/>
      <c r="D1072" s="12"/>
      <c r="E1072" s="23"/>
      <c r="F1072" s="9"/>
      <c r="G1072" s="5"/>
      <c r="H1072" s="16"/>
      <c r="I1072" s="69"/>
      <c r="J1072" s="70"/>
      <c r="K1072" s="71"/>
      <c r="L1072" s="71"/>
      <c r="M1072" s="5"/>
    </row>
    <row r="1073" spans="1:13" s="3" customFormat="1">
      <c r="A1073" s="1"/>
      <c r="B1073" s="8"/>
      <c r="C1073" s="5"/>
      <c r="D1073" s="12"/>
      <c r="E1073" s="23"/>
      <c r="F1073" s="9"/>
      <c r="G1073" s="5"/>
      <c r="H1073" s="16"/>
      <c r="I1073" s="69"/>
      <c r="J1073" s="70"/>
      <c r="K1073" s="71"/>
      <c r="L1073" s="71"/>
      <c r="M1073" s="5"/>
    </row>
    <row r="1074" spans="1:13" s="3" customFormat="1">
      <c r="A1074" s="1"/>
      <c r="B1074" s="8"/>
      <c r="C1074" s="5"/>
      <c r="D1074" s="12"/>
      <c r="E1074" s="23"/>
      <c r="F1074" s="9"/>
      <c r="G1074" s="5"/>
      <c r="H1074" s="16"/>
      <c r="I1074" s="69"/>
      <c r="J1074" s="70"/>
      <c r="K1074" s="71"/>
      <c r="L1074" s="71"/>
      <c r="M1074" s="5"/>
    </row>
    <row r="1075" spans="1:13" s="3" customFormat="1">
      <c r="A1075" s="1"/>
      <c r="B1075" s="8"/>
      <c r="C1075" s="5"/>
      <c r="D1075" s="12"/>
      <c r="E1075" s="23"/>
      <c r="F1075" s="9"/>
      <c r="G1075" s="5"/>
      <c r="H1075" s="16"/>
      <c r="I1075" s="69"/>
      <c r="J1075" s="70"/>
      <c r="K1075" s="71"/>
      <c r="L1075" s="71"/>
      <c r="M1075" s="5"/>
    </row>
    <row r="1076" spans="1:13" s="3" customFormat="1">
      <c r="A1076" s="1"/>
      <c r="B1076" s="8"/>
      <c r="C1076" s="5"/>
      <c r="D1076" s="12"/>
      <c r="E1076" s="23"/>
      <c r="F1076" s="9"/>
      <c r="G1076" s="5"/>
      <c r="H1076" s="16"/>
      <c r="I1076" s="69"/>
      <c r="J1076" s="70"/>
      <c r="K1076" s="71"/>
      <c r="L1076" s="71"/>
      <c r="M1076" s="5"/>
    </row>
    <row r="1077" spans="1:13" s="3" customFormat="1">
      <c r="A1077" s="1"/>
      <c r="B1077" s="8"/>
      <c r="C1077" s="5"/>
      <c r="D1077" s="12"/>
      <c r="E1077" s="23"/>
      <c r="F1077" s="9"/>
      <c r="G1077" s="5"/>
      <c r="H1077" s="16"/>
      <c r="I1077" s="69"/>
      <c r="J1077" s="70"/>
      <c r="K1077" s="71"/>
      <c r="L1077" s="71"/>
      <c r="M1077" s="5"/>
    </row>
    <row r="1078" spans="1:13" s="3" customFormat="1">
      <c r="A1078" s="1"/>
      <c r="B1078" s="8"/>
      <c r="C1078" s="5"/>
      <c r="D1078" s="12"/>
      <c r="E1078" s="23"/>
      <c r="F1078" s="9"/>
      <c r="G1078" s="5"/>
      <c r="H1078" s="16"/>
      <c r="I1078" s="69"/>
      <c r="J1078" s="70"/>
      <c r="K1078" s="71"/>
      <c r="L1078" s="71"/>
      <c r="M1078" s="5"/>
    </row>
    <row r="1079" spans="1:13" s="3" customFormat="1">
      <c r="A1079" s="1"/>
      <c r="B1079" s="8"/>
      <c r="C1079" s="5"/>
      <c r="D1079" s="12"/>
      <c r="E1079" s="23"/>
      <c r="F1079" s="9"/>
      <c r="G1079" s="5"/>
      <c r="H1079" s="16"/>
      <c r="I1079" s="69"/>
      <c r="J1079" s="70"/>
      <c r="K1079" s="71"/>
      <c r="L1079" s="71"/>
      <c r="M1079" s="5"/>
    </row>
    <row r="1080" spans="1:13" s="3" customFormat="1">
      <c r="A1080" s="1"/>
      <c r="B1080" s="8"/>
      <c r="C1080" s="5"/>
      <c r="D1080" s="12"/>
      <c r="E1080" s="23"/>
      <c r="F1080" s="9"/>
      <c r="G1080" s="5"/>
      <c r="H1080" s="16"/>
      <c r="I1080" s="69"/>
      <c r="J1080" s="70"/>
      <c r="K1080" s="71"/>
      <c r="L1080" s="71"/>
      <c r="M1080" s="5"/>
    </row>
    <row r="1081" spans="1:13" s="3" customFormat="1">
      <c r="A1081" s="1"/>
      <c r="B1081" s="8"/>
      <c r="C1081" s="5"/>
      <c r="D1081" s="12"/>
      <c r="E1081" s="23"/>
      <c r="F1081" s="9"/>
      <c r="G1081" s="5"/>
      <c r="H1081" s="16"/>
      <c r="I1081" s="69"/>
      <c r="J1081" s="70"/>
      <c r="K1081" s="71"/>
      <c r="L1081" s="71"/>
      <c r="M1081" s="5"/>
    </row>
    <row r="1082" spans="1:13" s="3" customFormat="1">
      <c r="A1082" s="1"/>
      <c r="B1082" s="8"/>
      <c r="C1082" s="5"/>
      <c r="D1082" s="12"/>
      <c r="E1082" s="23"/>
      <c r="F1082" s="9"/>
      <c r="G1082" s="5"/>
      <c r="H1082" s="16"/>
      <c r="I1082" s="69"/>
      <c r="J1082" s="70"/>
      <c r="K1082" s="71"/>
      <c r="L1082" s="71"/>
      <c r="M1082" s="5"/>
    </row>
    <row r="1083" spans="1:13" s="3" customFormat="1">
      <c r="A1083" s="1"/>
      <c r="B1083" s="8"/>
      <c r="C1083" s="5"/>
      <c r="D1083" s="12"/>
      <c r="E1083" s="23"/>
      <c r="F1083" s="9"/>
      <c r="G1083" s="5"/>
      <c r="H1083" s="16"/>
      <c r="I1083" s="69"/>
      <c r="J1083" s="70"/>
      <c r="K1083" s="71"/>
      <c r="L1083" s="71"/>
      <c r="M1083" s="5"/>
    </row>
    <row r="1084" spans="1:13" s="3" customFormat="1">
      <c r="A1084" s="1"/>
      <c r="B1084" s="8"/>
      <c r="C1084" s="5"/>
      <c r="D1084" s="12"/>
      <c r="E1084" s="23"/>
      <c r="F1084" s="9"/>
      <c r="G1084" s="5"/>
      <c r="H1084" s="16"/>
      <c r="I1084" s="69"/>
      <c r="J1084" s="70"/>
      <c r="K1084" s="71"/>
      <c r="L1084" s="71"/>
      <c r="M1084" s="5"/>
    </row>
    <row r="1085" spans="1:13" s="3" customFormat="1">
      <c r="A1085" s="1"/>
      <c r="B1085" s="8"/>
      <c r="C1085" s="5"/>
      <c r="D1085" s="12"/>
      <c r="E1085" s="23"/>
      <c r="F1085" s="9"/>
      <c r="G1085" s="5"/>
      <c r="H1085" s="16"/>
      <c r="I1085" s="69"/>
      <c r="J1085" s="70"/>
      <c r="K1085" s="71"/>
      <c r="L1085" s="71"/>
      <c r="M1085" s="5"/>
    </row>
    <row r="1086" spans="1:13" s="3" customFormat="1">
      <c r="A1086" s="1"/>
      <c r="B1086" s="8"/>
      <c r="C1086" s="5"/>
      <c r="D1086" s="12"/>
      <c r="E1086" s="23"/>
      <c r="F1086" s="9"/>
      <c r="G1086" s="5"/>
      <c r="H1086" s="16"/>
      <c r="I1086" s="69"/>
      <c r="J1086" s="70"/>
      <c r="K1086" s="71"/>
      <c r="L1086" s="71"/>
      <c r="M1086" s="5"/>
    </row>
    <row r="1087" spans="1:13" s="3" customFormat="1">
      <c r="A1087" s="1"/>
      <c r="B1087" s="8"/>
      <c r="C1087" s="5"/>
      <c r="D1087" s="12"/>
      <c r="E1087" s="23"/>
      <c r="F1087" s="9"/>
      <c r="G1087" s="5"/>
      <c r="H1087" s="16"/>
      <c r="I1087" s="69"/>
      <c r="J1087" s="70"/>
      <c r="K1087" s="71"/>
      <c r="L1087" s="71"/>
      <c r="M1087" s="5"/>
    </row>
    <row r="1088" spans="1:13" s="3" customFormat="1">
      <c r="A1088" s="1"/>
      <c r="B1088" s="8"/>
      <c r="C1088" s="5"/>
      <c r="D1088" s="12"/>
      <c r="E1088" s="23"/>
      <c r="F1088" s="9"/>
      <c r="G1088" s="5"/>
      <c r="H1088" s="16"/>
      <c r="I1088" s="69"/>
      <c r="J1088" s="70"/>
      <c r="K1088" s="71"/>
      <c r="L1088" s="71"/>
      <c r="M1088" s="5"/>
    </row>
    <row r="1089" spans="1:13" s="3" customFormat="1">
      <c r="A1089" s="1"/>
      <c r="B1089" s="8"/>
      <c r="C1089" s="5"/>
      <c r="D1089" s="12"/>
      <c r="E1089" s="23"/>
      <c r="F1089" s="9"/>
      <c r="G1089" s="5"/>
      <c r="H1089" s="16"/>
      <c r="I1089" s="69"/>
      <c r="J1089" s="70"/>
      <c r="K1089" s="71"/>
      <c r="L1089" s="71"/>
      <c r="M1089" s="5"/>
    </row>
    <row r="1090" spans="1:13" s="3" customFormat="1">
      <c r="A1090" s="1"/>
      <c r="B1090" s="8"/>
      <c r="C1090" s="5"/>
      <c r="D1090" s="12"/>
      <c r="E1090" s="23"/>
      <c r="F1090" s="9"/>
      <c r="G1090" s="5"/>
      <c r="H1090" s="16"/>
      <c r="I1090" s="69"/>
      <c r="J1090" s="70"/>
      <c r="K1090" s="71"/>
      <c r="L1090" s="71"/>
      <c r="M1090" s="5"/>
    </row>
    <row r="1091" spans="1:13" s="3" customFormat="1">
      <c r="A1091" s="1"/>
      <c r="B1091" s="8"/>
      <c r="C1091" s="5"/>
      <c r="D1091" s="12"/>
      <c r="E1091" s="23"/>
      <c r="F1091" s="9"/>
      <c r="G1091" s="5"/>
      <c r="H1091" s="16"/>
      <c r="I1091" s="69"/>
      <c r="J1091" s="70"/>
      <c r="K1091" s="71"/>
      <c r="L1091" s="71"/>
      <c r="M1091" s="5"/>
    </row>
    <row r="1092" spans="1:13" s="3" customFormat="1">
      <c r="A1092" s="1"/>
      <c r="B1092" s="8"/>
      <c r="C1092" s="5"/>
      <c r="D1092" s="12"/>
      <c r="E1092" s="23"/>
      <c r="F1092" s="9"/>
      <c r="G1092" s="5"/>
      <c r="H1092" s="16"/>
      <c r="I1092" s="69"/>
      <c r="J1092" s="70"/>
      <c r="K1092" s="71"/>
      <c r="L1092" s="71"/>
      <c r="M1092" s="5"/>
    </row>
    <row r="1093" spans="1:13" s="3" customFormat="1">
      <c r="A1093" s="1"/>
      <c r="B1093" s="8"/>
      <c r="C1093" s="5"/>
      <c r="D1093" s="12"/>
      <c r="E1093" s="23"/>
      <c r="F1093" s="9"/>
      <c r="G1093" s="5"/>
      <c r="H1093" s="16"/>
      <c r="I1093" s="69"/>
      <c r="J1093" s="70"/>
      <c r="K1093" s="71"/>
      <c r="L1093" s="71"/>
      <c r="M1093" s="5"/>
    </row>
    <row r="1094" spans="1:13" s="3" customFormat="1">
      <c r="A1094" s="1"/>
      <c r="B1094" s="8"/>
      <c r="C1094" s="5"/>
      <c r="D1094" s="12"/>
      <c r="E1094" s="23"/>
      <c r="F1094" s="9"/>
      <c r="G1094" s="5"/>
      <c r="H1094" s="16"/>
      <c r="I1094" s="69"/>
      <c r="J1094" s="70"/>
      <c r="K1094" s="71"/>
      <c r="L1094" s="71"/>
      <c r="M1094" s="5"/>
    </row>
    <row r="1095" spans="1:13" s="3" customFormat="1">
      <c r="A1095" s="1"/>
      <c r="B1095" s="8"/>
      <c r="C1095" s="5"/>
      <c r="D1095" s="12"/>
      <c r="E1095" s="23"/>
      <c r="F1095" s="9"/>
      <c r="G1095" s="5"/>
      <c r="H1095" s="16"/>
      <c r="I1095" s="69"/>
      <c r="J1095" s="70"/>
      <c r="K1095" s="71"/>
      <c r="L1095" s="71"/>
      <c r="M1095" s="5"/>
    </row>
    <row r="1096" spans="1:13" s="3" customFormat="1">
      <c r="A1096" s="1"/>
      <c r="B1096" s="8"/>
      <c r="C1096" s="5"/>
      <c r="D1096" s="12"/>
      <c r="E1096" s="23"/>
      <c r="F1096" s="9"/>
      <c r="G1096" s="5"/>
      <c r="H1096" s="16"/>
      <c r="I1096" s="69"/>
      <c r="J1096" s="70"/>
      <c r="K1096" s="71"/>
      <c r="L1096" s="71"/>
      <c r="M1096" s="5"/>
    </row>
    <row r="1097" spans="1:13" s="3" customFormat="1">
      <c r="A1097" s="1"/>
      <c r="B1097" s="8"/>
      <c r="C1097" s="5"/>
      <c r="D1097" s="12"/>
      <c r="E1097" s="23"/>
      <c r="F1097" s="9"/>
      <c r="G1097" s="5"/>
      <c r="H1097" s="16"/>
      <c r="I1097" s="69"/>
      <c r="J1097" s="70"/>
      <c r="K1097" s="71"/>
      <c r="L1097" s="71"/>
      <c r="M1097" s="5"/>
    </row>
    <row r="1098" spans="1:13" s="3" customFormat="1">
      <c r="A1098" s="1"/>
      <c r="B1098" s="8"/>
      <c r="C1098" s="5"/>
      <c r="D1098" s="12"/>
      <c r="E1098" s="23"/>
      <c r="F1098" s="9"/>
      <c r="G1098" s="5"/>
      <c r="H1098" s="16"/>
      <c r="I1098" s="69"/>
      <c r="J1098" s="70"/>
      <c r="K1098" s="71"/>
      <c r="L1098" s="71"/>
      <c r="M1098" s="5"/>
    </row>
    <row r="1099" spans="1:13" s="3" customFormat="1">
      <c r="A1099" s="1"/>
      <c r="B1099" s="8"/>
      <c r="C1099" s="5"/>
      <c r="D1099" s="12"/>
      <c r="E1099" s="23"/>
      <c r="F1099" s="9"/>
      <c r="G1099" s="5"/>
      <c r="H1099" s="16"/>
      <c r="I1099" s="69"/>
      <c r="J1099" s="70"/>
      <c r="K1099" s="71"/>
      <c r="L1099" s="71"/>
      <c r="M1099" s="5"/>
    </row>
    <row r="1100" spans="1:13" s="3" customFormat="1">
      <c r="A1100" s="1"/>
      <c r="B1100" s="8"/>
      <c r="C1100" s="5"/>
      <c r="D1100" s="12"/>
      <c r="E1100" s="23"/>
      <c r="F1100" s="9"/>
      <c r="G1100" s="5"/>
      <c r="H1100" s="16"/>
      <c r="I1100" s="69"/>
      <c r="J1100" s="70"/>
      <c r="K1100" s="71"/>
      <c r="L1100" s="71"/>
      <c r="M1100" s="5"/>
    </row>
    <row r="1101" spans="1:13" s="3" customFormat="1">
      <c r="A1101" s="1"/>
      <c r="B1101" s="8"/>
      <c r="C1101" s="5"/>
      <c r="D1101" s="12"/>
      <c r="E1101" s="23"/>
      <c r="F1101" s="9"/>
      <c r="G1101" s="5"/>
      <c r="H1101" s="16"/>
      <c r="I1101" s="69"/>
      <c r="J1101" s="70"/>
      <c r="K1101" s="71"/>
      <c r="L1101" s="71"/>
      <c r="M1101" s="5"/>
    </row>
    <row r="1102" spans="1:13" s="3" customFormat="1">
      <c r="A1102" s="1"/>
      <c r="B1102" s="8"/>
      <c r="C1102" s="5"/>
      <c r="D1102" s="12"/>
      <c r="E1102" s="23"/>
      <c r="F1102" s="9"/>
      <c r="G1102" s="5"/>
      <c r="H1102" s="16"/>
      <c r="I1102" s="69"/>
      <c r="J1102" s="70"/>
      <c r="K1102" s="71"/>
      <c r="L1102" s="71"/>
      <c r="M1102" s="5"/>
    </row>
    <row r="1103" spans="1:13" s="3" customFormat="1">
      <c r="A1103" s="1"/>
      <c r="B1103" s="8"/>
      <c r="C1103" s="5"/>
      <c r="D1103" s="12"/>
      <c r="E1103" s="23"/>
      <c r="F1103" s="9"/>
      <c r="G1103" s="5"/>
      <c r="H1103" s="16"/>
      <c r="I1103" s="69"/>
      <c r="J1103" s="70"/>
      <c r="K1103" s="71"/>
      <c r="L1103" s="71"/>
      <c r="M1103" s="5"/>
    </row>
    <row r="1104" spans="1:13" s="3" customFormat="1">
      <c r="A1104" s="1"/>
      <c r="B1104" s="8"/>
      <c r="C1104" s="5"/>
      <c r="D1104" s="12"/>
      <c r="E1104" s="23"/>
      <c r="F1104" s="9"/>
      <c r="G1104" s="5"/>
      <c r="H1104" s="16"/>
      <c r="I1104" s="69"/>
      <c r="J1104" s="70"/>
      <c r="K1104" s="71"/>
      <c r="L1104" s="71"/>
      <c r="M1104" s="5"/>
    </row>
    <row r="1105" spans="1:13" s="3" customFormat="1">
      <c r="A1105" s="1"/>
      <c r="B1105" s="8"/>
      <c r="C1105" s="5"/>
      <c r="D1105" s="12"/>
      <c r="E1105" s="23"/>
      <c r="F1105" s="9"/>
      <c r="G1105" s="5"/>
      <c r="H1105" s="16"/>
      <c r="I1105" s="69"/>
      <c r="J1105" s="70"/>
      <c r="K1105" s="71"/>
      <c r="L1105" s="71"/>
      <c r="M1105" s="5"/>
    </row>
    <row r="1106" spans="1:13" s="3" customFormat="1">
      <c r="A1106" s="1"/>
      <c r="B1106" s="8"/>
      <c r="C1106" s="5"/>
      <c r="D1106" s="12"/>
      <c r="E1106" s="23"/>
      <c r="F1106" s="9"/>
      <c r="G1106" s="5"/>
      <c r="H1106" s="16"/>
      <c r="I1106" s="69"/>
      <c r="J1106" s="70"/>
      <c r="K1106" s="71"/>
      <c r="L1106" s="71"/>
      <c r="M1106" s="5"/>
    </row>
    <row r="1107" spans="1:13" s="3" customFormat="1">
      <c r="A1107" s="1"/>
      <c r="B1107" s="8"/>
      <c r="C1107" s="5"/>
      <c r="D1107" s="12"/>
      <c r="E1107" s="23"/>
      <c r="F1107" s="9"/>
      <c r="G1107" s="5"/>
      <c r="H1107" s="16"/>
      <c r="I1107" s="69"/>
      <c r="J1107" s="70"/>
      <c r="K1107" s="71"/>
      <c r="L1107" s="71"/>
      <c r="M1107" s="5"/>
    </row>
    <row r="1108" spans="1:13" s="3" customFormat="1">
      <c r="A1108" s="1"/>
      <c r="B1108" s="8"/>
      <c r="C1108" s="5"/>
      <c r="D1108" s="12"/>
      <c r="E1108" s="23"/>
      <c r="F1108" s="9"/>
      <c r="G1108" s="5"/>
      <c r="H1108" s="16"/>
      <c r="I1108" s="69"/>
      <c r="J1108" s="70"/>
      <c r="K1108" s="71"/>
      <c r="L1108" s="71"/>
      <c r="M1108" s="5"/>
    </row>
    <row r="1109" spans="1:13" s="3" customFormat="1">
      <c r="A1109" s="1"/>
      <c r="B1109" s="8"/>
      <c r="C1109" s="5"/>
      <c r="D1109" s="12"/>
      <c r="E1109" s="23"/>
      <c r="F1109" s="9"/>
      <c r="G1109" s="5"/>
      <c r="H1109" s="16"/>
      <c r="I1109" s="69"/>
      <c r="J1109" s="70"/>
      <c r="K1109" s="71"/>
      <c r="L1109" s="71"/>
      <c r="M1109" s="5"/>
    </row>
    <row r="1110" spans="1:13" s="3" customFormat="1">
      <c r="A1110" s="1"/>
      <c r="B1110" s="8"/>
      <c r="C1110" s="5"/>
      <c r="D1110" s="12"/>
      <c r="E1110" s="23"/>
      <c r="F1110" s="9"/>
      <c r="G1110" s="5"/>
      <c r="H1110" s="16"/>
      <c r="I1110" s="69"/>
      <c r="J1110" s="70"/>
      <c r="K1110" s="71"/>
      <c r="L1110" s="71"/>
      <c r="M1110" s="5"/>
    </row>
    <row r="1111" spans="1:13" s="3" customFormat="1">
      <c r="A1111" s="1"/>
      <c r="B1111" s="8"/>
      <c r="C1111" s="5"/>
      <c r="D1111" s="12"/>
      <c r="E1111" s="23"/>
      <c r="F1111" s="9"/>
      <c r="G1111" s="5"/>
      <c r="H1111" s="16"/>
      <c r="I1111" s="69"/>
      <c r="J1111" s="70"/>
      <c r="K1111" s="71"/>
      <c r="L1111" s="71"/>
      <c r="M1111" s="5"/>
    </row>
    <row r="1112" spans="1:13" s="3" customFormat="1">
      <c r="A1112" s="1"/>
      <c r="B1112" s="8"/>
      <c r="C1112" s="5"/>
      <c r="D1112" s="12"/>
      <c r="E1112" s="23"/>
      <c r="F1112" s="9"/>
      <c r="G1112" s="5"/>
      <c r="H1112" s="16"/>
      <c r="I1112" s="69"/>
      <c r="J1112" s="70"/>
      <c r="K1112" s="71"/>
      <c r="L1112" s="71"/>
      <c r="M1112" s="5"/>
    </row>
    <row r="1113" spans="1:13" s="3" customFormat="1">
      <c r="A1113" s="1"/>
      <c r="B1113" s="8"/>
      <c r="C1113" s="5"/>
      <c r="D1113" s="12"/>
      <c r="E1113" s="23"/>
      <c r="F1113" s="9"/>
      <c r="G1113" s="5"/>
      <c r="H1113" s="16"/>
      <c r="I1113" s="69"/>
      <c r="J1113" s="70"/>
      <c r="K1113" s="71"/>
      <c r="L1113" s="71"/>
      <c r="M1113" s="5"/>
    </row>
    <row r="1114" spans="1:13" s="3" customFormat="1">
      <c r="A1114" s="1"/>
      <c r="B1114" s="8"/>
      <c r="C1114" s="5"/>
      <c r="D1114" s="12"/>
      <c r="E1114" s="23"/>
      <c r="F1114" s="9"/>
      <c r="G1114" s="5"/>
      <c r="H1114" s="16"/>
      <c r="I1114" s="69"/>
      <c r="J1114" s="70"/>
      <c r="K1114" s="71"/>
      <c r="L1114" s="71"/>
      <c r="M1114" s="5"/>
    </row>
    <row r="1115" spans="1:13" s="3" customFormat="1">
      <c r="A1115" s="1"/>
      <c r="B1115" s="8"/>
      <c r="C1115" s="5"/>
      <c r="D1115" s="12"/>
      <c r="E1115" s="23"/>
      <c r="F1115" s="9"/>
      <c r="G1115" s="5"/>
      <c r="H1115" s="16"/>
      <c r="I1115" s="69"/>
      <c r="J1115" s="70"/>
      <c r="K1115" s="71"/>
      <c r="L1115" s="71"/>
      <c r="M1115" s="5"/>
    </row>
    <row r="1116" spans="1:13" s="3" customFormat="1">
      <c r="A1116" s="1"/>
      <c r="B1116" s="8"/>
      <c r="C1116" s="5"/>
      <c r="D1116" s="12"/>
      <c r="E1116" s="23"/>
      <c r="F1116" s="9"/>
      <c r="G1116" s="5"/>
      <c r="H1116" s="16"/>
      <c r="I1116" s="69"/>
      <c r="J1116" s="70"/>
      <c r="K1116" s="71"/>
      <c r="L1116" s="71"/>
      <c r="M1116" s="5"/>
    </row>
    <row r="1117" spans="1:13" s="3" customFormat="1">
      <c r="A1117" s="1"/>
      <c r="B1117" s="8"/>
      <c r="C1117" s="5"/>
      <c r="D1117" s="12"/>
      <c r="E1117" s="23"/>
      <c r="F1117" s="9"/>
      <c r="G1117" s="5"/>
      <c r="H1117" s="16"/>
      <c r="I1117" s="69"/>
      <c r="J1117" s="70"/>
      <c r="K1117" s="71"/>
      <c r="L1117" s="71"/>
      <c r="M1117" s="5"/>
    </row>
    <row r="1118" spans="1:13" s="3" customFormat="1">
      <c r="A1118" s="1"/>
      <c r="B1118" s="8"/>
      <c r="C1118" s="5"/>
      <c r="D1118" s="12"/>
      <c r="E1118" s="23"/>
      <c r="F1118" s="9"/>
      <c r="G1118" s="5"/>
      <c r="H1118" s="16"/>
      <c r="I1118" s="69"/>
      <c r="J1118" s="70"/>
      <c r="K1118" s="71"/>
      <c r="L1118" s="71"/>
      <c r="M1118" s="5"/>
    </row>
    <row r="1119" spans="1:13" s="3" customFormat="1">
      <c r="A1119" s="1"/>
      <c r="B1119" s="8"/>
      <c r="C1119" s="5"/>
      <c r="D1119" s="12"/>
      <c r="E1119" s="23"/>
      <c r="F1119" s="9"/>
      <c r="G1119" s="5"/>
      <c r="H1119" s="16"/>
      <c r="I1119" s="69"/>
      <c r="J1119" s="70"/>
      <c r="K1119" s="71"/>
      <c r="L1119" s="71"/>
      <c r="M1119" s="5"/>
    </row>
    <row r="1120" spans="1:13" s="3" customFormat="1">
      <c r="A1120" s="1"/>
      <c r="B1120" s="8"/>
      <c r="C1120" s="5"/>
      <c r="D1120" s="12"/>
      <c r="E1120" s="23"/>
      <c r="F1120" s="9"/>
      <c r="G1120" s="5"/>
      <c r="H1120" s="16"/>
      <c r="I1120" s="69"/>
      <c r="J1120" s="70"/>
      <c r="K1120" s="71"/>
      <c r="L1120" s="71"/>
      <c r="M1120" s="5"/>
    </row>
    <row r="1121" spans="1:13" s="3" customFormat="1">
      <c r="A1121" s="1"/>
      <c r="B1121" s="8"/>
      <c r="C1121" s="5"/>
      <c r="D1121" s="12"/>
      <c r="E1121" s="23"/>
      <c r="F1121" s="9"/>
      <c r="G1121" s="5"/>
      <c r="H1121" s="16"/>
      <c r="I1121" s="69"/>
      <c r="J1121" s="70"/>
      <c r="K1121" s="71"/>
      <c r="L1121" s="71"/>
      <c r="M1121" s="5"/>
    </row>
    <row r="1122" spans="1:13" s="3" customFormat="1">
      <c r="A1122" s="1"/>
      <c r="B1122" s="8"/>
      <c r="C1122" s="5"/>
      <c r="D1122" s="12"/>
      <c r="E1122" s="23"/>
      <c r="F1122" s="9"/>
      <c r="G1122" s="5"/>
      <c r="H1122" s="16"/>
      <c r="I1122" s="69"/>
      <c r="J1122" s="70"/>
      <c r="K1122" s="71"/>
      <c r="L1122" s="71"/>
      <c r="M1122" s="5"/>
    </row>
    <row r="1123" spans="1:13" s="3" customFormat="1">
      <c r="A1123" s="1"/>
      <c r="B1123" s="8"/>
      <c r="C1123" s="5"/>
      <c r="D1123" s="12"/>
      <c r="E1123" s="23"/>
      <c r="F1123" s="9"/>
      <c r="G1123" s="5"/>
      <c r="H1123" s="16"/>
      <c r="I1123" s="69"/>
      <c r="J1123" s="70"/>
      <c r="K1123" s="71"/>
      <c r="L1123" s="71"/>
      <c r="M1123" s="5"/>
    </row>
    <row r="1124" spans="1:13" s="3" customFormat="1">
      <c r="A1124" s="1"/>
      <c r="B1124" s="8"/>
      <c r="C1124" s="5"/>
      <c r="D1124" s="12"/>
      <c r="E1124" s="23"/>
      <c r="F1124" s="9"/>
      <c r="G1124" s="5"/>
      <c r="H1124" s="16"/>
      <c r="I1124" s="69"/>
      <c r="J1124" s="70"/>
      <c r="K1124" s="71"/>
      <c r="L1124" s="71"/>
      <c r="M1124" s="5"/>
    </row>
    <row r="1125" spans="1:13" s="3" customFormat="1">
      <c r="A1125" s="1"/>
      <c r="B1125" s="8"/>
      <c r="C1125" s="5"/>
      <c r="D1125" s="12"/>
      <c r="E1125" s="23"/>
      <c r="F1125" s="9"/>
      <c r="G1125" s="5"/>
      <c r="H1125" s="16"/>
      <c r="I1125" s="69"/>
      <c r="J1125" s="70"/>
      <c r="K1125" s="71"/>
      <c r="L1125" s="71"/>
      <c r="M1125" s="5"/>
    </row>
    <row r="1126" spans="1:13" s="3" customFormat="1">
      <c r="A1126" s="1"/>
      <c r="B1126" s="8"/>
      <c r="C1126" s="5"/>
      <c r="D1126" s="12"/>
      <c r="E1126" s="23"/>
      <c r="F1126" s="9"/>
      <c r="G1126" s="5"/>
      <c r="H1126" s="16"/>
      <c r="I1126" s="69"/>
      <c r="J1126" s="70"/>
      <c r="K1126" s="71"/>
      <c r="L1126" s="71"/>
      <c r="M1126" s="5"/>
    </row>
    <row r="1127" spans="1:13" s="3" customFormat="1">
      <c r="A1127" s="1"/>
      <c r="B1127" s="8"/>
      <c r="C1127" s="5"/>
      <c r="D1127" s="12"/>
      <c r="E1127" s="23"/>
      <c r="F1127" s="9"/>
      <c r="G1127" s="5"/>
      <c r="H1127" s="16"/>
      <c r="I1127" s="69"/>
      <c r="J1127" s="70"/>
      <c r="K1127" s="71"/>
      <c r="L1127" s="71"/>
      <c r="M1127" s="5"/>
    </row>
    <row r="1128" spans="1:13" s="3" customFormat="1">
      <c r="A1128" s="1"/>
      <c r="B1128" s="8"/>
      <c r="C1128" s="5"/>
      <c r="D1128" s="12"/>
      <c r="E1128" s="23"/>
      <c r="F1128" s="9"/>
      <c r="G1128" s="5"/>
      <c r="H1128" s="16"/>
      <c r="I1128" s="69"/>
      <c r="J1128" s="70"/>
      <c r="K1128" s="71"/>
      <c r="L1128" s="71"/>
      <c r="M1128" s="5"/>
    </row>
    <row r="1129" spans="1:13" s="3" customFormat="1">
      <c r="A1129" s="1"/>
      <c r="B1129" s="8"/>
      <c r="C1129" s="5"/>
      <c r="D1129" s="12"/>
      <c r="E1129" s="23"/>
      <c r="F1129" s="9"/>
      <c r="G1129" s="5"/>
      <c r="H1129" s="16"/>
      <c r="I1129" s="69"/>
      <c r="J1129" s="70"/>
      <c r="K1129" s="71"/>
      <c r="L1129" s="71"/>
      <c r="M1129" s="5"/>
    </row>
    <row r="1130" spans="1:13" s="3" customFormat="1">
      <c r="A1130" s="1"/>
      <c r="B1130" s="8"/>
      <c r="C1130" s="5"/>
      <c r="D1130" s="12"/>
      <c r="E1130" s="23"/>
      <c r="F1130" s="9"/>
      <c r="G1130" s="5"/>
      <c r="H1130" s="16"/>
      <c r="I1130" s="69"/>
      <c r="J1130" s="70"/>
      <c r="K1130" s="71"/>
      <c r="L1130" s="71"/>
      <c r="M1130" s="5"/>
    </row>
    <row r="1131" spans="1:13" s="3" customFormat="1">
      <c r="A1131" s="1"/>
      <c r="B1131" s="8"/>
      <c r="C1131" s="5"/>
      <c r="D1131" s="12"/>
      <c r="E1131" s="23"/>
      <c r="F1131" s="9"/>
      <c r="G1131" s="5"/>
      <c r="H1131" s="16"/>
      <c r="I1131" s="69"/>
      <c r="J1131" s="70"/>
      <c r="K1131" s="71"/>
      <c r="L1131" s="71"/>
      <c r="M1131" s="5"/>
    </row>
    <row r="1132" spans="1:13" s="3" customFormat="1">
      <c r="A1132" s="1"/>
      <c r="B1132" s="8"/>
      <c r="C1132" s="5"/>
      <c r="D1132" s="12"/>
      <c r="E1132" s="23"/>
      <c r="F1132" s="9"/>
      <c r="G1132" s="5"/>
      <c r="H1132" s="16"/>
      <c r="I1132" s="69"/>
      <c r="J1132" s="70"/>
      <c r="K1132" s="71"/>
      <c r="L1132" s="71"/>
      <c r="M1132" s="5"/>
    </row>
    <row r="1133" spans="1:13" s="3" customFormat="1">
      <c r="A1133" s="1"/>
      <c r="B1133" s="8"/>
      <c r="C1133" s="5"/>
      <c r="D1133" s="12"/>
      <c r="E1133" s="23"/>
      <c r="F1133" s="9"/>
      <c r="G1133" s="5"/>
      <c r="H1133" s="16"/>
      <c r="I1133" s="69"/>
      <c r="J1133" s="70"/>
      <c r="K1133" s="71"/>
      <c r="L1133" s="71"/>
      <c r="M1133" s="5"/>
    </row>
    <row r="1134" spans="1:13" s="3" customFormat="1">
      <c r="A1134" s="1"/>
      <c r="B1134" s="8"/>
      <c r="C1134" s="5"/>
      <c r="D1134" s="12"/>
      <c r="E1134" s="23"/>
      <c r="F1134" s="9"/>
      <c r="G1134" s="5"/>
      <c r="H1134" s="16"/>
      <c r="I1134" s="69"/>
      <c r="J1134" s="70"/>
      <c r="K1134" s="71"/>
      <c r="L1134" s="71"/>
      <c r="M1134" s="5"/>
    </row>
    <row r="1135" spans="1:13" s="3" customFormat="1">
      <c r="A1135" s="1"/>
      <c r="B1135" s="8"/>
      <c r="C1135" s="5"/>
      <c r="D1135" s="12"/>
      <c r="E1135" s="23"/>
      <c r="F1135" s="9"/>
      <c r="G1135" s="5"/>
      <c r="H1135" s="16"/>
      <c r="I1135" s="69"/>
      <c r="J1135" s="70"/>
      <c r="K1135" s="71"/>
      <c r="L1135" s="71"/>
      <c r="M1135" s="5"/>
    </row>
    <row r="1136" spans="1:13" s="3" customFormat="1">
      <c r="A1136" s="1"/>
      <c r="B1136" s="8"/>
      <c r="C1136" s="5"/>
      <c r="D1136" s="12"/>
      <c r="E1136" s="23"/>
      <c r="F1136" s="9"/>
      <c r="G1136" s="5"/>
      <c r="H1136" s="16"/>
      <c r="I1136" s="69"/>
      <c r="J1136" s="70"/>
      <c r="K1136" s="71"/>
      <c r="L1136" s="71"/>
      <c r="M1136" s="5"/>
    </row>
    <row r="1137" spans="1:13" s="3" customFormat="1">
      <c r="A1137" s="1"/>
      <c r="B1137" s="8"/>
      <c r="C1137" s="5"/>
      <c r="D1137" s="12"/>
      <c r="E1137" s="23"/>
      <c r="F1137" s="9"/>
      <c r="G1137" s="5"/>
      <c r="H1137" s="16"/>
      <c r="I1137" s="69"/>
      <c r="J1137" s="70"/>
      <c r="K1137" s="71"/>
      <c r="L1137" s="71"/>
      <c r="M1137" s="5"/>
    </row>
    <row r="1138" spans="1:13" s="3" customFormat="1">
      <c r="A1138" s="1"/>
      <c r="B1138" s="8"/>
      <c r="C1138" s="5"/>
      <c r="D1138" s="12"/>
      <c r="E1138" s="23"/>
      <c r="F1138" s="9"/>
      <c r="G1138" s="5"/>
      <c r="H1138" s="16"/>
      <c r="I1138" s="69"/>
      <c r="J1138" s="70"/>
      <c r="K1138" s="71"/>
      <c r="L1138" s="71"/>
      <c r="M1138" s="5"/>
    </row>
    <row r="1139" spans="1:13" s="3" customFormat="1">
      <c r="A1139" s="1"/>
      <c r="B1139" s="8"/>
      <c r="C1139" s="5"/>
      <c r="D1139" s="12"/>
      <c r="E1139" s="23"/>
      <c r="F1139" s="9"/>
      <c r="G1139" s="5"/>
      <c r="H1139" s="16"/>
      <c r="I1139" s="69"/>
      <c r="J1139" s="70"/>
      <c r="K1139" s="71"/>
      <c r="L1139" s="71"/>
      <c r="M1139" s="5"/>
    </row>
    <row r="1140" spans="1:13" s="3" customFormat="1">
      <c r="A1140" s="1"/>
      <c r="B1140" s="8"/>
      <c r="C1140" s="5"/>
      <c r="D1140" s="12"/>
      <c r="E1140" s="23"/>
      <c r="F1140" s="9"/>
      <c r="G1140" s="5"/>
      <c r="H1140" s="16"/>
      <c r="I1140" s="69"/>
      <c r="J1140" s="70"/>
      <c r="K1140" s="71"/>
      <c r="L1140" s="71"/>
      <c r="M1140" s="5"/>
    </row>
    <row r="1141" spans="1:13" s="3" customFormat="1">
      <c r="A1141" s="1"/>
      <c r="B1141" s="8"/>
      <c r="C1141" s="5"/>
      <c r="D1141" s="12"/>
      <c r="E1141" s="23"/>
      <c r="F1141" s="9"/>
      <c r="G1141" s="5"/>
      <c r="H1141" s="16"/>
      <c r="I1141" s="69"/>
      <c r="J1141" s="70"/>
      <c r="K1141" s="71"/>
      <c r="L1141" s="71"/>
      <c r="M1141" s="5"/>
    </row>
    <row r="1142" spans="1:13" s="3" customFormat="1">
      <c r="A1142" s="1"/>
      <c r="B1142" s="8"/>
      <c r="C1142" s="5"/>
      <c r="D1142" s="12"/>
      <c r="E1142" s="23"/>
      <c r="F1142" s="9"/>
      <c r="G1142" s="5"/>
      <c r="H1142" s="16"/>
      <c r="I1142" s="69"/>
      <c r="J1142" s="70"/>
      <c r="K1142" s="71"/>
      <c r="L1142" s="71"/>
      <c r="M1142" s="5"/>
    </row>
    <row r="1143" spans="1:13" s="3" customFormat="1">
      <c r="A1143" s="1"/>
      <c r="B1143" s="8"/>
      <c r="C1143" s="5"/>
      <c r="D1143" s="12"/>
      <c r="E1143" s="23"/>
      <c r="F1143" s="9"/>
      <c r="G1143" s="5"/>
      <c r="H1143" s="16"/>
      <c r="I1143" s="69"/>
      <c r="J1143" s="70"/>
      <c r="K1143" s="71"/>
      <c r="L1143" s="71"/>
      <c r="M1143" s="5"/>
    </row>
    <row r="1144" spans="1:13" s="3" customFormat="1">
      <c r="A1144" s="1"/>
      <c r="B1144" s="8"/>
      <c r="C1144" s="5"/>
      <c r="D1144" s="12"/>
      <c r="E1144" s="23"/>
      <c r="F1144" s="9"/>
      <c r="G1144" s="5"/>
      <c r="H1144" s="16"/>
      <c r="I1144" s="69"/>
      <c r="J1144" s="70"/>
      <c r="K1144" s="71"/>
      <c r="L1144" s="71"/>
      <c r="M1144" s="5"/>
    </row>
    <row r="1145" spans="1:13" s="3" customFormat="1">
      <c r="A1145" s="1"/>
      <c r="B1145" s="8"/>
      <c r="C1145" s="5"/>
      <c r="D1145" s="12"/>
      <c r="E1145" s="23"/>
      <c r="F1145" s="9"/>
      <c r="G1145" s="5"/>
      <c r="H1145" s="16"/>
      <c r="I1145" s="69"/>
      <c r="J1145" s="70"/>
      <c r="K1145" s="71"/>
      <c r="L1145" s="71"/>
      <c r="M1145" s="5"/>
    </row>
    <row r="1146" spans="1:13" s="3" customFormat="1">
      <c r="A1146" s="1"/>
      <c r="B1146" s="8"/>
      <c r="C1146" s="5"/>
      <c r="D1146" s="12"/>
      <c r="E1146" s="23"/>
      <c r="F1146" s="9"/>
      <c r="G1146" s="5"/>
      <c r="H1146" s="16"/>
      <c r="I1146" s="69"/>
      <c r="J1146" s="70"/>
      <c r="K1146" s="71"/>
      <c r="L1146" s="71"/>
      <c r="M1146" s="5"/>
    </row>
    <row r="1147" spans="1:13" s="3" customFormat="1">
      <c r="A1147" s="1"/>
      <c r="B1147" s="8"/>
      <c r="C1147" s="5"/>
      <c r="D1147" s="12"/>
      <c r="E1147" s="23"/>
      <c r="F1147" s="9"/>
      <c r="G1147" s="5"/>
      <c r="H1147" s="16"/>
      <c r="I1147" s="69"/>
      <c r="J1147" s="70"/>
      <c r="K1147" s="71"/>
      <c r="L1147" s="71"/>
      <c r="M1147" s="5"/>
    </row>
    <row r="1148" spans="1:13" s="3" customFormat="1">
      <c r="A1148" s="1"/>
      <c r="B1148" s="8"/>
      <c r="C1148" s="5"/>
      <c r="D1148" s="12"/>
      <c r="E1148" s="23"/>
      <c r="F1148" s="9"/>
      <c r="G1148" s="5"/>
      <c r="H1148" s="16"/>
      <c r="I1148" s="69"/>
      <c r="J1148" s="70"/>
      <c r="K1148" s="71"/>
      <c r="L1148" s="71"/>
      <c r="M1148" s="5"/>
    </row>
    <row r="1149" spans="1:13" s="3" customFormat="1">
      <c r="A1149" s="1"/>
      <c r="B1149" s="8"/>
      <c r="C1149" s="5"/>
      <c r="D1149" s="12"/>
      <c r="E1149" s="23"/>
      <c r="F1149" s="9"/>
      <c r="G1149" s="5"/>
      <c r="H1149" s="16"/>
      <c r="I1149" s="69"/>
      <c r="J1149" s="70"/>
      <c r="K1149" s="71"/>
      <c r="L1149" s="71"/>
      <c r="M1149" s="5"/>
    </row>
    <row r="1150" spans="1:13" s="3" customFormat="1">
      <c r="A1150" s="1"/>
      <c r="B1150" s="8"/>
      <c r="C1150" s="5"/>
      <c r="D1150" s="12"/>
      <c r="E1150" s="23"/>
      <c r="F1150" s="9"/>
      <c r="G1150" s="5"/>
      <c r="H1150" s="16"/>
      <c r="I1150" s="69"/>
      <c r="J1150" s="70"/>
      <c r="K1150" s="71"/>
      <c r="L1150" s="71"/>
      <c r="M1150" s="5"/>
    </row>
    <row r="1151" spans="1:13" s="3" customFormat="1">
      <c r="A1151" s="1"/>
      <c r="B1151" s="8"/>
      <c r="C1151" s="5"/>
      <c r="D1151" s="12"/>
      <c r="E1151" s="23"/>
      <c r="F1151" s="9"/>
      <c r="G1151" s="5"/>
      <c r="H1151" s="16"/>
      <c r="I1151" s="69"/>
      <c r="J1151" s="70"/>
      <c r="K1151" s="71"/>
      <c r="L1151" s="71"/>
      <c r="M1151" s="5"/>
    </row>
    <row r="1152" spans="1:13" s="3" customFormat="1">
      <c r="A1152" s="1"/>
      <c r="B1152" s="8"/>
      <c r="C1152" s="5"/>
      <c r="D1152" s="12"/>
      <c r="E1152" s="23"/>
      <c r="F1152" s="9"/>
      <c r="G1152" s="5"/>
      <c r="H1152" s="16"/>
      <c r="I1152" s="69"/>
      <c r="J1152" s="70"/>
      <c r="K1152" s="71"/>
      <c r="L1152" s="71"/>
      <c r="M1152" s="5"/>
    </row>
    <row r="1153" spans="1:13" s="3" customFormat="1">
      <c r="A1153" s="1"/>
      <c r="B1153" s="8"/>
      <c r="C1153" s="5"/>
      <c r="D1153" s="12"/>
      <c r="E1153" s="23"/>
      <c r="F1153" s="9"/>
      <c r="G1153" s="5"/>
      <c r="H1153" s="16"/>
      <c r="I1153" s="69"/>
      <c r="J1153" s="70"/>
      <c r="K1153" s="71"/>
      <c r="L1153" s="71"/>
      <c r="M1153" s="5"/>
    </row>
    <row r="1154" spans="1:13" s="3" customFormat="1">
      <c r="A1154" s="1"/>
      <c r="B1154" s="8"/>
      <c r="C1154" s="5"/>
      <c r="D1154" s="12"/>
      <c r="E1154" s="23"/>
      <c r="F1154" s="9"/>
      <c r="G1154" s="5"/>
      <c r="H1154" s="16"/>
      <c r="I1154" s="69"/>
      <c r="J1154" s="70"/>
      <c r="K1154" s="71"/>
      <c r="L1154" s="71"/>
      <c r="M1154" s="5"/>
    </row>
    <row r="1155" spans="1:13" s="3" customFormat="1">
      <c r="A1155" s="1"/>
      <c r="B1155" s="8"/>
      <c r="C1155" s="5"/>
      <c r="D1155" s="12"/>
      <c r="E1155" s="23"/>
      <c r="F1155" s="9"/>
      <c r="G1155" s="5"/>
      <c r="H1155" s="16"/>
      <c r="I1155" s="69"/>
      <c r="J1155" s="70"/>
      <c r="K1155" s="71"/>
      <c r="L1155" s="71"/>
      <c r="M1155" s="5"/>
    </row>
    <row r="1156" spans="1:13" s="3" customFormat="1">
      <c r="A1156" s="1"/>
      <c r="B1156" s="8"/>
      <c r="C1156" s="5"/>
      <c r="D1156" s="12"/>
      <c r="E1156" s="23"/>
      <c r="F1156" s="9"/>
      <c r="G1156" s="5"/>
      <c r="H1156" s="16"/>
      <c r="I1156" s="69"/>
      <c r="J1156" s="70"/>
      <c r="K1156" s="71"/>
      <c r="L1156" s="71"/>
      <c r="M1156" s="5"/>
    </row>
    <row r="1157" spans="1:13" s="3" customFormat="1">
      <c r="A1157" s="1"/>
      <c r="B1157" s="8"/>
      <c r="C1157" s="5"/>
      <c r="D1157" s="12"/>
      <c r="E1157" s="23"/>
      <c r="F1157" s="9"/>
      <c r="G1157" s="5"/>
      <c r="H1157" s="16"/>
      <c r="I1157" s="69"/>
      <c r="J1157" s="70"/>
      <c r="K1157" s="71"/>
      <c r="L1157" s="71"/>
      <c r="M1157" s="5"/>
    </row>
    <row r="1158" spans="1:13" s="3" customFormat="1">
      <c r="A1158" s="1"/>
      <c r="B1158" s="8"/>
      <c r="C1158" s="5"/>
      <c r="D1158" s="12"/>
      <c r="E1158" s="23"/>
      <c r="F1158" s="9"/>
      <c r="G1158" s="5"/>
      <c r="H1158" s="16"/>
      <c r="I1158" s="69"/>
      <c r="J1158" s="70"/>
      <c r="K1158" s="71"/>
      <c r="L1158" s="71"/>
      <c r="M1158" s="5"/>
    </row>
    <row r="1159" spans="1:13" s="3" customFormat="1">
      <c r="A1159" s="1"/>
      <c r="B1159" s="8"/>
      <c r="C1159" s="5"/>
      <c r="D1159" s="12"/>
      <c r="E1159" s="23"/>
      <c r="F1159" s="9"/>
      <c r="G1159" s="5"/>
      <c r="H1159" s="16"/>
      <c r="I1159" s="69"/>
      <c r="J1159" s="70"/>
      <c r="K1159" s="71"/>
      <c r="L1159" s="71"/>
      <c r="M1159" s="5"/>
    </row>
    <row r="1160" spans="1:13" s="3" customFormat="1">
      <c r="A1160" s="1"/>
      <c r="B1160" s="8"/>
      <c r="C1160" s="5"/>
      <c r="D1160" s="12"/>
      <c r="E1160" s="23"/>
      <c r="F1160" s="9"/>
      <c r="G1160" s="5"/>
      <c r="H1160" s="16"/>
      <c r="I1160" s="69"/>
      <c r="J1160" s="70"/>
      <c r="K1160" s="71"/>
      <c r="L1160" s="71"/>
      <c r="M1160" s="5"/>
    </row>
    <row r="1161" spans="1:13" s="3" customFormat="1">
      <c r="A1161" s="1"/>
      <c r="B1161" s="8"/>
      <c r="C1161" s="5"/>
      <c r="D1161" s="12"/>
      <c r="E1161" s="23"/>
      <c r="F1161" s="9"/>
      <c r="G1161" s="5"/>
      <c r="H1161" s="16"/>
      <c r="I1161" s="69"/>
      <c r="J1161" s="70"/>
      <c r="K1161" s="71"/>
      <c r="L1161" s="71"/>
      <c r="M1161" s="5"/>
    </row>
    <row r="1162" spans="1:13" s="3" customFormat="1">
      <c r="A1162" s="1"/>
      <c r="B1162" s="8"/>
      <c r="C1162" s="5"/>
      <c r="D1162" s="12"/>
      <c r="E1162" s="23"/>
      <c r="F1162" s="9"/>
      <c r="G1162" s="5"/>
      <c r="H1162" s="16"/>
      <c r="I1162" s="69"/>
      <c r="J1162" s="70"/>
      <c r="K1162" s="71"/>
      <c r="L1162" s="71"/>
      <c r="M1162" s="5"/>
    </row>
    <row r="1163" spans="1:13" s="3" customFormat="1">
      <c r="A1163" s="1"/>
      <c r="B1163" s="8"/>
      <c r="C1163" s="5"/>
      <c r="D1163" s="12"/>
      <c r="E1163" s="23"/>
      <c r="F1163" s="9"/>
      <c r="G1163" s="5"/>
      <c r="H1163" s="16"/>
      <c r="I1163" s="69"/>
      <c r="J1163" s="70"/>
      <c r="K1163" s="71"/>
      <c r="L1163" s="71"/>
      <c r="M1163" s="5"/>
    </row>
    <row r="1164" spans="1:13" s="3" customFormat="1">
      <c r="A1164" s="1"/>
      <c r="B1164" s="8"/>
      <c r="C1164" s="5"/>
      <c r="D1164" s="12"/>
      <c r="E1164" s="23"/>
      <c r="F1164" s="9"/>
      <c r="G1164" s="5"/>
      <c r="H1164" s="16"/>
      <c r="I1164" s="69"/>
      <c r="J1164" s="70"/>
      <c r="K1164" s="71"/>
      <c r="L1164" s="71"/>
      <c r="M1164" s="5"/>
    </row>
    <row r="1165" spans="1:13" s="3" customFormat="1">
      <c r="A1165" s="1"/>
      <c r="B1165" s="8"/>
      <c r="C1165" s="5"/>
      <c r="D1165" s="12"/>
      <c r="E1165" s="23"/>
      <c r="F1165" s="9"/>
      <c r="G1165" s="5"/>
      <c r="H1165" s="16"/>
      <c r="I1165" s="69"/>
      <c r="J1165" s="70"/>
      <c r="K1165" s="71"/>
      <c r="L1165" s="71"/>
      <c r="M1165" s="5"/>
    </row>
    <row r="1166" spans="1:13" s="3" customFormat="1">
      <c r="A1166" s="1"/>
      <c r="B1166" s="8"/>
      <c r="C1166" s="5"/>
      <c r="D1166" s="12"/>
      <c r="E1166" s="23"/>
      <c r="F1166" s="9"/>
      <c r="G1166" s="5"/>
      <c r="H1166" s="16"/>
      <c r="I1166" s="69"/>
      <c r="J1166" s="70"/>
      <c r="K1166" s="71"/>
      <c r="L1166" s="71"/>
      <c r="M1166" s="5"/>
    </row>
    <row r="1167" spans="1:13" s="3" customFormat="1">
      <c r="A1167" s="1"/>
      <c r="B1167" s="8"/>
      <c r="C1167" s="5"/>
      <c r="D1167" s="12"/>
      <c r="E1167" s="23"/>
      <c r="F1167" s="9"/>
      <c r="G1167" s="5"/>
      <c r="H1167" s="16"/>
      <c r="I1167" s="69"/>
      <c r="J1167" s="70"/>
      <c r="K1167" s="71"/>
      <c r="L1167" s="71"/>
      <c r="M1167" s="5"/>
    </row>
    <row r="1168" spans="1:13" s="3" customFormat="1">
      <c r="A1168" s="1"/>
      <c r="B1168" s="8"/>
      <c r="C1168" s="5"/>
      <c r="D1168" s="12"/>
      <c r="E1168" s="23"/>
      <c r="F1168" s="9"/>
      <c r="G1168" s="5"/>
      <c r="H1168" s="16"/>
      <c r="I1168" s="69"/>
      <c r="J1168" s="70"/>
      <c r="K1168" s="71"/>
      <c r="L1168" s="71"/>
      <c r="M1168" s="5"/>
    </row>
    <row r="1169" spans="1:13" s="3" customFormat="1">
      <c r="A1169" s="1"/>
      <c r="B1169" s="8"/>
      <c r="C1169" s="5"/>
      <c r="D1169" s="12"/>
      <c r="E1169" s="23"/>
      <c r="F1169" s="9"/>
      <c r="G1169" s="5"/>
      <c r="H1169" s="16"/>
      <c r="I1169" s="69"/>
      <c r="J1169" s="70"/>
      <c r="K1169" s="71"/>
      <c r="L1169" s="71"/>
      <c r="M1169" s="5"/>
    </row>
    <row r="1170" spans="1:13" s="3" customFormat="1">
      <c r="A1170" s="1"/>
      <c r="B1170" s="8"/>
      <c r="C1170" s="5"/>
      <c r="D1170" s="12"/>
      <c r="E1170" s="23"/>
      <c r="F1170" s="9"/>
      <c r="G1170" s="5"/>
      <c r="H1170" s="16"/>
      <c r="I1170" s="69"/>
      <c r="J1170" s="70"/>
      <c r="K1170" s="71"/>
      <c r="L1170" s="71"/>
      <c r="M1170" s="5"/>
    </row>
    <row r="1171" spans="1:13" s="3" customFormat="1">
      <c r="A1171" s="1"/>
      <c r="B1171" s="8"/>
      <c r="C1171" s="5"/>
      <c r="D1171" s="12"/>
      <c r="E1171" s="23"/>
      <c r="F1171" s="9"/>
      <c r="G1171" s="5"/>
      <c r="H1171" s="16"/>
      <c r="I1171" s="69"/>
      <c r="J1171" s="70"/>
      <c r="K1171" s="71"/>
      <c r="L1171" s="71"/>
      <c r="M1171" s="5"/>
    </row>
    <row r="1172" spans="1:13" s="3" customFormat="1">
      <c r="A1172" s="1"/>
      <c r="B1172" s="8"/>
      <c r="C1172" s="5"/>
      <c r="D1172" s="12"/>
      <c r="E1172" s="23"/>
      <c r="F1172" s="9"/>
      <c r="G1172" s="5"/>
      <c r="H1172" s="16"/>
      <c r="I1172" s="69"/>
      <c r="J1172" s="70"/>
      <c r="K1172" s="71"/>
      <c r="L1172" s="71"/>
      <c r="M1172" s="5"/>
    </row>
    <row r="1173" spans="1:13" s="3" customFormat="1">
      <c r="A1173" s="1"/>
      <c r="B1173" s="8"/>
      <c r="C1173" s="5"/>
      <c r="D1173" s="12"/>
      <c r="E1173" s="23"/>
      <c r="F1173" s="9"/>
      <c r="G1173" s="5"/>
      <c r="H1173" s="16"/>
      <c r="I1173" s="69"/>
      <c r="J1173" s="70"/>
      <c r="K1173" s="71"/>
      <c r="L1173" s="71"/>
      <c r="M1173" s="5"/>
    </row>
    <row r="1174" spans="1:13" s="3" customFormat="1">
      <c r="A1174" s="1"/>
      <c r="B1174" s="8"/>
      <c r="C1174" s="5"/>
      <c r="D1174" s="12"/>
      <c r="E1174" s="23"/>
      <c r="F1174" s="9"/>
      <c r="G1174" s="5"/>
      <c r="H1174" s="16"/>
      <c r="I1174" s="69"/>
      <c r="J1174" s="70"/>
      <c r="K1174" s="71"/>
      <c r="L1174" s="71"/>
      <c r="M1174" s="5"/>
    </row>
    <row r="1175" spans="1:13" s="3" customFormat="1">
      <c r="A1175" s="1"/>
      <c r="B1175" s="8"/>
      <c r="C1175" s="5"/>
      <c r="D1175" s="12"/>
      <c r="E1175" s="23"/>
      <c r="F1175" s="9"/>
      <c r="G1175" s="5"/>
      <c r="H1175" s="16"/>
      <c r="I1175" s="69"/>
      <c r="J1175" s="70"/>
      <c r="K1175" s="71"/>
      <c r="L1175" s="71"/>
      <c r="M1175" s="5"/>
    </row>
    <row r="1176" spans="1:13" s="3" customFormat="1">
      <c r="A1176" s="1"/>
      <c r="B1176" s="8"/>
      <c r="C1176" s="5"/>
      <c r="D1176" s="12"/>
      <c r="E1176" s="23"/>
      <c r="F1176" s="9"/>
      <c r="G1176" s="5"/>
      <c r="H1176" s="16"/>
      <c r="I1176" s="69"/>
      <c r="J1176" s="70"/>
      <c r="K1176" s="71"/>
      <c r="L1176" s="71"/>
      <c r="M1176" s="5"/>
    </row>
    <row r="1177" spans="1:13" s="3" customFormat="1">
      <c r="A1177" s="1"/>
      <c r="B1177" s="8"/>
      <c r="C1177" s="5"/>
      <c r="D1177" s="12"/>
      <c r="E1177" s="23"/>
      <c r="F1177" s="9"/>
      <c r="G1177" s="5"/>
      <c r="H1177" s="16"/>
      <c r="I1177" s="69"/>
      <c r="J1177" s="70"/>
      <c r="K1177" s="71"/>
      <c r="L1177" s="71"/>
      <c r="M1177" s="5"/>
    </row>
    <row r="1178" spans="1:13" s="3" customFormat="1">
      <c r="A1178" s="1"/>
      <c r="B1178" s="8"/>
      <c r="C1178" s="5"/>
      <c r="D1178" s="12"/>
      <c r="E1178" s="23"/>
      <c r="F1178" s="9"/>
      <c r="G1178" s="5"/>
      <c r="H1178" s="16"/>
      <c r="I1178" s="69"/>
      <c r="J1178" s="70"/>
      <c r="K1178" s="71"/>
      <c r="L1178" s="71"/>
      <c r="M1178" s="5"/>
    </row>
    <row r="1179" spans="1:13" s="3" customFormat="1">
      <c r="A1179" s="1"/>
      <c r="B1179" s="8"/>
      <c r="C1179" s="5"/>
      <c r="D1179" s="12"/>
      <c r="E1179" s="23"/>
      <c r="F1179" s="9"/>
      <c r="G1179" s="5"/>
      <c r="H1179" s="16"/>
      <c r="I1179" s="69"/>
      <c r="J1179" s="70"/>
      <c r="K1179" s="71"/>
      <c r="L1179" s="71"/>
      <c r="M1179" s="5"/>
    </row>
    <row r="1180" spans="1:13" s="3" customFormat="1">
      <c r="A1180" s="1"/>
      <c r="B1180" s="8"/>
      <c r="C1180" s="5"/>
      <c r="D1180" s="12"/>
      <c r="E1180" s="23"/>
      <c r="F1180" s="9"/>
      <c r="G1180" s="5"/>
      <c r="H1180" s="16"/>
      <c r="I1180" s="69"/>
      <c r="J1180" s="70"/>
      <c r="K1180" s="71"/>
      <c r="L1180" s="71"/>
      <c r="M1180" s="5"/>
    </row>
    <row r="1181" spans="1:13" s="3" customFormat="1">
      <c r="A1181" s="1"/>
      <c r="B1181" s="8"/>
      <c r="C1181" s="5"/>
      <c r="D1181" s="12"/>
      <c r="E1181" s="23"/>
      <c r="F1181" s="9"/>
      <c r="G1181" s="5"/>
      <c r="H1181" s="16"/>
      <c r="I1181" s="69"/>
      <c r="J1181" s="70"/>
      <c r="K1181" s="71"/>
      <c r="L1181" s="71"/>
      <c r="M1181" s="5"/>
    </row>
    <row r="1182" spans="1:13" s="3" customFormat="1">
      <c r="A1182" s="1"/>
      <c r="B1182" s="8"/>
      <c r="C1182" s="5"/>
      <c r="D1182" s="12"/>
      <c r="E1182" s="23"/>
      <c r="F1182" s="9"/>
      <c r="G1182" s="5"/>
      <c r="H1182" s="16"/>
      <c r="I1182" s="69"/>
      <c r="J1182" s="70"/>
      <c r="K1182" s="71"/>
      <c r="L1182" s="71"/>
      <c r="M1182" s="5"/>
    </row>
    <row r="1183" spans="1:13" s="3" customFormat="1">
      <c r="A1183" s="1"/>
      <c r="B1183" s="8"/>
      <c r="C1183" s="5"/>
      <c r="D1183" s="12"/>
      <c r="E1183" s="23"/>
      <c r="F1183" s="9"/>
      <c r="G1183" s="5"/>
      <c r="H1183" s="16"/>
      <c r="I1183" s="69"/>
      <c r="J1183" s="70"/>
      <c r="K1183" s="71"/>
      <c r="L1183" s="71"/>
      <c r="M1183" s="5"/>
    </row>
    <row r="1184" spans="1:13" s="3" customFormat="1">
      <c r="A1184" s="1"/>
      <c r="B1184" s="8"/>
      <c r="C1184" s="5"/>
      <c r="D1184" s="12"/>
      <c r="E1184" s="23"/>
      <c r="F1184" s="9"/>
      <c r="G1184" s="5"/>
      <c r="H1184" s="16"/>
      <c r="I1184" s="69"/>
      <c r="J1184" s="70"/>
      <c r="K1184" s="71"/>
      <c r="L1184" s="71"/>
      <c r="M1184" s="5"/>
    </row>
    <row r="1185" spans="1:13" s="3" customFormat="1">
      <c r="A1185" s="1"/>
      <c r="B1185" s="8"/>
      <c r="C1185" s="5"/>
      <c r="D1185" s="12"/>
      <c r="E1185" s="23"/>
      <c r="F1185" s="9"/>
      <c r="G1185" s="5"/>
      <c r="H1185" s="16"/>
      <c r="I1185" s="69"/>
      <c r="J1185" s="70"/>
      <c r="K1185" s="71"/>
      <c r="L1185" s="71"/>
      <c r="M1185" s="5"/>
    </row>
    <row r="1186" spans="1:13" s="3" customFormat="1">
      <c r="A1186" s="1"/>
      <c r="B1186" s="8"/>
      <c r="C1186" s="5"/>
      <c r="D1186" s="12"/>
      <c r="E1186" s="23"/>
      <c r="F1186" s="9"/>
      <c r="G1186" s="5"/>
      <c r="H1186" s="16"/>
      <c r="I1186" s="69"/>
      <c r="J1186" s="70"/>
      <c r="K1186" s="71"/>
      <c r="L1186" s="71"/>
      <c r="M1186" s="5"/>
    </row>
    <row r="1187" spans="1:13" s="3" customFormat="1">
      <c r="A1187" s="1"/>
      <c r="B1187" s="8"/>
      <c r="C1187" s="5"/>
      <c r="D1187" s="12"/>
      <c r="E1187" s="23"/>
      <c r="F1187" s="9"/>
      <c r="G1187" s="5"/>
      <c r="H1187" s="16"/>
      <c r="I1187" s="69"/>
      <c r="J1187" s="70"/>
      <c r="K1187" s="71"/>
      <c r="L1187" s="71"/>
      <c r="M1187" s="5"/>
    </row>
    <row r="1188" spans="1:13" s="3" customFormat="1">
      <c r="A1188" s="1"/>
      <c r="B1188" s="8"/>
      <c r="C1188" s="5"/>
      <c r="D1188" s="12"/>
      <c r="E1188" s="23"/>
      <c r="F1188" s="9"/>
      <c r="G1188" s="5"/>
      <c r="H1188" s="16"/>
      <c r="I1188" s="69"/>
      <c r="J1188" s="70"/>
      <c r="K1188" s="71"/>
      <c r="L1188" s="71"/>
      <c r="M1188" s="5"/>
    </row>
    <row r="1189" spans="1:13" s="3" customFormat="1">
      <c r="A1189" s="1"/>
      <c r="B1189" s="8"/>
      <c r="C1189" s="5"/>
      <c r="D1189" s="12"/>
      <c r="E1189" s="23"/>
      <c r="F1189" s="9"/>
      <c r="G1189" s="5"/>
      <c r="H1189" s="16"/>
      <c r="I1189" s="69"/>
      <c r="J1189" s="70"/>
      <c r="K1189" s="71"/>
      <c r="L1189" s="71"/>
      <c r="M1189" s="5"/>
    </row>
    <row r="1190" spans="1:13" s="3" customFormat="1">
      <c r="A1190" s="1"/>
      <c r="B1190" s="8"/>
      <c r="C1190" s="5"/>
      <c r="D1190" s="12"/>
      <c r="E1190" s="23"/>
      <c r="F1190" s="9"/>
      <c r="G1190" s="5"/>
      <c r="H1190" s="16"/>
      <c r="I1190" s="69"/>
      <c r="J1190" s="70"/>
      <c r="K1190" s="71"/>
      <c r="L1190" s="71"/>
      <c r="M1190" s="5"/>
    </row>
    <row r="1191" spans="1:13" s="3" customFormat="1">
      <c r="A1191" s="1"/>
      <c r="B1191" s="8"/>
      <c r="C1191" s="5"/>
      <c r="D1191" s="12"/>
      <c r="E1191" s="23"/>
      <c r="F1191" s="9"/>
      <c r="G1191" s="5"/>
      <c r="H1191" s="16"/>
      <c r="I1191" s="69"/>
      <c r="J1191" s="70"/>
      <c r="K1191" s="71"/>
      <c r="L1191" s="71"/>
      <c r="M1191" s="5"/>
    </row>
    <row r="1192" spans="1:13" s="3" customFormat="1">
      <c r="A1192" s="1"/>
      <c r="B1192" s="8"/>
      <c r="C1192" s="5"/>
      <c r="D1192" s="12"/>
      <c r="E1192" s="23"/>
      <c r="F1192" s="9"/>
      <c r="G1192" s="5"/>
      <c r="H1192" s="16"/>
      <c r="I1192" s="69"/>
      <c r="J1192" s="70"/>
      <c r="K1192" s="71"/>
      <c r="L1192" s="71"/>
      <c r="M1192" s="5"/>
    </row>
    <row r="1193" spans="1:13" s="3" customFormat="1">
      <c r="A1193" s="1"/>
      <c r="B1193" s="8"/>
      <c r="C1193" s="5"/>
      <c r="D1193" s="12"/>
      <c r="E1193" s="23"/>
      <c r="F1193" s="9"/>
      <c r="G1193" s="5"/>
      <c r="H1193" s="16"/>
      <c r="I1193" s="69"/>
      <c r="J1193" s="70"/>
      <c r="K1193" s="71"/>
      <c r="L1193" s="71"/>
      <c r="M1193" s="5"/>
    </row>
    <row r="1194" spans="1:13" s="3" customFormat="1">
      <c r="A1194" s="1"/>
      <c r="B1194" s="8"/>
      <c r="C1194" s="5"/>
      <c r="D1194" s="12"/>
      <c r="E1194" s="23"/>
      <c r="F1194" s="9"/>
      <c r="G1194" s="5"/>
      <c r="H1194" s="16"/>
      <c r="I1194" s="69"/>
      <c r="J1194" s="70"/>
      <c r="K1194" s="71"/>
      <c r="L1194" s="71"/>
      <c r="M1194" s="5"/>
    </row>
    <row r="1195" spans="1:13" s="3" customFormat="1">
      <c r="A1195" s="1"/>
      <c r="B1195" s="8"/>
      <c r="C1195" s="5"/>
      <c r="D1195" s="12"/>
      <c r="E1195" s="23"/>
      <c r="F1195" s="9"/>
      <c r="G1195" s="5"/>
      <c r="H1195" s="16"/>
      <c r="I1195" s="69"/>
      <c r="J1195" s="70"/>
      <c r="K1195" s="71"/>
      <c r="L1195" s="71"/>
      <c r="M1195" s="5"/>
    </row>
    <row r="1196" spans="1:13" s="3" customFormat="1">
      <c r="A1196" s="1"/>
      <c r="B1196" s="8"/>
      <c r="C1196" s="5"/>
      <c r="D1196" s="12"/>
      <c r="E1196" s="23"/>
      <c r="F1196" s="9"/>
      <c r="G1196" s="5"/>
      <c r="H1196" s="16"/>
      <c r="I1196" s="69"/>
      <c r="J1196" s="70"/>
      <c r="K1196" s="71"/>
      <c r="L1196" s="71"/>
      <c r="M1196" s="5"/>
    </row>
    <row r="1197" spans="1:13" s="3" customFormat="1">
      <c r="A1197" s="1"/>
      <c r="B1197" s="8"/>
      <c r="C1197" s="5"/>
      <c r="D1197" s="12"/>
      <c r="E1197" s="23"/>
      <c r="F1197" s="9"/>
      <c r="G1197" s="5"/>
      <c r="H1197" s="16"/>
      <c r="I1197" s="69"/>
      <c r="J1197" s="70"/>
      <c r="K1197" s="71"/>
      <c r="L1197" s="71"/>
      <c r="M1197" s="5"/>
    </row>
    <row r="1198" spans="1:13" s="3" customFormat="1">
      <c r="A1198" s="1"/>
      <c r="B1198" s="8"/>
      <c r="C1198" s="5"/>
      <c r="D1198" s="12"/>
      <c r="E1198" s="23"/>
      <c r="F1198" s="9"/>
      <c r="G1198" s="5"/>
      <c r="H1198" s="16"/>
      <c r="I1198" s="69"/>
      <c r="J1198" s="70"/>
      <c r="K1198" s="71"/>
      <c r="L1198" s="71"/>
      <c r="M1198" s="5"/>
    </row>
    <row r="1199" spans="1:13" s="3" customFormat="1">
      <c r="A1199" s="1"/>
      <c r="B1199" s="8"/>
      <c r="C1199" s="5"/>
      <c r="D1199" s="12"/>
      <c r="E1199" s="23"/>
      <c r="F1199" s="9"/>
      <c r="G1199" s="5"/>
      <c r="H1199" s="16"/>
      <c r="I1199" s="69"/>
      <c r="J1199" s="70"/>
      <c r="K1199" s="71"/>
      <c r="L1199" s="71"/>
      <c r="M1199" s="5"/>
    </row>
    <row r="1200" spans="1:13" s="3" customFormat="1">
      <c r="A1200" s="1"/>
      <c r="B1200" s="8"/>
      <c r="C1200" s="5"/>
      <c r="D1200" s="12"/>
      <c r="E1200" s="23"/>
      <c r="F1200" s="9"/>
      <c r="G1200" s="5"/>
      <c r="H1200" s="16"/>
      <c r="I1200" s="69"/>
      <c r="J1200" s="70"/>
      <c r="K1200" s="71"/>
      <c r="L1200" s="71"/>
      <c r="M1200" s="5"/>
    </row>
    <row r="1201" spans="1:13" s="3" customFormat="1">
      <c r="A1201" s="1"/>
      <c r="B1201" s="8"/>
      <c r="C1201" s="5"/>
      <c r="D1201" s="12"/>
      <c r="E1201" s="23"/>
      <c r="F1201" s="9"/>
      <c r="G1201" s="5"/>
      <c r="H1201" s="16"/>
      <c r="I1201" s="69"/>
      <c r="J1201" s="70"/>
      <c r="K1201" s="71"/>
      <c r="L1201" s="71"/>
      <c r="M1201" s="5"/>
    </row>
    <row r="1202" spans="1:13" s="3" customFormat="1">
      <c r="A1202" s="1"/>
      <c r="B1202" s="8"/>
      <c r="C1202" s="5"/>
      <c r="D1202" s="12"/>
      <c r="E1202" s="23"/>
      <c r="F1202" s="9"/>
      <c r="G1202" s="5"/>
      <c r="H1202" s="16"/>
      <c r="I1202" s="69"/>
      <c r="J1202" s="70"/>
      <c r="K1202" s="71"/>
      <c r="L1202" s="71"/>
      <c r="M1202" s="5"/>
    </row>
    <row r="1203" spans="1:13" s="3" customFormat="1">
      <c r="A1203" s="1"/>
      <c r="B1203" s="8"/>
      <c r="C1203" s="5"/>
      <c r="D1203" s="12"/>
      <c r="E1203" s="23"/>
      <c r="F1203" s="9"/>
      <c r="G1203" s="5"/>
      <c r="H1203" s="16"/>
      <c r="I1203" s="69"/>
      <c r="J1203" s="70"/>
      <c r="K1203" s="71"/>
      <c r="L1203" s="71"/>
      <c r="M1203" s="5"/>
    </row>
    <row r="1204" spans="1:13" s="3" customFormat="1">
      <c r="A1204" s="1"/>
      <c r="B1204" s="8"/>
      <c r="C1204" s="5"/>
      <c r="D1204" s="12"/>
      <c r="E1204" s="23"/>
      <c r="F1204" s="9"/>
      <c r="G1204" s="5"/>
      <c r="H1204" s="16"/>
      <c r="I1204" s="69"/>
      <c r="J1204" s="70"/>
      <c r="K1204" s="71"/>
      <c r="L1204" s="71"/>
      <c r="M1204" s="5"/>
    </row>
    <row r="1205" spans="1:13" s="3" customFormat="1">
      <c r="A1205" s="1"/>
      <c r="B1205" s="8"/>
      <c r="C1205" s="5"/>
      <c r="D1205" s="12"/>
      <c r="E1205" s="23"/>
      <c r="F1205" s="9"/>
      <c r="G1205" s="5"/>
      <c r="H1205" s="16"/>
      <c r="I1205" s="69"/>
      <c r="J1205" s="70"/>
      <c r="K1205" s="71"/>
      <c r="L1205" s="71"/>
      <c r="M1205" s="5"/>
    </row>
    <row r="1206" spans="1:13" s="3" customFormat="1">
      <c r="A1206" s="1"/>
      <c r="B1206" s="8"/>
      <c r="C1206" s="5"/>
      <c r="D1206" s="12"/>
      <c r="E1206" s="23"/>
      <c r="F1206" s="9"/>
      <c r="G1206" s="5"/>
      <c r="H1206" s="16"/>
      <c r="I1206" s="69"/>
      <c r="J1206" s="70"/>
      <c r="K1206" s="71"/>
      <c r="L1206" s="71"/>
      <c r="M1206" s="5"/>
    </row>
    <row r="1207" spans="1:13" s="3" customFormat="1">
      <c r="A1207" s="1"/>
      <c r="B1207" s="8"/>
      <c r="C1207" s="5"/>
      <c r="D1207" s="12"/>
      <c r="E1207" s="23"/>
      <c r="F1207" s="9"/>
      <c r="G1207" s="5"/>
      <c r="H1207" s="16"/>
      <c r="I1207" s="69"/>
      <c r="J1207" s="70"/>
      <c r="K1207" s="71"/>
      <c r="L1207" s="71"/>
      <c r="M1207" s="5"/>
    </row>
    <row r="1208" spans="1:13" s="3" customFormat="1">
      <c r="A1208" s="1"/>
      <c r="B1208" s="8"/>
      <c r="C1208" s="5"/>
      <c r="D1208" s="12"/>
      <c r="E1208" s="23"/>
      <c r="F1208" s="9"/>
      <c r="G1208" s="5"/>
      <c r="H1208" s="16"/>
      <c r="I1208" s="69"/>
      <c r="J1208" s="70"/>
      <c r="K1208" s="71"/>
      <c r="L1208" s="71"/>
      <c r="M1208" s="5"/>
    </row>
    <row r="1209" spans="1:13" s="3" customFormat="1">
      <c r="A1209" s="1"/>
      <c r="B1209" s="8"/>
      <c r="C1209" s="5"/>
      <c r="D1209" s="12"/>
      <c r="E1209" s="23"/>
      <c r="F1209" s="9"/>
      <c r="G1209" s="5"/>
      <c r="H1209" s="16"/>
      <c r="I1209" s="69"/>
      <c r="J1209" s="70"/>
      <c r="K1209" s="71"/>
      <c r="L1209" s="71"/>
      <c r="M1209" s="5"/>
    </row>
    <row r="1210" spans="1:13" s="3" customFormat="1">
      <c r="A1210" s="1"/>
      <c r="B1210" s="8"/>
      <c r="C1210" s="5"/>
      <c r="D1210" s="12"/>
      <c r="E1210" s="23"/>
      <c r="F1210" s="9"/>
      <c r="G1210" s="5"/>
      <c r="H1210" s="16"/>
      <c r="I1210" s="69"/>
      <c r="J1210" s="70"/>
      <c r="K1210" s="71"/>
      <c r="L1210" s="71"/>
      <c r="M1210" s="5"/>
    </row>
    <row r="1211" spans="1:13" s="3" customFormat="1">
      <c r="A1211" s="1"/>
      <c r="B1211" s="8"/>
      <c r="C1211" s="5"/>
      <c r="D1211" s="12"/>
      <c r="E1211" s="23"/>
      <c r="F1211" s="9"/>
      <c r="G1211" s="5"/>
      <c r="H1211" s="16"/>
      <c r="I1211" s="69"/>
      <c r="J1211" s="70"/>
      <c r="K1211" s="71"/>
      <c r="L1211" s="71"/>
      <c r="M1211" s="5"/>
    </row>
    <row r="1212" spans="1:13" s="3" customFormat="1">
      <c r="A1212" s="1"/>
      <c r="B1212" s="8"/>
      <c r="C1212" s="5"/>
      <c r="D1212" s="12"/>
      <c r="E1212" s="23"/>
      <c r="F1212" s="9"/>
      <c r="G1212" s="5"/>
      <c r="H1212" s="16"/>
      <c r="I1212" s="69"/>
      <c r="J1212" s="70"/>
      <c r="K1212" s="71"/>
      <c r="L1212" s="71"/>
      <c r="M1212" s="5"/>
    </row>
    <row r="1213" spans="1:13" s="3" customFormat="1">
      <c r="A1213" s="1"/>
      <c r="B1213" s="8"/>
      <c r="C1213" s="5"/>
      <c r="D1213" s="12"/>
      <c r="E1213" s="23"/>
      <c r="F1213" s="9"/>
      <c r="G1213" s="5"/>
      <c r="H1213" s="16"/>
      <c r="I1213" s="69"/>
      <c r="J1213" s="70"/>
      <c r="K1213" s="71"/>
      <c r="L1213" s="71"/>
      <c r="M1213" s="5"/>
    </row>
    <row r="1214" spans="1:13" s="3" customFormat="1">
      <c r="A1214" s="1"/>
      <c r="B1214" s="8"/>
      <c r="C1214" s="5"/>
      <c r="D1214" s="12"/>
      <c r="E1214" s="23"/>
      <c r="F1214" s="9"/>
      <c r="G1214" s="5"/>
      <c r="H1214" s="16"/>
      <c r="I1214" s="69"/>
      <c r="J1214" s="70"/>
      <c r="K1214" s="71"/>
      <c r="L1214" s="71"/>
      <c r="M1214" s="5"/>
    </row>
    <row r="1215" spans="1:13" s="3" customFormat="1">
      <c r="A1215" s="1"/>
      <c r="B1215" s="8"/>
      <c r="C1215" s="5"/>
      <c r="D1215" s="12"/>
      <c r="E1215" s="23"/>
      <c r="F1215" s="9"/>
      <c r="G1215" s="5"/>
      <c r="H1215" s="16"/>
      <c r="I1215" s="69"/>
      <c r="J1215" s="70"/>
      <c r="K1215" s="71"/>
      <c r="L1215" s="71"/>
      <c r="M1215" s="5"/>
    </row>
    <row r="1216" spans="1:13" s="3" customFormat="1">
      <c r="A1216" s="1"/>
      <c r="B1216" s="8"/>
      <c r="C1216" s="5"/>
      <c r="D1216" s="12"/>
      <c r="E1216" s="23"/>
      <c r="F1216" s="9"/>
      <c r="G1216" s="5"/>
      <c r="H1216" s="16"/>
      <c r="I1216" s="69"/>
      <c r="J1216" s="70"/>
      <c r="K1216" s="71"/>
      <c r="L1216" s="71"/>
      <c r="M1216" s="5"/>
    </row>
    <row r="1217" spans="1:13" s="3" customFormat="1">
      <c r="A1217" s="1"/>
      <c r="B1217" s="8"/>
      <c r="C1217" s="5"/>
      <c r="D1217" s="12"/>
      <c r="E1217" s="23"/>
      <c r="F1217" s="9"/>
      <c r="G1217" s="5"/>
      <c r="H1217" s="16"/>
      <c r="I1217" s="69"/>
      <c r="J1217" s="70"/>
      <c r="K1217" s="71"/>
      <c r="L1217" s="71"/>
      <c r="M1217" s="5"/>
    </row>
    <row r="1218" spans="1:13" s="3" customFormat="1">
      <c r="A1218" s="1"/>
      <c r="B1218" s="8"/>
      <c r="C1218" s="5"/>
      <c r="D1218" s="12"/>
      <c r="E1218" s="23"/>
      <c r="F1218" s="9"/>
      <c r="G1218" s="5"/>
      <c r="H1218" s="16"/>
      <c r="I1218" s="69"/>
      <c r="J1218" s="70"/>
      <c r="K1218" s="71"/>
      <c r="L1218" s="71"/>
      <c r="M1218" s="5"/>
    </row>
    <row r="1219" spans="1:13" s="3" customFormat="1">
      <c r="A1219" s="1"/>
      <c r="B1219" s="8"/>
      <c r="C1219" s="5"/>
      <c r="D1219" s="12"/>
      <c r="E1219" s="23"/>
      <c r="F1219" s="9"/>
      <c r="G1219" s="5"/>
      <c r="H1219" s="16"/>
      <c r="I1219" s="69"/>
      <c r="J1219" s="70"/>
      <c r="K1219" s="71"/>
      <c r="L1219" s="71"/>
      <c r="M1219" s="5"/>
    </row>
    <row r="1220" spans="1:13" s="3" customFormat="1">
      <c r="A1220" s="1"/>
      <c r="B1220" s="8"/>
      <c r="C1220" s="5"/>
      <c r="D1220" s="12"/>
      <c r="E1220" s="23"/>
      <c r="F1220" s="9"/>
      <c r="G1220" s="5"/>
      <c r="H1220" s="16"/>
      <c r="I1220" s="69"/>
      <c r="J1220" s="70"/>
      <c r="K1220" s="71"/>
      <c r="L1220" s="71"/>
      <c r="M1220" s="5"/>
    </row>
    <row r="1221" spans="1:13" s="3" customFormat="1">
      <c r="A1221" s="1"/>
      <c r="B1221" s="8"/>
      <c r="C1221" s="5"/>
      <c r="D1221" s="12"/>
      <c r="E1221" s="23"/>
      <c r="F1221" s="9"/>
      <c r="G1221" s="5"/>
      <c r="H1221" s="16"/>
      <c r="I1221" s="69"/>
      <c r="J1221" s="70"/>
      <c r="K1221" s="71"/>
      <c r="L1221" s="71"/>
      <c r="M1221" s="5"/>
    </row>
    <row r="1222" spans="1:13" s="3" customFormat="1">
      <c r="A1222" s="1"/>
      <c r="B1222" s="8"/>
      <c r="C1222" s="5"/>
      <c r="D1222" s="12"/>
      <c r="E1222" s="23"/>
      <c r="F1222" s="9"/>
      <c r="G1222" s="5"/>
      <c r="H1222" s="16"/>
      <c r="I1222" s="69"/>
      <c r="J1222" s="70"/>
      <c r="K1222" s="71"/>
      <c r="L1222" s="71"/>
      <c r="M1222" s="5"/>
    </row>
    <row r="1223" spans="1:13" s="3" customFormat="1">
      <c r="A1223" s="1"/>
      <c r="B1223" s="8"/>
      <c r="C1223" s="5"/>
      <c r="D1223" s="12"/>
      <c r="E1223" s="23"/>
      <c r="F1223" s="9"/>
      <c r="G1223" s="5"/>
      <c r="H1223" s="16"/>
      <c r="I1223" s="69"/>
      <c r="J1223" s="70"/>
      <c r="K1223" s="71"/>
      <c r="L1223" s="71"/>
      <c r="M1223" s="5"/>
    </row>
    <row r="1224" spans="1:13" s="3" customFormat="1">
      <c r="A1224" s="1"/>
      <c r="B1224" s="8"/>
      <c r="C1224" s="5"/>
      <c r="D1224" s="12"/>
      <c r="E1224" s="23"/>
      <c r="F1224" s="9"/>
      <c r="G1224" s="5"/>
      <c r="H1224" s="16"/>
      <c r="I1224" s="69"/>
      <c r="J1224" s="70"/>
      <c r="K1224" s="71"/>
      <c r="L1224" s="71"/>
      <c r="M1224" s="5"/>
    </row>
    <row r="1225" spans="1:13" s="3" customFormat="1">
      <c r="A1225" s="1"/>
      <c r="B1225" s="8"/>
      <c r="C1225" s="5"/>
      <c r="D1225" s="12"/>
      <c r="E1225" s="23"/>
      <c r="F1225" s="9"/>
      <c r="G1225" s="5"/>
      <c r="H1225" s="16"/>
      <c r="I1225" s="69"/>
      <c r="J1225" s="70"/>
      <c r="K1225" s="71"/>
      <c r="L1225" s="71"/>
      <c r="M1225" s="5"/>
    </row>
    <row r="1226" spans="1:13" s="3" customFormat="1">
      <c r="A1226" s="1"/>
      <c r="B1226" s="8"/>
      <c r="C1226" s="5"/>
      <c r="D1226" s="12"/>
      <c r="E1226" s="23"/>
      <c r="F1226" s="9"/>
      <c r="G1226" s="5"/>
      <c r="H1226" s="16"/>
      <c r="I1226" s="69"/>
      <c r="J1226" s="70"/>
      <c r="K1226" s="71"/>
      <c r="L1226" s="71"/>
      <c r="M1226" s="5"/>
    </row>
    <row r="1227" spans="1:13" s="3" customFormat="1">
      <c r="A1227" s="1"/>
      <c r="B1227" s="8"/>
      <c r="C1227" s="5"/>
      <c r="D1227" s="12"/>
      <c r="E1227" s="23"/>
      <c r="F1227" s="9"/>
      <c r="G1227" s="5"/>
      <c r="H1227" s="16"/>
      <c r="I1227" s="69"/>
      <c r="J1227" s="70"/>
      <c r="K1227" s="71"/>
      <c r="L1227" s="71"/>
      <c r="M1227" s="5"/>
    </row>
    <row r="1228" spans="1:13" s="3" customFormat="1">
      <c r="A1228" s="1"/>
      <c r="B1228" s="8"/>
      <c r="C1228" s="5"/>
      <c r="D1228" s="12"/>
      <c r="E1228" s="23"/>
      <c r="F1228" s="9"/>
      <c r="G1228" s="5"/>
      <c r="H1228" s="16"/>
      <c r="I1228" s="69"/>
      <c r="J1228" s="70"/>
      <c r="K1228" s="71"/>
      <c r="L1228" s="71"/>
      <c r="M1228" s="5"/>
    </row>
    <row r="1229" spans="1:13" s="3" customFormat="1">
      <c r="A1229" s="1"/>
      <c r="B1229" s="8"/>
      <c r="C1229" s="5"/>
      <c r="D1229" s="12"/>
      <c r="E1229" s="23"/>
      <c r="F1229" s="9"/>
      <c r="G1229" s="5"/>
      <c r="H1229" s="16"/>
      <c r="I1229" s="69"/>
      <c r="J1229" s="70"/>
      <c r="K1229" s="71"/>
      <c r="L1229" s="71"/>
      <c r="M1229" s="5"/>
    </row>
    <row r="1230" spans="1:13" s="3" customFormat="1">
      <c r="A1230" s="1"/>
      <c r="B1230" s="8"/>
      <c r="C1230" s="5"/>
      <c r="D1230" s="12"/>
      <c r="E1230" s="23"/>
      <c r="F1230" s="9"/>
      <c r="G1230" s="5"/>
      <c r="H1230" s="16"/>
      <c r="I1230" s="69"/>
      <c r="J1230" s="70"/>
      <c r="K1230" s="71"/>
      <c r="L1230" s="71"/>
      <c r="M1230" s="5"/>
    </row>
    <row r="1231" spans="1:13" s="3" customFormat="1">
      <c r="A1231" s="1"/>
      <c r="B1231" s="8"/>
      <c r="C1231" s="5"/>
      <c r="D1231" s="12"/>
      <c r="E1231" s="23"/>
      <c r="F1231" s="9"/>
      <c r="G1231" s="5"/>
      <c r="H1231" s="16"/>
      <c r="I1231" s="69"/>
      <c r="J1231" s="70"/>
      <c r="K1231" s="71"/>
      <c r="L1231" s="71"/>
      <c r="M1231" s="5"/>
    </row>
    <row r="1232" spans="1:13" s="3" customFormat="1">
      <c r="A1232" s="1"/>
      <c r="B1232" s="8"/>
      <c r="C1232" s="5"/>
      <c r="D1232" s="12"/>
      <c r="E1232" s="23"/>
      <c r="F1232" s="9"/>
      <c r="G1232" s="5"/>
      <c r="H1232" s="16"/>
      <c r="I1232" s="69"/>
      <c r="J1232" s="70"/>
      <c r="K1232" s="71"/>
      <c r="L1232" s="71"/>
      <c r="M1232" s="5"/>
    </row>
    <row r="1233" spans="1:13" s="3" customFormat="1">
      <c r="A1233" s="1"/>
      <c r="B1233" s="8"/>
      <c r="C1233" s="5"/>
      <c r="D1233" s="12"/>
      <c r="E1233" s="23"/>
      <c r="F1233" s="9"/>
      <c r="G1233" s="5"/>
      <c r="H1233" s="16"/>
      <c r="I1233" s="69"/>
      <c r="J1233" s="70"/>
      <c r="K1233" s="71"/>
      <c r="L1233" s="71"/>
      <c r="M1233" s="5"/>
    </row>
    <row r="1234" spans="1:13" s="3" customFormat="1">
      <c r="A1234" s="1"/>
      <c r="B1234" s="8"/>
      <c r="C1234" s="5"/>
      <c r="D1234" s="12"/>
      <c r="E1234" s="23"/>
      <c r="F1234" s="9"/>
      <c r="G1234" s="5"/>
      <c r="H1234" s="16"/>
      <c r="I1234" s="69"/>
      <c r="J1234" s="70"/>
      <c r="K1234" s="71"/>
      <c r="L1234" s="71"/>
      <c r="M1234" s="5"/>
    </row>
    <row r="1235" spans="1:13" s="3" customFormat="1">
      <c r="A1235" s="1"/>
      <c r="B1235" s="8"/>
      <c r="C1235" s="5"/>
      <c r="D1235" s="12"/>
      <c r="E1235" s="23"/>
      <c r="F1235" s="9"/>
      <c r="G1235" s="5"/>
      <c r="H1235" s="16"/>
      <c r="I1235" s="69"/>
      <c r="J1235" s="70"/>
      <c r="K1235" s="71"/>
      <c r="L1235" s="71"/>
      <c r="M1235" s="5"/>
    </row>
    <row r="1236" spans="1:13" s="3" customFormat="1">
      <c r="A1236" s="1"/>
      <c r="B1236" s="8"/>
      <c r="C1236" s="5"/>
      <c r="D1236" s="12"/>
      <c r="E1236" s="23"/>
      <c r="F1236" s="9"/>
      <c r="G1236" s="5"/>
      <c r="H1236" s="16"/>
      <c r="I1236" s="69"/>
      <c r="J1236" s="70"/>
      <c r="K1236" s="71"/>
      <c r="L1236" s="71"/>
      <c r="M1236" s="5"/>
    </row>
    <row r="1237" spans="1:13" s="3" customFormat="1">
      <c r="A1237" s="1"/>
      <c r="B1237" s="8"/>
      <c r="C1237" s="5"/>
      <c r="D1237" s="12"/>
      <c r="E1237" s="23"/>
      <c r="F1237" s="9"/>
      <c r="G1237" s="5"/>
      <c r="H1237" s="16"/>
      <c r="I1237" s="69"/>
      <c r="J1237" s="70"/>
      <c r="K1237" s="71"/>
      <c r="L1237" s="71"/>
      <c r="M1237" s="5"/>
    </row>
    <row r="1238" spans="1:13" s="3" customFormat="1">
      <c r="A1238" s="1"/>
      <c r="B1238" s="8"/>
      <c r="C1238" s="5"/>
      <c r="D1238" s="12"/>
      <c r="E1238" s="23"/>
      <c r="F1238" s="9"/>
      <c r="G1238" s="5"/>
      <c r="H1238" s="16"/>
      <c r="I1238" s="69"/>
      <c r="J1238" s="70"/>
      <c r="K1238" s="71"/>
      <c r="L1238" s="71"/>
      <c r="M1238" s="5"/>
    </row>
    <row r="1239" spans="1:13" s="3" customFormat="1">
      <c r="A1239" s="1"/>
      <c r="B1239" s="8"/>
      <c r="C1239" s="5"/>
      <c r="D1239" s="12"/>
      <c r="E1239" s="23"/>
      <c r="F1239" s="9"/>
      <c r="G1239" s="5"/>
      <c r="H1239" s="16"/>
      <c r="I1239" s="69"/>
      <c r="J1239" s="70"/>
      <c r="K1239" s="71"/>
      <c r="L1239" s="71"/>
      <c r="M1239" s="5"/>
    </row>
    <row r="1240" spans="1:13" s="3" customFormat="1">
      <c r="A1240" s="1"/>
      <c r="B1240" s="8"/>
      <c r="C1240" s="5"/>
      <c r="D1240" s="12"/>
      <c r="E1240" s="23"/>
      <c r="F1240" s="9"/>
      <c r="G1240" s="5"/>
      <c r="H1240" s="16"/>
      <c r="I1240" s="69"/>
      <c r="J1240" s="70"/>
      <c r="K1240" s="71"/>
      <c r="L1240" s="71"/>
      <c r="M1240" s="5"/>
    </row>
    <row r="1241" spans="1:13" s="3" customFormat="1">
      <c r="A1241" s="1"/>
      <c r="B1241" s="8"/>
      <c r="C1241" s="5"/>
      <c r="D1241" s="12"/>
      <c r="E1241" s="23"/>
      <c r="F1241" s="9"/>
      <c r="G1241" s="5"/>
      <c r="H1241" s="16"/>
      <c r="I1241" s="69"/>
      <c r="J1241" s="70"/>
      <c r="K1241" s="71"/>
      <c r="L1241" s="71"/>
      <c r="M1241" s="5"/>
    </row>
    <row r="1242" spans="1:13" s="3" customFormat="1">
      <c r="A1242" s="1"/>
      <c r="B1242" s="8"/>
      <c r="C1242" s="5"/>
      <c r="D1242" s="12"/>
      <c r="E1242" s="23"/>
      <c r="F1242" s="9"/>
      <c r="G1242" s="5"/>
      <c r="H1242" s="16"/>
      <c r="I1242" s="69"/>
      <c r="J1242" s="70"/>
      <c r="K1242" s="71"/>
      <c r="L1242" s="71"/>
      <c r="M1242" s="5"/>
    </row>
    <row r="1243" spans="1:13" s="3" customFormat="1">
      <c r="A1243" s="1"/>
      <c r="B1243" s="8"/>
      <c r="C1243" s="5"/>
      <c r="D1243" s="12"/>
      <c r="E1243" s="23"/>
      <c r="F1243" s="9"/>
      <c r="G1243" s="5"/>
      <c r="H1243" s="16"/>
      <c r="I1243" s="69"/>
      <c r="J1243" s="70"/>
      <c r="K1243" s="71"/>
      <c r="L1243" s="71"/>
      <c r="M1243" s="5"/>
    </row>
    <row r="1244" spans="1:13" s="3" customFormat="1">
      <c r="A1244" s="1"/>
      <c r="B1244" s="8"/>
      <c r="C1244" s="5"/>
      <c r="D1244" s="12"/>
      <c r="E1244" s="23"/>
      <c r="F1244" s="9"/>
      <c r="G1244" s="5"/>
      <c r="H1244" s="16"/>
      <c r="I1244" s="69"/>
      <c r="J1244" s="70"/>
      <c r="K1244" s="71"/>
      <c r="L1244" s="71"/>
      <c r="M1244" s="5"/>
    </row>
    <row r="1245" spans="1:13" s="3" customFormat="1">
      <c r="A1245" s="1"/>
      <c r="B1245" s="8"/>
      <c r="C1245" s="5"/>
      <c r="D1245" s="12"/>
      <c r="E1245" s="23"/>
      <c r="F1245" s="9"/>
      <c r="G1245" s="5"/>
      <c r="H1245" s="16"/>
      <c r="I1245" s="69"/>
      <c r="J1245" s="70"/>
      <c r="K1245" s="71"/>
      <c r="L1245" s="71"/>
      <c r="M1245" s="5"/>
    </row>
    <row r="1246" spans="1:13" s="3" customFormat="1">
      <c r="A1246" s="1"/>
      <c r="B1246" s="8"/>
      <c r="C1246" s="5"/>
      <c r="D1246" s="12"/>
      <c r="E1246" s="23"/>
      <c r="F1246" s="9"/>
      <c r="G1246" s="5"/>
      <c r="H1246" s="16"/>
      <c r="I1246" s="69"/>
      <c r="J1246" s="70"/>
      <c r="K1246" s="71"/>
      <c r="L1246" s="71"/>
      <c r="M1246" s="5"/>
    </row>
    <row r="1247" spans="1:13" s="3" customFormat="1">
      <c r="A1247" s="1"/>
      <c r="B1247" s="8"/>
      <c r="C1247" s="5"/>
      <c r="D1247" s="12"/>
      <c r="E1247" s="23"/>
      <c r="F1247" s="9"/>
      <c r="G1247" s="5"/>
      <c r="H1247" s="16"/>
      <c r="I1247" s="69"/>
      <c r="J1247" s="70"/>
      <c r="K1247" s="71"/>
      <c r="L1247" s="71"/>
      <c r="M1247" s="5"/>
    </row>
    <row r="1248" spans="1:13" s="3" customFormat="1">
      <c r="A1248" s="1"/>
      <c r="B1248" s="8"/>
      <c r="C1248" s="5"/>
      <c r="D1248" s="12"/>
      <c r="E1248" s="23"/>
      <c r="F1248" s="9"/>
      <c r="G1248" s="5"/>
      <c r="H1248" s="16"/>
      <c r="I1248" s="69"/>
      <c r="J1248" s="70"/>
      <c r="K1248" s="71"/>
      <c r="L1248" s="71"/>
      <c r="M1248" s="5"/>
    </row>
    <row r="1249" spans="1:13" s="3" customFormat="1">
      <c r="A1249" s="1"/>
      <c r="B1249" s="8"/>
      <c r="C1249" s="5"/>
      <c r="D1249" s="12"/>
      <c r="E1249" s="23"/>
      <c r="F1249" s="9"/>
      <c r="G1249" s="5"/>
      <c r="H1249" s="16"/>
      <c r="I1249" s="69"/>
      <c r="J1249" s="70"/>
      <c r="K1249" s="71"/>
      <c r="L1249" s="71"/>
      <c r="M1249" s="5"/>
    </row>
    <row r="1250" spans="1:13" s="3" customFormat="1">
      <c r="A1250" s="1"/>
      <c r="B1250" s="8"/>
      <c r="C1250" s="5"/>
      <c r="D1250" s="12"/>
      <c r="E1250" s="23"/>
      <c r="F1250" s="9"/>
      <c r="G1250" s="5"/>
      <c r="H1250" s="16"/>
      <c r="I1250" s="69"/>
      <c r="J1250" s="70"/>
      <c r="K1250" s="71"/>
      <c r="L1250" s="71"/>
      <c r="M1250" s="5"/>
    </row>
    <row r="1251" spans="1:13" s="3" customFormat="1">
      <c r="A1251" s="1"/>
      <c r="B1251" s="8"/>
      <c r="C1251" s="5"/>
      <c r="D1251" s="12"/>
      <c r="E1251" s="23"/>
      <c r="F1251" s="9"/>
      <c r="G1251" s="5"/>
      <c r="H1251" s="16"/>
      <c r="I1251" s="69"/>
      <c r="J1251" s="70"/>
      <c r="K1251" s="71"/>
      <c r="L1251" s="71"/>
      <c r="M1251" s="5"/>
    </row>
    <row r="1252" spans="1:13" s="3" customFormat="1">
      <c r="A1252" s="1"/>
      <c r="B1252" s="8"/>
      <c r="C1252" s="5"/>
      <c r="D1252" s="12"/>
      <c r="E1252" s="23"/>
      <c r="F1252" s="9"/>
      <c r="G1252" s="5"/>
      <c r="H1252" s="16"/>
      <c r="I1252" s="69"/>
      <c r="J1252" s="70"/>
      <c r="K1252" s="71"/>
      <c r="L1252" s="71"/>
      <c r="M1252" s="5"/>
    </row>
    <row r="1253" spans="1:13" s="3" customFormat="1">
      <c r="A1253" s="1"/>
      <c r="B1253" s="8"/>
      <c r="C1253" s="5"/>
      <c r="D1253" s="12"/>
      <c r="E1253" s="23"/>
      <c r="F1253" s="9"/>
      <c r="G1253" s="5"/>
      <c r="H1253" s="16"/>
      <c r="I1253" s="69"/>
      <c r="J1253" s="70"/>
      <c r="K1253" s="71"/>
      <c r="L1253" s="71"/>
      <c r="M1253" s="5"/>
    </row>
    <row r="1254" spans="1:13" s="3" customFormat="1">
      <c r="A1254" s="1"/>
      <c r="B1254" s="8"/>
      <c r="C1254" s="5"/>
      <c r="D1254" s="12"/>
      <c r="E1254" s="23"/>
      <c r="F1254" s="9"/>
      <c r="G1254" s="5"/>
      <c r="H1254" s="16"/>
      <c r="I1254" s="69"/>
      <c r="J1254" s="70"/>
      <c r="K1254" s="71"/>
      <c r="L1254" s="71"/>
      <c r="M1254" s="5"/>
    </row>
    <row r="1255" spans="1:13" s="3" customFormat="1">
      <c r="A1255" s="1"/>
      <c r="B1255" s="8"/>
      <c r="C1255" s="5"/>
      <c r="D1255" s="12"/>
      <c r="E1255" s="23"/>
      <c r="F1255" s="9"/>
      <c r="G1255" s="5"/>
      <c r="H1255" s="16"/>
      <c r="I1255" s="69"/>
      <c r="J1255" s="70"/>
      <c r="K1255" s="71"/>
      <c r="L1255" s="71"/>
      <c r="M1255" s="5"/>
    </row>
    <row r="1256" spans="1:13" s="3" customFormat="1">
      <c r="A1256" s="1"/>
      <c r="B1256" s="8"/>
      <c r="C1256" s="5"/>
      <c r="D1256" s="12"/>
      <c r="E1256" s="23"/>
      <c r="F1256" s="9"/>
      <c r="G1256" s="5"/>
      <c r="H1256" s="16"/>
      <c r="I1256" s="69"/>
      <c r="J1256" s="70"/>
      <c r="K1256" s="71"/>
      <c r="L1256" s="71"/>
      <c r="M1256" s="5"/>
    </row>
    <row r="1257" spans="1:13" s="3" customFormat="1">
      <c r="A1257" s="1"/>
      <c r="B1257" s="8"/>
      <c r="C1257" s="5"/>
      <c r="D1257" s="12"/>
      <c r="E1257" s="23"/>
      <c r="F1257" s="9"/>
      <c r="G1257" s="5"/>
      <c r="H1257" s="16"/>
      <c r="I1257" s="69"/>
      <c r="J1257" s="70"/>
      <c r="K1257" s="71"/>
      <c r="L1257" s="71"/>
      <c r="M1257" s="5"/>
    </row>
    <row r="1258" spans="1:13" s="3" customFormat="1">
      <c r="A1258" s="1"/>
      <c r="B1258" s="8"/>
      <c r="C1258" s="5"/>
      <c r="D1258" s="12"/>
      <c r="E1258" s="23"/>
      <c r="F1258" s="9"/>
      <c r="G1258" s="5"/>
      <c r="H1258" s="16"/>
      <c r="I1258" s="69"/>
      <c r="J1258" s="70"/>
      <c r="K1258" s="71"/>
      <c r="L1258" s="71"/>
      <c r="M1258" s="5"/>
    </row>
    <row r="1259" spans="1:13" s="3" customFormat="1">
      <c r="A1259" s="1"/>
      <c r="B1259" s="8"/>
      <c r="C1259" s="5"/>
      <c r="D1259" s="12"/>
      <c r="E1259" s="23"/>
      <c r="F1259" s="9"/>
      <c r="G1259" s="5"/>
      <c r="H1259" s="16"/>
      <c r="I1259" s="69"/>
      <c r="J1259" s="70"/>
      <c r="K1259" s="71"/>
      <c r="L1259" s="71"/>
      <c r="M1259" s="5"/>
    </row>
    <row r="1260" spans="1:13" s="3" customFormat="1">
      <c r="A1260" s="1"/>
      <c r="B1260" s="8"/>
      <c r="C1260" s="5"/>
      <c r="D1260" s="12"/>
      <c r="E1260" s="23"/>
      <c r="F1260" s="9"/>
      <c r="G1260" s="5"/>
      <c r="H1260" s="16"/>
      <c r="I1260" s="69"/>
      <c r="J1260" s="70"/>
      <c r="K1260" s="71"/>
      <c r="L1260" s="71"/>
      <c r="M1260" s="5"/>
    </row>
    <row r="1261" spans="1:13" s="3" customFormat="1">
      <c r="A1261" s="1"/>
      <c r="B1261" s="8"/>
      <c r="C1261" s="5"/>
      <c r="D1261" s="12"/>
      <c r="E1261" s="23"/>
      <c r="F1261" s="9"/>
      <c r="G1261" s="5"/>
      <c r="H1261" s="16"/>
      <c r="I1261" s="69"/>
      <c r="J1261" s="70"/>
      <c r="K1261" s="71"/>
      <c r="L1261" s="71"/>
      <c r="M1261" s="5"/>
    </row>
    <row r="1262" spans="1:13" s="3" customFormat="1">
      <c r="A1262" s="1"/>
      <c r="B1262" s="8"/>
      <c r="C1262" s="5"/>
      <c r="D1262" s="12"/>
      <c r="E1262" s="23"/>
      <c r="F1262" s="9"/>
      <c r="G1262" s="5"/>
      <c r="H1262" s="16"/>
      <c r="I1262" s="69"/>
      <c r="J1262" s="70"/>
      <c r="K1262" s="71"/>
      <c r="L1262" s="71"/>
      <c r="M1262" s="5"/>
    </row>
    <row r="1263" spans="1:13" s="3" customFormat="1">
      <c r="A1263" s="1"/>
      <c r="B1263" s="8"/>
      <c r="C1263" s="5"/>
      <c r="D1263" s="12"/>
      <c r="E1263" s="23"/>
      <c r="F1263" s="9"/>
      <c r="G1263" s="5"/>
      <c r="H1263" s="16"/>
      <c r="I1263" s="69"/>
      <c r="J1263" s="70"/>
      <c r="K1263" s="71"/>
      <c r="L1263" s="71"/>
      <c r="M1263" s="5"/>
    </row>
    <row r="1264" spans="1:13" s="3" customFormat="1">
      <c r="A1264" s="1"/>
      <c r="B1264" s="8"/>
      <c r="C1264" s="5"/>
      <c r="D1264" s="12"/>
      <c r="E1264" s="23"/>
      <c r="F1264" s="9"/>
      <c r="G1264" s="5"/>
      <c r="H1264" s="16"/>
      <c r="I1264" s="69"/>
      <c r="J1264" s="70"/>
      <c r="K1264" s="71"/>
      <c r="L1264" s="71"/>
      <c r="M1264" s="5"/>
    </row>
    <row r="1265" spans="1:13" s="3" customFormat="1">
      <c r="A1265" s="1"/>
      <c r="B1265" s="8"/>
      <c r="C1265" s="5"/>
      <c r="D1265" s="12"/>
      <c r="E1265" s="23"/>
      <c r="F1265" s="9"/>
      <c r="G1265" s="5"/>
      <c r="H1265" s="16"/>
      <c r="I1265" s="69"/>
      <c r="J1265" s="70"/>
      <c r="K1265" s="71"/>
      <c r="L1265" s="71"/>
      <c r="M1265" s="5"/>
    </row>
    <row r="1266" spans="1:13" s="3" customFormat="1">
      <c r="A1266" s="1"/>
      <c r="B1266" s="8"/>
      <c r="C1266" s="5"/>
      <c r="D1266" s="12"/>
      <c r="E1266" s="23"/>
      <c r="F1266" s="9"/>
      <c r="G1266" s="5"/>
      <c r="H1266" s="16"/>
      <c r="I1266" s="69"/>
      <c r="J1266" s="70"/>
      <c r="K1266" s="71"/>
      <c r="L1266" s="71"/>
      <c r="M1266" s="5"/>
    </row>
    <row r="1267" spans="1:13" s="3" customFormat="1">
      <c r="A1267" s="1"/>
      <c r="B1267" s="8"/>
      <c r="C1267" s="5"/>
      <c r="D1267" s="12"/>
      <c r="E1267" s="23"/>
      <c r="F1267" s="9"/>
      <c r="G1267" s="5"/>
      <c r="H1267" s="16"/>
      <c r="I1267" s="69"/>
      <c r="J1267" s="70"/>
      <c r="K1267" s="71"/>
      <c r="L1267" s="71"/>
      <c r="M1267" s="5"/>
    </row>
    <row r="1268" spans="1:13" s="3" customFormat="1">
      <c r="A1268" s="1"/>
      <c r="B1268" s="8"/>
      <c r="C1268" s="5"/>
      <c r="D1268" s="12"/>
      <c r="E1268" s="23"/>
      <c r="F1268" s="9"/>
      <c r="G1268" s="5"/>
      <c r="H1268" s="16"/>
      <c r="I1268" s="69"/>
      <c r="J1268" s="70"/>
      <c r="K1268" s="71"/>
      <c r="L1268" s="71"/>
      <c r="M1268" s="5"/>
    </row>
    <row r="1269" spans="1:13" s="3" customFormat="1">
      <c r="A1269" s="1"/>
      <c r="B1269" s="8"/>
      <c r="C1269" s="5"/>
      <c r="D1269" s="12"/>
      <c r="E1269" s="23"/>
      <c r="F1269" s="9"/>
      <c r="G1269" s="5"/>
      <c r="H1269" s="16"/>
      <c r="I1269" s="69"/>
      <c r="J1269" s="70"/>
      <c r="K1269" s="71"/>
      <c r="L1269" s="71"/>
      <c r="M1269" s="5"/>
    </row>
    <row r="1270" spans="1:13" s="3" customFormat="1">
      <c r="A1270" s="1"/>
      <c r="B1270" s="8"/>
      <c r="C1270" s="5"/>
      <c r="D1270" s="12"/>
      <c r="E1270" s="23"/>
      <c r="F1270" s="9"/>
      <c r="G1270" s="5"/>
      <c r="H1270" s="16"/>
      <c r="I1270" s="69"/>
      <c r="J1270" s="70"/>
      <c r="K1270" s="71"/>
      <c r="L1270" s="71"/>
      <c r="M1270" s="5"/>
    </row>
    <row r="1271" spans="1:13" s="3" customFormat="1">
      <c r="A1271" s="1"/>
      <c r="B1271" s="8"/>
      <c r="C1271" s="5"/>
      <c r="D1271" s="12"/>
      <c r="E1271" s="23"/>
      <c r="F1271" s="9"/>
      <c r="G1271" s="5"/>
      <c r="H1271" s="16"/>
      <c r="I1271" s="69"/>
      <c r="J1271" s="70"/>
      <c r="K1271" s="71"/>
      <c r="L1271" s="71"/>
      <c r="M1271" s="5"/>
    </row>
    <row r="1272" spans="1:13" s="3" customFormat="1">
      <c r="A1272" s="1"/>
      <c r="B1272" s="8"/>
      <c r="C1272" s="5"/>
      <c r="D1272" s="12"/>
      <c r="E1272" s="23"/>
      <c r="F1272" s="9"/>
      <c r="G1272" s="5"/>
      <c r="H1272" s="16"/>
      <c r="I1272" s="69"/>
      <c r="J1272" s="70"/>
      <c r="K1272" s="71"/>
      <c r="L1272" s="71"/>
      <c r="M1272" s="5"/>
    </row>
    <row r="1273" spans="1:13" s="3" customFormat="1">
      <c r="A1273" s="1"/>
      <c r="B1273" s="8"/>
      <c r="C1273" s="5"/>
      <c r="D1273" s="12"/>
      <c r="E1273" s="23"/>
      <c r="F1273" s="9"/>
      <c r="G1273" s="5"/>
      <c r="H1273" s="16"/>
      <c r="I1273" s="69"/>
      <c r="J1273" s="70"/>
      <c r="K1273" s="71"/>
      <c r="L1273" s="71"/>
      <c r="M1273" s="5"/>
    </row>
    <row r="1274" spans="1:13" s="3" customFormat="1">
      <c r="A1274" s="1"/>
      <c r="B1274" s="8"/>
      <c r="C1274" s="5"/>
      <c r="D1274" s="12"/>
      <c r="E1274" s="23"/>
      <c r="F1274" s="9"/>
      <c r="G1274" s="5"/>
      <c r="H1274" s="16"/>
      <c r="I1274" s="69"/>
      <c r="J1274" s="70"/>
      <c r="K1274" s="71"/>
      <c r="L1274" s="71"/>
      <c r="M1274" s="5"/>
    </row>
    <row r="1275" spans="1:13" s="3" customFormat="1">
      <c r="A1275" s="1"/>
      <c r="B1275" s="8"/>
      <c r="C1275" s="5"/>
      <c r="D1275" s="12"/>
      <c r="E1275" s="23"/>
      <c r="F1275" s="9"/>
      <c r="G1275" s="5"/>
      <c r="H1275" s="16"/>
      <c r="I1275" s="69"/>
      <c r="J1275" s="70"/>
      <c r="K1275" s="71"/>
      <c r="L1275" s="71"/>
      <c r="M1275" s="5"/>
    </row>
    <row r="1276" spans="1:13" s="3" customFormat="1">
      <c r="A1276" s="1"/>
      <c r="B1276" s="8"/>
      <c r="C1276" s="5"/>
      <c r="D1276" s="12"/>
      <c r="E1276" s="23"/>
      <c r="F1276" s="9"/>
      <c r="G1276" s="5"/>
      <c r="H1276" s="16"/>
      <c r="I1276" s="69"/>
      <c r="J1276" s="70"/>
      <c r="K1276" s="71"/>
      <c r="L1276" s="71"/>
      <c r="M1276" s="5"/>
    </row>
    <row r="1277" spans="1:13" s="3" customFormat="1">
      <c r="A1277" s="1"/>
      <c r="B1277" s="8"/>
      <c r="C1277" s="5"/>
      <c r="D1277" s="12"/>
      <c r="E1277" s="23"/>
      <c r="F1277" s="9"/>
      <c r="G1277" s="5"/>
      <c r="H1277" s="16"/>
      <c r="I1277" s="69"/>
      <c r="J1277" s="70"/>
      <c r="K1277" s="71"/>
      <c r="L1277" s="71"/>
      <c r="M1277" s="5"/>
    </row>
    <row r="1278" spans="1:13" s="3" customFormat="1">
      <c r="A1278" s="1"/>
      <c r="B1278" s="8"/>
      <c r="C1278" s="5"/>
      <c r="D1278" s="12"/>
      <c r="E1278" s="23"/>
      <c r="F1278" s="9"/>
      <c r="G1278" s="5"/>
      <c r="H1278" s="16"/>
      <c r="I1278" s="69"/>
      <c r="J1278" s="70"/>
      <c r="K1278" s="71"/>
      <c r="L1278" s="71"/>
      <c r="M1278" s="5"/>
    </row>
    <row r="1279" spans="1:13" s="3" customFormat="1">
      <c r="A1279" s="1"/>
      <c r="B1279" s="8"/>
      <c r="C1279" s="5"/>
      <c r="D1279" s="12"/>
      <c r="E1279" s="23"/>
      <c r="F1279" s="9"/>
      <c r="G1279" s="5"/>
      <c r="H1279" s="16"/>
      <c r="I1279" s="69"/>
      <c r="J1279" s="70"/>
      <c r="K1279" s="71"/>
      <c r="L1279" s="71"/>
      <c r="M1279" s="5"/>
    </row>
    <row r="1280" spans="1:13" s="3" customFormat="1">
      <c r="A1280" s="1"/>
      <c r="B1280" s="8"/>
      <c r="C1280" s="5"/>
      <c r="D1280" s="12"/>
      <c r="E1280" s="23"/>
      <c r="F1280" s="9"/>
      <c r="G1280" s="5"/>
      <c r="H1280" s="16"/>
      <c r="I1280" s="69"/>
      <c r="J1280" s="70"/>
      <c r="K1280" s="71"/>
      <c r="L1280" s="71"/>
      <c r="M1280" s="5"/>
    </row>
    <row r="1281" spans="1:13" s="3" customFormat="1">
      <c r="A1281" s="1"/>
      <c r="B1281" s="8"/>
      <c r="C1281" s="5"/>
      <c r="D1281" s="12"/>
      <c r="E1281" s="23"/>
      <c r="F1281" s="9"/>
      <c r="G1281" s="5"/>
      <c r="H1281" s="16"/>
      <c r="I1281" s="69"/>
      <c r="J1281" s="70"/>
      <c r="K1281" s="71"/>
      <c r="L1281" s="71"/>
      <c r="M1281" s="5"/>
    </row>
    <row r="1282" spans="1:13" s="3" customFormat="1">
      <c r="A1282" s="1"/>
      <c r="B1282" s="8"/>
      <c r="C1282" s="5"/>
      <c r="D1282" s="12"/>
      <c r="E1282" s="23"/>
      <c r="F1282" s="9"/>
      <c r="G1282" s="5"/>
      <c r="H1282" s="16"/>
      <c r="I1282" s="69"/>
      <c r="J1282" s="70"/>
      <c r="K1282" s="71"/>
      <c r="L1282" s="71"/>
      <c r="M1282" s="5"/>
    </row>
    <row r="1283" spans="1:13" s="3" customFormat="1">
      <c r="A1283" s="1"/>
      <c r="B1283" s="8"/>
      <c r="C1283" s="5"/>
      <c r="D1283" s="12"/>
      <c r="E1283" s="23"/>
      <c r="F1283" s="9"/>
      <c r="G1283" s="5"/>
      <c r="H1283" s="16"/>
      <c r="I1283" s="69"/>
      <c r="J1283" s="70"/>
      <c r="K1283" s="71"/>
      <c r="L1283" s="71"/>
      <c r="M1283" s="5"/>
    </row>
    <row r="1284" spans="1:13" s="3" customFormat="1">
      <c r="A1284" s="1"/>
      <c r="B1284" s="8"/>
      <c r="C1284" s="5"/>
      <c r="D1284" s="12"/>
      <c r="E1284" s="23"/>
      <c r="F1284" s="9"/>
      <c r="G1284" s="5"/>
      <c r="H1284" s="16"/>
      <c r="I1284" s="69"/>
      <c r="J1284" s="70"/>
      <c r="K1284" s="71"/>
      <c r="L1284" s="71"/>
      <c r="M1284" s="5"/>
    </row>
    <row r="1285" spans="1:13" s="3" customFormat="1">
      <c r="A1285" s="1"/>
      <c r="B1285" s="8"/>
      <c r="C1285" s="5"/>
      <c r="D1285" s="12"/>
      <c r="E1285" s="23"/>
      <c r="F1285" s="9"/>
      <c r="G1285" s="5"/>
      <c r="H1285" s="16"/>
      <c r="I1285" s="69"/>
      <c r="J1285" s="70"/>
      <c r="K1285" s="71"/>
      <c r="L1285" s="71"/>
      <c r="M1285" s="5"/>
    </row>
    <row r="1286" spans="1:13" s="3" customFormat="1">
      <c r="A1286" s="1"/>
      <c r="B1286" s="8"/>
      <c r="C1286" s="5"/>
      <c r="D1286" s="12"/>
      <c r="E1286" s="23"/>
      <c r="F1286" s="9"/>
      <c r="G1286" s="5"/>
      <c r="H1286" s="16"/>
      <c r="I1286" s="69"/>
      <c r="J1286" s="70"/>
      <c r="K1286" s="71"/>
      <c r="L1286" s="71"/>
      <c r="M1286" s="5"/>
    </row>
    <row r="1287" spans="1:13" s="3" customFormat="1">
      <c r="A1287" s="1"/>
      <c r="B1287" s="8"/>
      <c r="C1287" s="5"/>
      <c r="D1287" s="12"/>
      <c r="E1287" s="23"/>
      <c r="F1287" s="9"/>
      <c r="G1287" s="5"/>
      <c r="H1287" s="16"/>
      <c r="I1287" s="69"/>
      <c r="J1287" s="70"/>
      <c r="K1287" s="71"/>
      <c r="L1287" s="71"/>
      <c r="M1287" s="5"/>
    </row>
    <row r="1288" spans="1:13" s="3" customFormat="1">
      <c r="A1288" s="1"/>
      <c r="B1288" s="8"/>
      <c r="C1288" s="5"/>
      <c r="D1288" s="12"/>
      <c r="E1288" s="23"/>
      <c r="F1288" s="9"/>
      <c r="G1288" s="5"/>
      <c r="H1288" s="16"/>
      <c r="I1288" s="69"/>
      <c r="J1288" s="70"/>
      <c r="K1288" s="71"/>
      <c r="L1288" s="71"/>
      <c r="M1288" s="5"/>
    </row>
    <row r="1289" spans="1:13" s="3" customFormat="1">
      <c r="A1289" s="1"/>
      <c r="B1289" s="8"/>
      <c r="C1289" s="5"/>
      <c r="D1289" s="12"/>
      <c r="E1289" s="23"/>
      <c r="F1289" s="9"/>
      <c r="G1289" s="5"/>
      <c r="H1289" s="16"/>
      <c r="I1289" s="69"/>
      <c r="J1289" s="70"/>
      <c r="K1289" s="71"/>
      <c r="L1289" s="71"/>
      <c r="M1289" s="5"/>
    </row>
    <row r="1290" spans="1:13" s="3" customFormat="1">
      <c r="A1290" s="1"/>
      <c r="B1290" s="8"/>
      <c r="C1290" s="5"/>
      <c r="D1290" s="12"/>
      <c r="E1290" s="23"/>
      <c r="F1290" s="9"/>
      <c r="G1290" s="5"/>
      <c r="H1290" s="16"/>
      <c r="I1290" s="69"/>
      <c r="J1290" s="70"/>
      <c r="K1290" s="71"/>
      <c r="L1290" s="71"/>
      <c r="M1290" s="5"/>
    </row>
    <row r="1291" spans="1:13" s="3" customFormat="1">
      <c r="A1291" s="1"/>
      <c r="B1291" s="8"/>
      <c r="C1291" s="5"/>
      <c r="D1291" s="12"/>
      <c r="E1291" s="23"/>
      <c r="F1291" s="9"/>
      <c r="G1291" s="5"/>
      <c r="H1291" s="16"/>
      <c r="I1291" s="69"/>
      <c r="J1291" s="70"/>
      <c r="K1291" s="71"/>
      <c r="L1291" s="71"/>
      <c r="M1291" s="5"/>
    </row>
    <row r="1292" spans="1:13" s="3" customFormat="1">
      <c r="A1292" s="1"/>
      <c r="B1292" s="8"/>
      <c r="C1292" s="5"/>
      <c r="D1292" s="12"/>
      <c r="E1292" s="23"/>
      <c r="F1292" s="9"/>
      <c r="G1292" s="5"/>
      <c r="H1292" s="16"/>
      <c r="I1292" s="69"/>
      <c r="J1292" s="70"/>
      <c r="K1292" s="71"/>
      <c r="L1292" s="71"/>
      <c r="M1292" s="5"/>
    </row>
    <row r="1293" spans="1:13" s="3" customFormat="1">
      <c r="A1293" s="1"/>
      <c r="B1293" s="8"/>
      <c r="C1293" s="5"/>
      <c r="D1293" s="12"/>
      <c r="E1293" s="23"/>
      <c r="F1293" s="9"/>
      <c r="G1293" s="5"/>
      <c r="H1293" s="16"/>
      <c r="I1293" s="69"/>
      <c r="J1293" s="70"/>
      <c r="K1293" s="71"/>
      <c r="L1293" s="71"/>
      <c r="M1293" s="5"/>
    </row>
    <row r="1294" spans="1:13" s="3" customFormat="1">
      <c r="A1294" s="1"/>
      <c r="B1294" s="8"/>
      <c r="C1294" s="5"/>
      <c r="D1294" s="12"/>
      <c r="E1294" s="23"/>
      <c r="F1294" s="9"/>
      <c r="G1294" s="5"/>
      <c r="H1294" s="16"/>
      <c r="I1294" s="69"/>
      <c r="J1294" s="70"/>
      <c r="K1294" s="71"/>
      <c r="L1294" s="71"/>
      <c r="M1294" s="5"/>
    </row>
    <row r="1295" spans="1:13" s="3" customFormat="1">
      <c r="A1295" s="1"/>
      <c r="B1295" s="8"/>
      <c r="C1295" s="5"/>
      <c r="D1295" s="12"/>
      <c r="E1295" s="23"/>
      <c r="F1295" s="9"/>
      <c r="G1295" s="5"/>
      <c r="H1295" s="16"/>
      <c r="I1295" s="69"/>
      <c r="J1295" s="70"/>
      <c r="K1295" s="71"/>
      <c r="L1295" s="71"/>
      <c r="M1295" s="5"/>
    </row>
    <row r="1296" spans="1:13" s="3" customFormat="1">
      <c r="A1296" s="1"/>
      <c r="B1296" s="8"/>
      <c r="C1296" s="5"/>
      <c r="D1296" s="12"/>
      <c r="E1296" s="23"/>
      <c r="F1296" s="9"/>
      <c r="G1296" s="5"/>
      <c r="H1296" s="16"/>
      <c r="I1296" s="69"/>
      <c r="J1296" s="70"/>
      <c r="K1296" s="71"/>
      <c r="L1296" s="71"/>
      <c r="M1296" s="5"/>
    </row>
    <row r="1297" spans="1:13" s="3" customFormat="1">
      <c r="A1297" s="1"/>
      <c r="B1297" s="8"/>
      <c r="C1297" s="5"/>
      <c r="D1297" s="12"/>
      <c r="E1297" s="23"/>
      <c r="F1297" s="9"/>
      <c r="G1297" s="5"/>
      <c r="H1297" s="16"/>
      <c r="I1297" s="69"/>
      <c r="J1297" s="70"/>
      <c r="K1297" s="71"/>
      <c r="L1297" s="71"/>
      <c r="M1297" s="5"/>
    </row>
    <row r="1298" spans="1:13" s="3" customFormat="1">
      <c r="A1298" s="1"/>
      <c r="B1298" s="8"/>
      <c r="C1298" s="5"/>
      <c r="D1298" s="12"/>
      <c r="E1298" s="23"/>
      <c r="F1298" s="9"/>
      <c r="G1298" s="5"/>
      <c r="H1298" s="16"/>
      <c r="I1298" s="69"/>
      <c r="J1298" s="70"/>
      <c r="K1298" s="71"/>
      <c r="L1298" s="71"/>
      <c r="M1298" s="5"/>
    </row>
    <row r="1299" spans="1:13" s="3" customFormat="1">
      <c r="A1299" s="1"/>
      <c r="B1299" s="8"/>
      <c r="C1299" s="5"/>
      <c r="D1299" s="12"/>
      <c r="E1299" s="23"/>
      <c r="F1299" s="9"/>
      <c r="G1299" s="5"/>
      <c r="H1299" s="16"/>
      <c r="I1299" s="69"/>
      <c r="J1299" s="70"/>
      <c r="K1299" s="71"/>
      <c r="L1299" s="71"/>
      <c r="M1299" s="5"/>
    </row>
    <row r="1300" spans="1:13" s="3" customFormat="1">
      <c r="A1300" s="1"/>
      <c r="B1300" s="8"/>
      <c r="C1300" s="5"/>
      <c r="D1300" s="12"/>
      <c r="E1300" s="23"/>
      <c r="F1300" s="9"/>
      <c r="G1300" s="5"/>
      <c r="H1300" s="16"/>
      <c r="I1300" s="69"/>
      <c r="J1300" s="70"/>
      <c r="K1300" s="71"/>
      <c r="L1300" s="71"/>
      <c r="M1300" s="5"/>
    </row>
    <row r="1301" spans="1:13" s="3" customFormat="1">
      <c r="A1301" s="1"/>
      <c r="B1301" s="8"/>
      <c r="C1301" s="5"/>
      <c r="D1301" s="12"/>
      <c r="E1301" s="23"/>
      <c r="F1301" s="9"/>
      <c r="G1301" s="5"/>
      <c r="H1301" s="16"/>
      <c r="I1301" s="69"/>
      <c r="J1301" s="70"/>
      <c r="K1301" s="71"/>
      <c r="L1301" s="71"/>
      <c r="M1301" s="5"/>
    </row>
    <row r="1302" spans="1:13" s="3" customFormat="1">
      <c r="A1302" s="1"/>
      <c r="B1302" s="8"/>
      <c r="C1302" s="5"/>
      <c r="D1302" s="12"/>
      <c r="E1302" s="23"/>
      <c r="F1302" s="9"/>
      <c r="G1302" s="5"/>
      <c r="H1302" s="16"/>
      <c r="I1302" s="69"/>
      <c r="J1302" s="70"/>
      <c r="K1302" s="71"/>
      <c r="L1302" s="71"/>
      <c r="M1302" s="5"/>
    </row>
    <row r="1303" spans="1:13" s="3" customFormat="1">
      <c r="A1303" s="1"/>
      <c r="B1303" s="8"/>
      <c r="C1303" s="5"/>
      <c r="D1303" s="12"/>
      <c r="E1303" s="23"/>
      <c r="F1303" s="9"/>
      <c r="G1303" s="5"/>
      <c r="H1303" s="16"/>
      <c r="I1303" s="69"/>
      <c r="J1303" s="70"/>
      <c r="K1303" s="71"/>
      <c r="L1303" s="71"/>
      <c r="M1303" s="5"/>
    </row>
    <row r="1304" spans="1:13" s="3" customFormat="1">
      <c r="A1304" s="1"/>
      <c r="B1304" s="8"/>
      <c r="C1304" s="5"/>
      <c r="D1304" s="12"/>
      <c r="E1304" s="23"/>
      <c r="F1304" s="9"/>
      <c r="G1304" s="5"/>
      <c r="H1304" s="16"/>
      <c r="I1304" s="69"/>
      <c r="J1304" s="70"/>
      <c r="K1304" s="71"/>
      <c r="L1304" s="71"/>
      <c r="M1304" s="5"/>
    </row>
    <row r="1305" spans="1:13" s="3" customFormat="1">
      <c r="A1305" s="1"/>
      <c r="B1305" s="8"/>
      <c r="C1305" s="5"/>
      <c r="D1305" s="12"/>
      <c r="E1305" s="23"/>
      <c r="F1305" s="9"/>
      <c r="G1305" s="5"/>
      <c r="H1305" s="16"/>
      <c r="I1305" s="69"/>
      <c r="J1305" s="70"/>
      <c r="K1305" s="71"/>
      <c r="L1305" s="71"/>
      <c r="M1305" s="5"/>
    </row>
    <row r="1306" spans="1:13" s="3" customFormat="1">
      <c r="A1306" s="1"/>
      <c r="B1306" s="8"/>
      <c r="C1306" s="5"/>
      <c r="D1306" s="12"/>
      <c r="E1306" s="23"/>
      <c r="F1306" s="9"/>
      <c r="G1306" s="5"/>
      <c r="H1306" s="16"/>
      <c r="I1306" s="69"/>
      <c r="J1306" s="70"/>
      <c r="K1306" s="71"/>
      <c r="L1306" s="71"/>
      <c r="M1306" s="5"/>
    </row>
    <row r="1307" spans="1:13" s="3" customFormat="1">
      <c r="A1307" s="1"/>
      <c r="B1307" s="8"/>
      <c r="C1307" s="5"/>
      <c r="D1307" s="12"/>
      <c r="E1307" s="23"/>
      <c r="F1307" s="9"/>
      <c r="G1307" s="5"/>
      <c r="H1307" s="16"/>
      <c r="I1307" s="69"/>
      <c r="J1307" s="70"/>
      <c r="K1307" s="71"/>
      <c r="L1307" s="71"/>
      <c r="M1307" s="5"/>
    </row>
    <row r="1308" spans="1:13" s="3" customFormat="1">
      <c r="A1308" s="1"/>
      <c r="B1308" s="8"/>
      <c r="C1308" s="5"/>
      <c r="D1308" s="12"/>
      <c r="E1308" s="23"/>
      <c r="F1308" s="9"/>
      <c r="G1308" s="5"/>
      <c r="H1308" s="16"/>
      <c r="I1308" s="69"/>
      <c r="J1308" s="70"/>
      <c r="K1308" s="71"/>
      <c r="L1308" s="71"/>
      <c r="M1308" s="5"/>
    </row>
    <row r="1309" spans="1:13" s="3" customFormat="1">
      <c r="A1309" s="1"/>
      <c r="B1309" s="8"/>
      <c r="C1309" s="5"/>
      <c r="D1309" s="12"/>
      <c r="E1309" s="23"/>
      <c r="F1309" s="9"/>
      <c r="G1309" s="5"/>
      <c r="H1309" s="16"/>
      <c r="I1309" s="69"/>
      <c r="J1309" s="70"/>
      <c r="K1309" s="71"/>
      <c r="L1309" s="71"/>
      <c r="M1309" s="5"/>
    </row>
    <row r="1310" spans="1:13" s="3" customFormat="1">
      <c r="A1310" s="1"/>
      <c r="B1310" s="8"/>
      <c r="C1310" s="5"/>
      <c r="D1310" s="12"/>
      <c r="E1310" s="23"/>
      <c r="F1310" s="9"/>
      <c r="G1310" s="5"/>
      <c r="H1310" s="16"/>
      <c r="I1310" s="69"/>
      <c r="J1310" s="70"/>
      <c r="K1310" s="71"/>
      <c r="L1310" s="71"/>
      <c r="M1310" s="5"/>
    </row>
    <row r="1311" spans="1:13" s="3" customFormat="1">
      <c r="A1311" s="1"/>
      <c r="B1311" s="8"/>
      <c r="C1311" s="5"/>
      <c r="D1311" s="12"/>
      <c r="E1311" s="23"/>
      <c r="F1311" s="9"/>
      <c r="G1311" s="5"/>
      <c r="H1311" s="16"/>
      <c r="I1311" s="69"/>
      <c r="J1311" s="70"/>
      <c r="K1311" s="71"/>
      <c r="L1311" s="71"/>
      <c r="M1311" s="5"/>
    </row>
    <row r="1312" spans="1:13" s="3" customFormat="1">
      <c r="A1312" s="1"/>
      <c r="B1312" s="8"/>
      <c r="C1312" s="5"/>
      <c r="D1312" s="12"/>
      <c r="E1312" s="23"/>
      <c r="F1312" s="9"/>
      <c r="G1312" s="5"/>
      <c r="H1312" s="16"/>
      <c r="I1312" s="69"/>
      <c r="J1312" s="70"/>
      <c r="K1312" s="71"/>
      <c r="L1312" s="71"/>
      <c r="M1312" s="5"/>
    </row>
    <row r="1313" spans="1:13" s="3" customFormat="1">
      <c r="A1313" s="1"/>
      <c r="B1313" s="8"/>
      <c r="C1313" s="5"/>
      <c r="D1313" s="12"/>
      <c r="E1313" s="23"/>
      <c r="F1313" s="9"/>
      <c r="G1313" s="5"/>
      <c r="H1313" s="16"/>
      <c r="I1313" s="69"/>
      <c r="J1313" s="70"/>
      <c r="K1313" s="71"/>
      <c r="L1313" s="71"/>
      <c r="M1313" s="5"/>
    </row>
    <row r="1314" spans="1:13" s="3" customFormat="1">
      <c r="A1314" s="1"/>
      <c r="B1314" s="8"/>
      <c r="C1314" s="5"/>
      <c r="D1314" s="12"/>
      <c r="E1314" s="23"/>
      <c r="F1314" s="9"/>
      <c r="G1314" s="5"/>
      <c r="H1314" s="16"/>
      <c r="I1314" s="69"/>
      <c r="J1314" s="70"/>
      <c r="K1314" s="71"/>
      <c r="L1314" s="71"/>
      <c r="M1314" s="5"/>
    </row>
    <row r="1315" spans="1:13" s="3" customFormat="1">
      <c r="A1315" s="1"/>
      <c r="B1315" s="8"/>
      <c r="C1315" s="5"/>
      <c r="D1315" s="12"/>
      <c r="E1315" s="23"/>
      <c r="F1315" s="9"/>
      <c r="G1315" s="5"/>
      <c r="H1315" s="16"/>
      <c r="I1315" s="69"/>
      <c r="J1315" s="70"/>
      <c r="K1315" s="71"/>
      <c r="L1315" s="71"/>
      <c r="M1315" s="5"/>
    </row>
    <row r="1316" spans="1:13" s="3" customFormat="1">
      <c r="A1316" s="1"/>
      <c r="B1316" s="8"/>
      <c r="C1316" s="5"/>
      <c r="D1316" s="12"/>
      <c r="E1316" s="23"/>
      <c r="F1316" s="9"/>
      <c r="G1316" s="5"/>
      <c r="H1316" s="16"/>
      <c r="I1316" s="69"/>
      <c r="J1316" s="70"/>
      <c r="K1316" s="71"/>
      <c r="L1316" s="71"/>
      <c r="M1316" s="5"/>
    </row>
    <row r="1317" spans="1:13" s="3" customFormat="1">
      <c r="A1317" s="1"/>
      <c r="B1317" s="8"/>
      <c r="C1317" s="5"/>
      <c r="D1317" s="12"/>
      <c r="E1317" s="23"/>
      <c r="F1317" s="9"/>
      <c r="G1317" s="5"/>
      <c r="H1317" s="16"/>
      <c r="I1317" s="69"/>
      <c r="J1317" s="70"/>
      <c r="K1317" s="71"/>
      <c r="L1317" s="71"/>
      <c r="M1317" s="5"/>
    </row>
    <row r="1318" spans="1:13" s="3" customFormat="1">
      <c r="A1318" s="1"/>
      <c r="B1318" s="8"/>
      <c r="C1318" s="5"/>
      <c r="D1318" s="12"/>
      <c r="E1318" s="23"/>
      <c r="F1318" s="9"/>
      <c r="G1318" s="5"/>
      <c r="H1318" s="16"/>
      <c r="I1318" s="69"/>
      <c r="J1318" s="70"/>
      <c r="K1318" s="71"/>
      <c r="L1318" s="71"/>
      <c r="M1318" s="5"/>
    </row>
    <row r="1319" spans="1:13" s="3" customFormat="1">
      <c r="A1319" s="1"/>
      <c r="B1319" s="8"/>
      <c r="C1319" s="5"/>
      <c r="D1319" s="12"/>
      <c r="E1319" s="23"/>
      <c r="F1319" s="9"/>
      <c r="G1319" s="5"/>
      <c r="H1319" s="16"/>
      <c r="I1319" s="69"/>
      <c r="J1319" s="70"/>
      <c r="K1319" s="71"/>
      <c r="L1319" s="71"/>
      <c r="M1319" s="5"/>
    </row>
    <row r="1320" spans="1:13" s="3" customFormat="1">
      <c r="A1320" s="1"/>
      <c r="B1320" s="8"/>
      <c r="C1320" s="5"/>
      <c r="D1320" s="12"/>
      <c r="E1320" s="23"/>
      <c r="F1320" s="9"/>
      <c r="G1320" s="5"/>
      <c r="H1320" s="16"/>
      <c r="I1320" s="69"/>
      <c r="J1320" s="70"/>
      <c r="K1320" s="71"/>
      <c r="L1320" s="71"/>
      <c r="M1320" s="5"/>
    </row>
    <row r="1321" spans="1:13" s="3" customFormat="1">
      <c r="A1321" s="1"/>
      <c r="B1321" s="8"/>
      <c r="C1321" s="5"/>
      <c r="D1321" s="12"/>
      <c r="E1321" s="23"/>
      <c r="F1321" s="9"/>
      <c r="G1321" s="5"/>
      <c r="H1321" s="16"/>
      <c r="I1321" s="69"/>
      <c r="J1321" s="70"/>
      <c r="K1321" s="71"/>
      <c r="L1321" s="71"/>
      <c r="M1321" s="5"/>
    </row>
    <row r="1322" spans="1:13" s="3" customFormat="1">
      <c r="A1322" s="1"/>
      <c r="B1322" s="8"/>
      <c r="C1322" s="5"/>
      <c r="D1322" s="12"/>
      <c r="E1322" s="23"/>
      <c r="F1322" s="9"/>
      <c r="G1322" s="5"/>
      <c r="H1322" s="16"/>
      <c r="I1322" s="69"/>
      <c r="J1322" s="70"/>
      <c r="K1322" s="71"/>
      <c r="L1322" s="71"/>
      <c r="M1322" s="5"/>
    </row>
    <row r="1323" spans="1:13" s="3" customFormat="1">
      <c r="A1323" s="1"/>
      <c r="B1323" s="8"/>
      <c r="C1323" s="5"/>
      <c r="D1323" s="12"/>
      <c r="E1323" s="23"/>
      <c r="F1323" s="9"/>
      <c r="G1323" s="5"/>
      <c r="H1323" s="16"/>
      <c r="I1323" s="69"/>
      <c r="J1323" s="70"/>
      <c r="K1323" s="71"/>
      <c r="L1323" s="71"/>
      <c r="M1323" s="5"/>
    </row>
    <row r="1324" spans="1:13" s="3" customFormat="1">
      <c r="A1324" s="1"/>
      <c r="B1324" s="8"/>
      <c r="C1324" s="5"/>
      <c r="D1324" s="12"/>
      <c r="E1324" s="23"/>
      <c r="F1324" s="9"/>
      <c r="G1324" s="5"/>
      <c r="H1324" s="16"/>
      <c r="I1324" s="69"/>
      <c r="J1324" s="70"/>
      <c r="K1324" s="71"/>
      <c r="L1324" s="71"/>
      <c r="M1324" s="5"/>
    </row>
    <row r="1325" spans="1:13" s="3" customFormat="1">
      <c r="A1325" s="1"/>
      <c r="B1325" s="8"/>
      <c r="C1325" s="5"/>
      <c r="D1325" s="12"/>
      <c r="E1325" s="23"/>
      <c r="F1325" s="9"/>
      <c r="G1325" s="5"/>
      <c r="H1325" s="16"/>
      <c r="I1325" s="69"/>
      <c r="J1325" s="70"/>
      <c r="K1325" s="71"/>
      <c r="L1325" s="71"/>
      <c r="M1325" s="5"/>
    </row>
    <row r="1326" spans="1:13" s="3" customFormat="1">
      <c r="A1326" s="1"/>
      <c r="B1326" s="8"/>
      <c r="C1326" s="5"/>
      <c r="D1326" s="12"/>
      <c r="E1326" s="23"/>
      <c r="F1326" s="9"/>
      <c r="G1326" s="5"/>
      <c r="H1326" s="16"/>
      <c r="I1326" s="69"/>
      <c r="J1326" s="70"/>
      <c r="K1326" s="71"/>
      <c r="L1326" s="71"/>
      <c r="M1326" s="5"/>
    </row>
    <row r="1327" spans="1:13" s="3" customFormat="1">
      <c r="A1327" s="1"/>
      <c r="B1327" s="8"/>
      <c r="C1327" s="5"/>
      <c r="D1327" s="12"/>
      <c r="E1327" s="23"/>
      <c r="F1327" s="9"/>
      <c r="G1327" s="5"/>
      <c r="H1327" s="16"/>
      <c r="I1327" s="69"/>
      <c r="J1327" s="70"/>
      <c r="K1327" s="71"/>
      <c r="L1327" s="71"/>
      <c r="M1327" s="5"/>
    </row>
    <row r="1328" spans="1:13" s="3" customFormat="1">
      <c r="A1328" s="1"/>
      <c r="B1328" s="8"/>
      <c r="C1328" s="5"/>
      <c r="D1328" s="12"/>
      <c r="E1328" s="23"/>
      <c r="F1328" s="9"/>
      <c r="G1328" s="5"/>
      <c r="H1328" s="16"/>
      <c r="I1328" s="69"/>
      <c r="J1328" s="70"/>
      <c r="K1328" s="71"/>
      <c r="L1328" s="71"/>
      <c r="M1328" s="5"/>
    </row>
    <row r="1329" spans="1:13" s="3" customFormat="1">
      <c r="A1329" s="1"/>
      <c r="B1329" s="8"/>
      <c r="C1329" s="5"/>
      <c r="D1329" s="12"/>
      <c r="E1329" s="23"/>
      <c r="F1329" s="9"/>
      <c r="G1329" s="5"/>
      <c r="H1329" s="16"/>
      <c r="I1329" s="69"/>
      <c r="J1329" s="70"/>
      <c r="K1329" s="71"/>
      <c r="L1329" s="71"/>
      <c r="M1329" s="5"/>
    </row>
    <row r="1330" spans="1:13" s="3" customFormat="1">
      <c r="A1330" s="1"/>
      <c r="B1330" s="8"/>
      <c r="C1330" s="5"/>
      <c r="D1330" s="12"/>
      <c r="E1330" s="23"/>
      <c r="F1330" s="9"/>
      <c r="G1330" s="5"/>
      <c r="H1330" s="16"/>
      <c r="I1330" s="69"/>
      <c r="J1330" s="70"/>
      <c r="K1330" s="71"/>
      <c r="L1330" s="71"/>
      <c r="M1330" s="5"/>
    </row>
    <row r="1331" spans="1:13" s="3" customFormat="1">
      <c r="A1331" s="1"/>
      <c r="B1331" s="8"/>
      <c r="C1331" s="5"/>
      <c r="D1331" s="12"/>
      <c r="E1331" s="23"/>
      <c r="F1331" s="9"/>
      <c r="G1331" s="5"/>
      <c r="H1331" s="16"/>
      <c r="I1331" s="69"/>
      <c r="J1331" s="70"/>
      <c r="K1331" s="71"/>
      <c r="L1331" s="71"/>
      <c r="M1331" s="5"/>
    </row>
    <row r="1332" spans="1:13" s="3" customFormat="1">
      <c r="A1332" s="1"/>
      <c r="B1332" s="8"/>
      <c r="C1332" s="5"/>
      <c r="D1332" s="12"/>
      <c r="E1332" s="23"/>
      <c r="F1332" s="9"/>
      <c r="G1332" s="5"/>
      <c r="H1332" s="16"/>
      <c r="I1332" s="69"/>
      <c r="J1332" s="70"/>
      <c r="K1332" s="71"/>
      <c r="L1332" s="71"/>
      <c r="M1332" s="5"/>
    </row>
    <row r="1333" spans="1:13" s="3" customFormat="1">
      <c r="A1333" s="1"/>
      <c r="B1333" s="8"/>
      <c r="C1333" s="5"/>
      <c r="D1333" s="12"/>
      <c r="E1333" s="23"/>
      <c r="F1333" s="9"/>
      <c r="G1333" s="5"/>
      <c r="H1333" s="16"/>
      <c r="I1333" s="69"/>
      <c r="J1333" s="70"/>
      <c r="K1333" s="71"/>
      <c r="L1333" s="71"/>
      <c r="M1333" s="5"/>
    </row>
    <row r="1334" spans="1:13" s="3" customFormat="1">
      <c r="A1334" s="1"/>
      <c r="B1334" s="8"/>
      <c r="C1334" s="5"/>
      <c r="D1334" s="12"/>
      <c r="E1334" s="23"/>
      <c r="F1334" s="9"/>
      <c r="G1334" s="5"/>
      <c r="H1334" s="16"/>
      <c r="I1334" s="69"/>
      <c r="J1334" s="70"/>
      <c r="K1334" s="71"/>
      <c r="L1334" s="71"/>
      <c r="M1334" s="5"/>
    </row>
    <row r="1335" spans="1:13" s="3" customFormat="1">
      <c r="A1335" s="1"/>
      <c r="B1335" s="8"/>
      <c r="C1335" s="5"/>
      <c r="D1335" s="12"/>
      <c r="E1335" s="23"/>
      <c r="F1335" s="9"/>
      <c r="G1335" s="5"/>
      <c r="H1335" s="16"/>
      <c r="I1335" s="69"/>
      <c r="J1335" s="70"/>
      <c r="K1335" s="71"/>
      <c r="L1335" s="71"/>
      <c r="M1335" s="5"/>
    </row>
    <row r="1336" spans="1:13" s="3" customFormat="1">
      <c r="A1336" s="1"/>
      <c r="B1336" s="8"/>
      <c r="C1336" s="5"/>
      <c r="D1336" s="12"/>
      <c r="E1336" s="23"/>
      <c r="F1336" s="9"/>
      <c r="G1336" s="5"/>
      <c r="H1336" s="16"/>
      <c r="I1336" s="69"/>
      <c r="J1336" s="70"/>
      <c r="K1336" s="71"/>
      <c r="L1336" s="71"/>
      <c r="M1336" s="5"/>
    </row>
    <row r="1337" spans="1:13" s="3" customFormat="1">
      <c r="A1337" s="1"/>
      <c r="B1337" s="8"/>
      <c r="C1337" s="5"/>
      <c r="D1337" s="12"/>
      <c r="E1337" s="23"/>
      <c r="F1337" s="9"/>
      <c r="G1337" s="5"/>
      <c r="H1337" s="16"/>
      <c r="I1337" s="69"/>
      <c r="J1337" s="70"/>
      <c r="K1337" s="71"/>
      <c r="L1337" s="71"/>
      <c r="M1337" s="5"/>
    </row>
    <row r="1338" spans="1:13" s="3" customFormat="1">
      <c r="A1338" s="1"/>
      <c r="B1338" s="8"/>
      <c r="C1338" s="5"/>
      <c r="D1338" s="12"/>
      <c r="E1338" s="23"/>
      <c r="F1338" s="9"/>
      <c r="G1338" s="5"/>
      <c r="H1338" s="16"/>
      <c r="I1338" s="69"/>
      <c r="J1338" s="70"/>
      <c r="K1338" s="71"/>
      <c r="L1338" s="71"/>
      <c r="M1338" s="5"/>
    </row>
    <row r="1339" spans="1:13" s="3" customFormat="1">
      <c r="A1339" s="1"/>
      <c r="B1339" s="8"/>
      <c r="C1339" s="5"/>
      <c r="D1339" s="12"/>
      <c r="E1339" s="23"/>
      <c r="F1339" s="9"/>
      <c r="G1339" s="5"/>
      <c r="H1339" s="16"/>
      <c r="I1339" s="69"/>
      <c r="J1339" s="70"/>
      <c r="K1339" s="71"/>
      <c r="L1339" s="71"/>
      <c r="M1339" s="5"/>
    </row>
    <row r="1340" spans="1:13" s="3" customFormat="1">
      <c r="A1340" s="1"/>
      <c r="B1340" s="8"/>
      <c r="C1340" s="5"/>
      <c r="D1340" s="12"/>
      <c r="E1340" s="23"/>
      <c r="F1340" s="9"/>
      <c r="G1340" s="5"/>
      <c r="H1340" s="16"/>
      <c r="I1340" s="69"/>
      <c r="J1340" s="70"/>
      <c r="K1340" s="71"/>
      <c r="L1340" s="71"/>
      <c r="M1340" s="5"/>
    </row>
    <row r="1341" spans="1:13" s="3" customFormat="1">
      <c r="A1341" s="1"/>
      <c r="B1341" s="8"/>
      <c r="C1341" s="5"/>
      <c r="D1341" s="12"/>
      <c r="E1341" s="23"/>
      <c r="F1341" s="9"/>
      <c r="G1341" s="5"/>
      <c r="H1341" s="16"/>
      <c r="I1341" s="69"/>
      <c r="J1341" s="70"/>
      <c r="K1341" s="71"/>
      <c r="L1341" s="71"/>
      <c r="M1341" s="5"/>
    </row>
    <row r="1342" spans="1:13" s="3" customFormat="1">
      <c r="A1342" s="1"/>
      <c r="B1342" s="8"/>
      <c r="C1342" s="5"/>
      <c r="D1342" s="12"/>
      <c r="E1342" s="23"/>
      <c r="F1342" s="9"/>
      <c r="G1342" s="5"/>
      <c r="H1342" s="16"/>
      <c r="I1342" s="69"/>
      <c r="J1342" s="70"/>
      <c r="K1342" s="71"/>
      <c r="L1342" s="71"/>
      <c r="M1342" s="5"/>
    </row>
    <row r="1343" spans="1:13" s="3" customFormat="1">
      <c r="A1343" s="1"/>
      <c r="B1343" s="8"/>
      <c r="C1343" s="5"/>
      <c r="D1343" s="12"/>
      <c r="E1343" s="23"/>
      <c r="F1343" s="9"/>
      <c r="G1343" s="5"/>
      <c r="H1343" s="16"/>
      <c r="I1343" s="69"/>
      <c r="J1343" s="70"/>
      <c r="K1343" s="71"/>
      <c r="L1343" s="71"/>
      <c r="M1343" s="5"/>
    </row>
    <row r="1344" spans="1:13" s="3" customFormat="1">
      <c r="A1344" s="1"/>
      <c r="B1344" s="8"/>
      <c r="C1344" s="5"/>
      <c r="D1344" s="12"/>
      <c r="E1344" s="23"/>
      <c r="F1344" s="9"/>
      <c r="G1344" s="5"/>
      <c r="H1344" s="16"/>
      <c r="I1344" s="69"/>
      <c r="J1344" s="70"/>
      <c r="K1344" s="71"/>
      <c r="L1344" s="71"/>
      <c r="M1344" s="5"/>
    </row>
    <row r="1345" spans="1:13" s="3" customFormat="1">
      <c r="A1345" s="1"/>
      <c r="B1345" s="8"/>
      <c r="C1345" s="5"/>
      <c r="D1345" s="12"/>
      <c r="E1345" s="23"/>
      <c r="F1345" s="9"/>
      <c r="G1345" s="5"/>
      <c r="H1345" s="16"/>
      <c r="I1345" s="69"/>
      <c r="J1345" s="70"/>
      <c r="K1345" s="71"/>
      <c r="L1345" s="71"/>
      <c r="M1345" s="5"/>
    </row>
    <row r="1346" spans="1:13" s="3" customFormat="1">
      <c r="A1346" s="1"/>
      <c r="B1346" s="8"/>
      <c r="C1346" s="5"/>
      <c r="D1346" s="12"/>
      <c r="E1346" s="23"/>
      <c r="F1346" s="9"/>
      <c r="G1346" s="5"/>
      <c r="H1346" s="16"/>
      <c r="I1346" s="69"/>
      <c r="J1346" s="70"/>
      <c r="K1346" s="71"/>
      <c r="L1346" s="71"/>
      <c r="M1346" s="5"/>
    </row>
    <row r="1347" spans="1:13" s="3" customFormat="1">
      <c r="A1347" s="1"/>
      <c r="B1347" s="8"/>
      <c r="C1347" s="5"/>
      <c r="D1347" s="12"/>
      <c r="E1347" s="23"/>
      <c r="F1347" s="9"/>
      <c r="G1347" s="5"/>
      <c r="H1347" s="16"/>
      <c r="I1347" s="69"/>
      <c r="J1347" s="70"/>
      <c r="K1347" s="71"/>
      <c r="L1347" s="71"/>
      <c r="M1347" s="5"/>
    </row>
    <row r="1348" spans="1:13" s="3" customFormat="1">
      <c r="A1348" s="1"/>
      <c r="B1348" s="8"/>
      <c r="C1348" s="5"/>
      <c r="D1348" s="12"/>
      <c r="E1348" s="23"/>
      <c r="F1348" s="9"/>
      <c r="G1348" s="5"/>
      <c r="H1348" s="16"/>
      <c r="I1348" s="69"/>
      <c r="J1348" s="70"/>
      <c r="K1348" s="71"/>
      <c r="L1348" s="71"/>
      <c r="M1348" s="5"/>
    </row>
    <row r="1349" spans="1:13" s="3" customFormat="1">
      <c r="A1349" s="1"/>
      <c r="B1349" s="8"/>
      <c r="C1349" s="5"/>
      <c r="D1349" s="12"/>
      <c r="E1349" s="23"/>
      <c r="F1349" s="9"/>
      <c r="G1349" s="5"/>
      <c r="H1349" s="16"/>
      <c r="I1349" s="69"/>
      <c r="J1349" s="70"/>
      <c r="K1349" s="71"/>
      <c r="L1349" s="71"/>
      <c r="M1349" s="5"/>
    </row>
    <row r="1350" spans="1:13" s="3" customFormat="1">
      <c r="A1350" s="1"/>
      <c r="B1350" s="8"/>
      <c r="C1350" s="5"/>
      <c r="D1350" s="12"/>
      <c r="E1350" s="23"/>
      <c r="F1350" s="9"/>
      <c r="G1350" s="5"/>
      <c r="H1350" s="16"/>
      <c r="I1350" s="69"/>
      <c r="J1350" s="70"/>
      <c r="K1350" s="71"/>
      <c r="L1350" s="71"/>
      <c r="M1350" s="5"/>
    </row>
    <row r="1351" spans="1:13" s="3" customFormat="1">
      <c r="A1351" s="1"/>
      <c r="B1351" s="8"/>
      <c r="C1351" s="5"/>
      <c r="D1351" s="12"/>
      <c r="E1351" s="23"/>
      <c r="F1351" s="9"/>
      <c r="G1351" s="5"/>
      <c r="H1351" s="16"/>
      <c r="I1351" s="69"/>
      <c r="J1351" s="70"/>
      <c r="K1351" s="71"/>
      <c r="L1351" s="71"/>
      <c r="M1351" s="5"/>
    </row>
    <row r="1352" spans="1:13" s="3" customFormat="1">
      <c r="A1352" s="1"/>
      <c r="B1352" s="8"/>
      <c r="C1352" s="5"/>
      <c r="D1352" s="12"/>
      <c r="E1352" s="23"/>
      <c r="F1352" s="9"/>
      <c r="G1352" s="5"/>
      <c r="H1352" s="16"/>
      <c r="I1352" s="69"/>
      <c r="J1352" s="70"/>
      <c r="K1352" s="71"/>
      <c r="L1352" s="71"/>
      <c r="M1352" s="5"/>
    </row>
    <row r="1353" spans="1:13" s="3" customFormat="1">
      <c r="A1353" s="1"/>
      <c r="B1353" s="8"/>
      <c r="C1353" s="5"/>
      <c r="D1353" s="12"/>
      <c r="E1353" s="23"/>
      <c r="F1353" s="9"/>
      <c r="G1353" s="5"/>
      <c r="H1353" s="16"/>
      <c r="I1353" s="69"/>
      <c r="J1353" s="70"/>
      <c r="K1353" s="71"/>
      <c r="L1353" s="71"/>
      <c r="M1353" s="5"/>
    </row>
    <row r="1354" spans="1:13" s="3" customFormat="1">
      <c r="A1354" s="1"/>
      <c r="B1354" s="8"/>
      <c r="C1354" s="5"/>
      <c r="D1354" s="12"/>
      <c r="E1354" s="23"/>
      <c r="F1354" s="9"/>
      <c r="G1354" s="5"/>
      <c r="H1354" s="16"/>
      <c r="I1354" s="69"/>
      <c r="J1354" s="70"/>
      <c r="K1354" s="71"/>
      <c r="L1354" s="71"/>
      <c r="M1354" s="5"/>
    </row>
    <row r="1355" spans="1:13" s="3" customFormat="1">
      <c r="A1355" s="1"/>
      <c r="B1355" s="8"/>
      <c r="C1355" s="5"/>
      <c r="D1355" s="12"/>
      <c r="E1355" s="23"/>
      <c r="F1355" s="9"/>
      <c r="G1355" s="5"/>
      <c r="H1355" s="16"/>
      <c r="I1355" s="69"/>
      <c r="J1355" s="70"/>
      <c r="K1355" s="71"/>
      <c r="L1355" s="71"/>
      <c r="M1355" s="5"/>
    </row>
    <row r="1356" spans="1:13" s="3" customFormat="1">
      <c r="A1356" s="1"/>
      <c r="B1356" s="8"/>
      <c r="C1356" s="5"/>
      <c r="D1356" s="12"/>
      <c r="E1356" s="23"/>
      <c r="F1356" s="9"/>
      <c r="G1356" s="5"/>
      <c r="H1356" s="16"/>
      <c r="I1356" s="69"/>
      <c r="J1356" s="70"/>
      <c r="K1356" s="71"/>
      <c r="L1356" s="71"/>
      <c r="M1356" s="5"/>
    </row>
    <row r="1357" spans="1:13" s="3" customFormat="1">
      <c r="A1357" s="1"/>
      <c r="B1357" s="8"/>
      <c r="C1357" s="5"/>
      <c r="D1357" s="12"/>
      <c r="E1357" s="23"/>
      <c r="F1357" s="9"/>
      <c r="G1357" s="5"/>
      <c r="H1357" s="16"/>
      <c r="I1357" s="69"/>
      <c r="J1357" s="70"/>
      <c r="K1357" s="71"/>
      <c r="L1357" s="71"/>
      <c r="M1357" s="5"/>
    </row>
    <row r="1358" spans="1:13" s="3" customFormat="1">
      <c r="A1358" s="1"/>
      <c r="B1358" s="8"/>
      <c r="C1358" s="5"/>
      <c r="D1358" s="12"/>
      <c r="E1358" s="23"/>
      <c r="F1358" s="9"/>
      <c r="G1358" s="5"/>
      <c r="H1358" s="16"/>
      <c r="I1358" s="69"/>
      <c r="J1358" s="70"/>
      <c r="K1358" s="71"/>
      <c r="L1358" s="71"/>
      <c r="M1358" s="5"/>
    </row>
    <row r="1359" spans="1:13" s="3" customFormat="1">
      <c r="A1359" s="1"/>
      <c r="B1359" s="8"/>
      <c r="C1359" s="5"/>
      <c r="D1359" s="12"/>
      <c r="E1359" s="23"/>
      <c r="F1359" s="9"/>
      <c r="G1359" s="5"/>
      <c r="H1359" s="16"/>
      <c r="I1359" s="69"/>
      <c r="J1359" s="70"/>
      <c r="K1359" s="71"/>
      <c r="L1359" s="71"/>
      <c r="M1359" s="5"/>
    </row>
    <row r="1360" spans="1:13" s="3" customFormat="1">
      <c r="A1360" s="1"/>
      <c r="B1360" s="8"/>
      <c r="C1360" s="5"/>
      <c r="D1360" s="12"/>
      <c r="E1360" s="23"/>
      <c r="F1360" s="9"/>
      <c r="G1360" s="5"/>
      <c r="H1360" s="16"/>
      <c r="I1360" s="69"/>
      <c r="J1360" s="70"/>
      <c r="K1360" s="71"/>
      <c r="L1360" s="71"/>
      <c r="M1360" s="5"/>
    </row>
    <row r="1361" spans="1:13" s="3" customFormat="1">
      <c r="A1361" s="1"/>
      <c r="B1361" s="8"/>
      <c r="C1361" s="5"/>
      <c r="D1361" s="12"/>
      <c r="E1361" s="23"/>
      <c r="F1361" s="9"/>
      <c r="G1361" s="5"/>
      <c r="H1361" s="16"/>
      <c r="I1361" s="69"/>
      <c r="J1361" s="70"/>
      <c r="K1361" s="71"/>
      <c r="L1361" s="71"/>
      <c r="M1361" s="5"/>
    </row>
    <row r="1362" spans="1:13" s="3" customFormat="1">
      <c r="A1362" s="1"/>
      <c r="B1362" s="8"/>
      <c r="C1362" s="5"/>
      <c r="D1362" s="12"/>
      <c r="E1362" s="23"/>
      <c r="F1362" s="9"/>
      <c r="G1362" s="5"/>
      <c r="H1362" s="16"/>
      <c r="I1362" s="69"/>
      <c r="J1362" s="70"/>
      <c r="K1362" s="71"/>
      <c r="L1362" s="71"/>
      <c r="M1362" s="5"/>
    </row>
    <row r="1363" spans="1:13" s="3" customFormat="1">
      <c r="A1363" s="1"/>
      <c r="B1363" s="8"/>
      <c r="C1363" s="5"/>
      <c r="D1363" s="12"/>
      <c r="E1363" s="23"/>
      <c r="F1363" s="9"/>
      <c r="G1363" s="5"/>
      <c r="H1363" s="16"/>
      <c r="I1363" s="69"/>
      <c r="J1363" s="70"/>
      <c r="K1363" s="71"/>
      <c r="L1363" s="71"/>
      <c r="M1363" s="5"/>
    </row>
    <row r="1364" spans="1:13" s="3" customFormat="1">
      <c r="A1364" s="1"/>
      <c r="B1364" s="8"/>
      <c r="C1364" s="5"/>
      <c r="D1364" s="12"/>
      <c r="E1364" s="23"/>
      <c r="F1364" s="9"/>
      <c r="G1364" s="5"/>
      <c r="H1364" s="16"/>
      <c r="I1364" s="69"/>
      <c r="J1364" s="70"/>
      <c r="K1364" s="71"/>
      <c r="L1364" s="71"/>
      <c r="M1364" s="5"/>
    </row>
    <row r="1365" spans="1:13" s="3" customFormat="1">
      <c r="A1365" s="1"/>
      <c r="B1365" s="8"/>
      <c r="C1365" s="5"/>
      <c r="D1365" s="12"/>
      <c r="E1365" s="23"/>
      <c r="F1365" s="9"/>
      <c r="G1365" s="5"/>
      <c r="H1365" s="16"/>
      <c r="I1365" s="69"/>
      <c r="J1365" s="70"/>
      <c r="K1365" s="71"/>
      <c r="L1365" s="71"/>
      <c r="M1365" s="5"/>
    </row>
    <row r="1366" spans="1:13" s="3" customFormat="1">
      <c r="A1366" s="1"/>
      <c r="B1366" s="8"/>
      <c r="C1366" s="5"/>
      <c r="D1366" s="12"/>
      <c r="E1366" s="23"/>
      <c r="F1366" s="9"/>
      <c r="G1366" s="5"/>
      <c r="H1366" s="16"/>
      <c r="I1366" s="69"/>
      <c r="J1366" s="70"/>
      <c r="K1366" s="71"/>
      <c r="L1366" s="71"/>
      <c r="M1366" s="5"/>
    </row>
    <row r="1367" spans="1:13" s="3" customFormat="1">
      <c r="A1367" s="1"/>
      <c r="B1367" s="8"/>
      <c r="C1367" s="5"/>
      <c r="D1367" s="12"/>
      <c r="E1367" s="23"/>
      <c r="F1367" s="9"/>
      <c r="G1367" s="5"/>
      <c r="H1367" s="16"/>
      <c r="I1367" s="69"/>
      <c r="J1367" s="70"/>
      <c r="K1367" s="71"/>
      <c r="L1367" s="71"/>
      <c r="M1367" s="5"/>
    </row>
    <row r="1368" spans="1:13" s="3" customFormat="1">
      <c r="A1368" s="1"/>
      <c r="B1368" s="8"/>
      <c r="C1368" s="5"/>
      <c r="D1368" s="12"/>
      <c r="E1368" s="23"/>
      <c r="F1368" s="9"/>
      <c r="G1368" s="5"/>
      <c r="H1368" s="16"/>
      <c r="I1368" s="69"/>
      <c r="J1368" s="70"/>
      <c r="K1368" s="71"/>
      <c r="L1368" s="71"/>
      <c r="M1368" s="5"/>
    </row>
    <row r="1369" spans="1:13" s="3" customFormat="1">
      <c r="A1369" s="1"/>
      <c r="B1369" s="8"/>
      <c r="C1369" s="5"/>
      <c r="D1369" s="12"/>
      <c r="E1369" s="23"/>
      <c r="F1369" s="9"/>
      <c r="G1369" s="5"/>
      <c r="H1369" s="16"/>
      <c r="I1369" s="69"/>
      <c r="J1369" s="70"/>
      <c r="K1369" s="71"/>
      <c r="L1369" s="71"/>
      <c r="M1369" s="5"/>
    </row>
    <row r="1370" spans="1:13" s="3" customFormat="1">
      <c r="A1370" s="1"/>
      <c r="B1370" s="8"/>
      <c r="C1370" s="5"/>
      <c r="D1370" s="12"/>
      <c r="E1370" s="23"/>
      <c r="F1370" s="9"/>
      <c r="G1370" s="5"/>
      <c r="H1370" s="16"/>
      <c r="I1370" s="69"/>
      <c r="J1370" s="70"/>
      <c r="K1370" s="71"/>
      <c r="L1370" s="71"/>
      <c r="M1370" s="5"/>
    </row>
    <row r="1371" spans="1:13" s="3" customFormat="1">
      <c r="A1371" s="1"/>
      <c r="B1371" s="8"/>
      <c r="C1371" s="5"/>
      <c r="D1371" s="12"/>
      <c r="E1371" s="23"/>
      <c r="F1371" s="9"/>
      <c r="G1371" s="5"/>
      <c r="H1371" s="16"/>
      <c r="I1371" s="69"/>
      <c r="J1371" s="70"/>
      <c r="K1371" s="71"/>
      <c r="L1371" s="71"/>
      <c r="M1371" s="5"/>
    </row>
    <row r="1372" spans="1:13" s="3" customFormat="1">
      <c r="A1372" s="1"/>
      <c r="B1372" s="8"/>
      <c r="C1372" s="5"/>
      <c r="D1372" s="12"/>
      <c r="E1372" s="23"/>
      <c r="F1372" s="9"/>
      <c r="G1372" s="5"/>
      <c r="H1372" s="16"/>
      <c r="I1372" s="69"/>
      <c r="J1372" s="70"/>
      <c r="K1372" s="71"/>
      <c r="L1372" s="71"/>
      <c r="M1372" s="5"/>
    </row>
    <row r="1373" spans="1:13" s="3" customFormat="1">
      <c r="A1373" s="1"/>
      <c r="B1373" s="8"/>
      <c r="C1373" s="5"/>
      <c r="D1373" s="12"/>
      <c r="E1373" s="23"/>
      <c r="F1373" s="9"/>
      <c r="G1373" s="5"/>
      <c r="H1373" s="16"/>
      <c r="I1373" s="69"/>
      <c r="J1373" s="70"/>
      <c r="K1373" s="71"/>
      <c r="L1373" s="71"/>
      <c r="M1373" s="5"/>
    </row>
    <row r="1374" spans="1:13" s="3" customFormat="1">
      <c r="A1374" s="1"/>
      <c r="B1374" s="8"/>
      <c r="C1374" s="5"/>
      <c r="D1374" s="12"/>
      <c r="E1374" s="23"/>
      <c r="F1374" s="9"/>
      <c r="G1374" s="5"/>
      <c r="H1374" s="16"/>
      <c r="I1374" s="69"/>
      <c r="J1374" s="70"/>
      <c r="K1374" s="71"/>
      <c r="L1374" s="71"/>
      <c r="M1374" s="5"/>
    </row>
    <row r="1375" spans="1:13" s="3" customFormat="1">
      <c r="A1375" s="1"/>
      <c r="B1375" s="8"/>
      <c r="C1375" s="5"/>
      <c r="D1375" s="12"/>
      <c r="E1375" s="23"/>
      <c r="F1375" s="9"/>
      <c r="G1375" s="5"/>
      <c r="H1375" s="16"/>
      <c r="I1375" s="69"/>
      <c r="J1375" s="70"/>
      <c r="K1375" s="71"/>
      <c r="L1375" s="71"/>
      <c r="M1375" s="5"/>
    </row>
    <row r="1376" spans="1:13" s="3" customFormat="1">
      <c r="A1376" s="1"/>
      <c r="B1376" s="8"/>
      <c r="C1376" s="5"/>
      <c r="D1376" s="12"/>
      <c r="E1376" s="23"/>
      <c r="F1376" s="9"/>
      <c r="G1376" s="5"/>
      <c r="H1376" s="16"/>
      <c r="I1376" s="69"/>
      <c r="J1376" s="70"/>
      <c r="K1376" s="71"/>
      <c r="L1376" s="71"/>
      <c r="M1376" s="5"/>
    </row>
    <row r="1377" spans="1:13" s="3" customFormat="1">
      <c r="A1377" s="1"/>
      <c r="B1377" s="8"/>
      <c r="C1377" s="5"/>
      <c r="D1377" s="12"/>
      <c r="E1377" s="23"/>
      <c r="F1377" s="9"/>
      <c r="G1377" s="5"/>
      <c r="H1377" s="16"/>
      <c r="I1377" s="69"/>
      <c r="J1377" s="70"/>
      <c r="K1377" s="71"/>
      <c r="L1377" s="71"/>
      <c r="M1377" s="5"/>
    </row>
    <row r="1378" spans="1:13" s="3" customFormat="1">
      <c r="A1378" s="1"/>
      <c r="B1378" s="8"/>
      <c r="C1378" s="5"/>
      <c r="D1378" s="12"/>
      <c r="E1378" s="23"/>
      <c r="F1378" s="9"/>
      <c r="G1378" s="5"/>
      <c r="H1378" s="16"/>
      <c r="I1378" s="69"/>
      <c r="J1378" s="70"/>
      <c r="K1378" s="71"/>
      <c r="L1378" s="71"/>
      <c r="M1378" s="5"/>
    </row>
    <row r="1379" spans="1:13" s="3" customFormat="1">
      <c r="A1379" s="1"/>
      <c r="B1379" s="8"/>
      <c r="C1379" s="5"/>
      <c r="D1379" s="12"/>
      <c r="E1379" s="23"/>
      <c r="F1379" s="9"/>
      <c r="G1379" s="5"/>
      <c r="H1379" s="16"/>
      <c r="I1379" s="69"/>
      <c r="J1379" s="70"/>
      <c r="K1379" s="71"/>
      <c r="L1379" s="71"/>
      <c r="M1379" s="5"/>
    </row>
    <row r="1380" spans="1:13" s="3" customFormat="1">
      <c r="A1380" s="1"/>
      <c r="B1380" s="8"/>
      <c r="C1380" s="5"/>
      <c r="D1380" s="12"/>
      <c r="E1380" s="23"/>
      <c r="F1380" s="9"/>
      <c r="G1380" s="5"/>
      <c r="H1380" s="16"/>
      <c r="I1380" s="69"/>
      <c r="J1380" s="70"/>
      <c r="K1380" s="71"/>
      <c r="L1380" s="71"/>
      <c r="M1380" s="5"/>
    </row>
    <row r="1381" spans="1:13" s="3" customFormat="1">
      <c r="A1381" s="1"/>
      <c r="B1381" s="8"/>
      <c r="C1381" s="5"/>
      <c r="D1381" s="12"/>
      <c r="E1381" s="23"/>
      <c r="F1381" s="9"/>
      <c r="G1381" s="5"/>
      <c r="H1381" s="16"/>
      <c r="I1381" s="69"/>
      <c r="J1381" s="70"/>
      <c r="K1381" s="71"/>
      <c r="L1381" s="71"/>
      <c r="M1381" s="5"/>
    </row>
    <row r="1382" spans="1:13" s="3" customFormat="1">
      <c r="A1382" s="1"/>
      <c r="B1382" s="8"/>
      <c r="C1382" s="5"/>
      <c r="D1382" s="12"/>
      <c r="E1382" s="23"/>
      <c r="F1382" s="9"/>
      <c r="G1382" s="5"/>
      <c r="H1382" s="16"/>
      <c r="I1382" s="69"/>
      <c r="J1382" s="70"/>
      <c r="K1382" s="71"/>
      <c r="L1382" s="71"/>
      <c r="M1382" s="5"/>
    </row>
    <row r="1383" spans="1:13" s="3" customFormat="1">
      <c r="A1383" s="1"/>
      <c r="B1383" s="8"/>
      <c r="C1383" s="5"/>
      <c r="D1383" s="12"/>
      <c r="E1383" s="23"/>
      <c r="F1383" s="9"/>
      <c r="G1383" s="5"/>
      <c r="H1383" s="16"/>
      <c r="I1383" s="69"/>
      <c r="J1383" s="70"/>
      <c r="K1383" s="71"/>
      <c r="L1383" s="71"/>
      <c r="M1383" s="5"/>
    </row>
    <row r="1384" spans="1:13" s="3" customFormat="1">
      <c r="A1384" s="1"/>
      <c r="B1384" s="8"/>
      <c r="C1384" s="5"/>
      <c r="D1384" s="12"/>
      <c r="E1384" s="23"/>
      <c r="F1384" s="9"/>
      <c r="G1384" s="5"/>
      <c r="H1384" s="16"/>
      <c r="I1384" s="69"/>
      <c r="J1384" s="70"/>
      <c r="K1384" s="71"/>
      <c r="L1384" s="71"/>
      <c r="M1384" s="5"/>
    </row>
    <row r="1385" spans="1:13" s="3" customFormat="1">
      <c r="A1385" s="1"/>
      <c r="B1385" s="8"/>
      <c r="C1385" s="5"/>
      <c r="D1385" s="12"/>
      <c r="E1385" s="23"/>
      <c r="F1385" s="9"/>
      <c r="G1385" s="5"/>
      <c r="H1385" s="16"/>
      <c r="I1385" s="69"/>
      <c r="J1385" s="70"/>
      <c r="K1385" s="71"/>
      <c r="L1385" s="71"/>
      <c r="M1385" s="5"/>
    </row>
    <row r="1386" spans="1:13" s="3" customFormat="1">
      <c r="A1386" s="1"/>
      <c r="B1386" s="8"/>
      <c r="C1386" s="5"/>
      <c r="D1386" s="12"/>
      <c r="E1386" s="23"/>
      <c r="F1386" s="9"/>
      <c r="G1386" s="5"/>
      <c r="H1386" s="16"/>
      <c r="I1386" s="69"/>
      <c r="J1386" s="70"/>
      <c r="K1386" s="71"/>
      <c r="L1386" s="71"/>
      <c r="M1386" s="5"/>
    </row>
    <row r="1387" spans="1:13" s="3" customFormat="1">
      <c r="A1387" s="1"/>
      <c r="B1387" s="8"/>
      <c r="C1387" s="5"/>
      <c r="D1387" s="12"/>
      <c r="E1387" s="23"/>
      <c r="F1387" s="9"/>
      <c r="G1387" s="5"/>
      <c r="H1387" s="16"/>
      <c r="I1387" s="69"/>
      <c r="J1387" s="70"/>
      <c r="K1387" s="71"/>
      <c r="L1387" s="71"/>
      <c r="M1387" s="5"/>
    </row>
    <row r="1388" spans="1:13" s="3" customFormat="1">
      <c r="A1388" s="1"/>
      <c r="B1388" s="8"/>
      <c r="C1388" s="5"/>
      <c r="D1388" s="12"/>
      <c r="E1388" s="23"/>
      <c r="F1388" s="9"/>
      <c r="G1388" s="5"/>
      <c r="H1388" s="16"/>
      <c r="I1388" s="69"/>
      <c r="J1388" s="70"/>
      <c r="K1388" s="71"/>
      <c r="L1388" s="71"/>
      <c r="M1388" s="5"/>
    </row>
    <row r="1389" spans="1:13" s="3" customFormat="1">
      <c r="A1389" s="1"/>
      <c r="B1389" s="8"/>
      <c r="C1389" s="5"/>
      <c r="D1389" s="12"/>
      <c r="E1389" s="23"/>
      <c r="F1389" s="9"/>
      <c r="G1389" s="5"/>
      <c r="H1389" s="16"/>
      <c r="I1389" s="69"/>
      <c r="J1389" s="70"/>
      <c r="K1389" s="71"/>
      <c r="L1389" s="71"/>
      <c r="M1389" s="5"/>
    </row>
    <row r="1390" spans="1:13" s="3" customFormat="1">
      <c r="A1390" s="1"/>
      <c r="B1390" s="8"/>
      <c r="C1390" s="5"/>
      <c r="D1390" s="12"/>
      <c r="E1390" s="23"/>
      <c r="F1390" s="9"/>
      <c r="G1390" s="5"/>
      <c r="H1390" s="16"/>
      <c r="I1390" s="69"/>
      <c r="J1390" s="70"/>
      <c r="K1390" s="71"/>
      <c r="L1390" s="71"/>
      <c r="M1390" s="5"/>
    </row>
    <row r="1391" spans="1:13" s="3" customFormat="1">
      <c r="A1391" s="1"/>
      <c r="B1391" s="8"/>
      <c r="C1391" s="5"/>
      <c r="D1391" s="12"/>
      <c r="E1391" s="23"/>
      <c r="F1391" s="9"/>
      <c r="G1391" s="5"/>
      <c r="H1391" s="16"/>
      <c r="I1391" s="69"/>
      <c r="J1391" s="70"/>
      <c r="K1391" s="71"/>
      <c r="L1391" s="71"/>
      <c r="M1391" s="5"/>
    </row>
    <row r="1392" spans="1:13" s="3" customFormat="1">
      <c r="A1392" s="1"/>
      <c r="B1392" s="8"/>
      <c r="C1392" s="5"/>
      <c r="D1392" s="12"/>
      <c r="E1392" s="23"/>
      <c r="F1392" s="9"/>
      <c r="G1392" s="5"/>
      <c r="H1392" s="16"/>
      <c r="I1392" s="69"/>
      <c r="J1392" s="70"/>
      <c r="K1392" s="71"/>
      <c r="L1392" s="71"/>
      <c r="M1392" s="5"/>
    </row>
    <row r="1393" spans="1:13" s="3" customFormat="1">
      <c r="A1393" s="1"/>
      <c r="B1393" s="8"/>
      <c r="C1393" s="5"/>
      <c r="D1393" s="12"/>
      <c r="E1393" s="23"/>
      <c r="F1393" s="9"/>
      <c r="G1393" s="5"/>
      <c r="H1393" s="16"/>
      <c r="I1393" s="69"/>
      <c r="J1393" s="70"/>
      <c r="K1393" s="71"/>
      <c r="L1393" s="71"/>
      <c r="M1393" s="5"/>
    </row>
    <row r="1394" spans="1:13" s="3" customFormat="1">
      <c r="A1394" s="1"/>
      <c r="B1394" s="8"/>
      <c r="C1394" s="5"/>
      <c r="D1394" s="12"/>
      <c r="E1394" s="23"/>
      <c r="F1394" s="9"/>
      <c r="G1394" s="5"/>
      <c r="H1394" s="16"/>
      <c r="I1394" s="69"/>
      <c r="J1394" s="70"/>
      <c r="K1394" s="71"/>
      <c r="L1394" s="71"/>
      <c r="M1394" s="5"/>
    </row>
    <row r="1395" spans="1:13" s="3" customFormat="1">
      <c r="A1395" s="1"/>
      <c r="B1395" s="8"/>
      <c r="C1395" s="5"/>
      <c r="D1395" s="12"/>
      <c r="E1395" s="23"/>
      <c r="F1395" s="9"/>
      <c r="G1395" s="5"/>
      <c r="H1395" s="16"/>
      <c r="I1395" s="69"/>
      <c r="J1395" s="70"/>
      <c r="K1395" s="71"/>
      <c r="L1395" s="71"/>
      <c r="M1395" s="5"/>
    </row>
    <row r="1396" spans="1:13" s="3" customFormat="1">
      <c r="A1396" s="1"/>
      <c r="B1396" s="8"/>
      <c r="C1396" s="5"/>
      <c r="D1396" s="12"/>
      <c r="E1396" s="23"/>
      <c r="F1396" s="9"/>
      <c r="G1396" s="5"/>
      <c r="H1396" s="16"/>
      <c r="I1396" s="69"/>
      <c r="J1396" s="70"/>
      <c r="K1396" s="71"/>
      <c r="L1396" s="71"/>
      <c r="M1396" s="5"/>
    </row>
    <row r="1397" spans="1:13" s="3" customFormat="1">
      <c r="A1397" s="1"/>
      <c r="B1397" s="8"/>
      <c r="C1397" s="5"/>
      <c r="D1397" s="12"/>
      <c r="E1397" s="23"/>
      <c r="F1397" s="9"/>
      <c r="G1397" s="5"/>
      <c r="H1397" s="16"/>
      <c r="I1397" s="69"/>
      <c r="J1397" s="70"/>
      <c r="K1397" s="71"/>
      <c r="L1397" s="71"/>
      <c r="M1397" s="5"/>
    </row>
    <row r="1398" spans="1:13" s="3" customFormat="1">
      <c r="A1398" s="1"/>
      <c r="B1398" s="8"/>
      <c r="C1398" s="5"/>
      <c r="D1398" s="12"/>
      <c r="E1398" s="23"/>
      <c r="F1398" s="9"/>
      <c r="G1398" s="5"/>
      <c r="H1398" s="16"/>
      <c r="I1398" s="69"/>
      <c r="J1398" s="70"/>
      <c r="K1398" s="71"/>
      <c r="L1398" s="71"/>
      <c r="M1398" s="5"/>
    </row>
    <row r="1399" spans="1:13" s="3" customFormat="1">
      <c r="A1399" s="1"/>
      <c r="B1399" s="8"/>
      <c r="C1399" s="5"/>
      <c r="D1399" s="12"/>
      <c r="E1399" s="23"/>
      <c r="F1399" s="9"/>
      <c r="G1399" s="5"/>
      <c r="H1399" s="16"/>
      <c r="I1399" s="69"/>
      <c r="J1399" s="70"/>
      <c r="K1399" s="71"/>
      <c r="L1399" s="71"/>
      <c r="M1399" s="5"/>
    </row>
    <row r="1400" spans="1:13" s="3" customFormat="1">
      <c r="A1400" s="1"/>
      <c r="B1400" s="8"/>
      <c r="C1400" s="5"/>
      <c r="D1400" s="12"/>
      <c r="E1400" s="23"/>
      <c r="F1400" s="9"/>
      <c r="G1400" s="5"/>
      <c r="H1400" s="16"/>
      <c r="I1400" s="69"/>
      <c r="J1400" s="70"/>
      <c r="K1400" s="71"/>
      <c r="L1400" s="71"/>
      <c r="M1400" s="5"/>
    </row>
    <row r="1401" spans="1:13" s="3" customFormat="1">
      <c r="A1401" s="1"/>
      <c r="B1401" s="8"/>
      <c r="C1401" s="5"/>
      <c r="D1401" s="12"/>
      <c r="E1401" s="23"/>
      <c r="F1401" s="9"/>
      <c r="G1401" s="5"/>
      <c r="H1401" s="16"/>
      <c r="I1401" s="69"/>
      <c r="J1401" s="70"/>
      <c r="K1401" s="71"/>
      <c r="L1401" s="71"/>
      <c r="M1401" s="5"/>
    </row>
    <row r="1402" spans="1:13" s="3" customFormat="1">
      <c r="A1402" s="1"/>
      <c r="B1402" s="8"/>
      <c r="C1402" s="5"/>
      <c r="D1402" s="12"/>
      <c r="E1402" s="23"/>
      <c r="F1402" s="9"/>
      <c r="G1402" s="5"/>
      <c r="H1402" s="16"/>
      <c r="I1402" s="69"/>
      <c r="J1402" s="70"/>
      <c r="K1402" s="71"/>
      <c r="L1402" s="71"/>
      <c r="M1402" s="5"/>
    </row>
    <row r="1403" spans="1:13" s="3" customFormat="1">
      <c r="A1403" s="1"/>
      <c r="B1403" s="8"/>
      <c r="C1403" s="5"/>
      <c r="D1403" s="12"/>
      <c r="E1403" s="23"/>
      <c r="F1403" s="9"/>
      <c r="G1403" s="5"/>
      <c r="H1403" s="16"/>
      <c r="I1403" s="69"/>
      <c r="J1403" s="70"/>
      <c r="K1403" s="71"/>
      <c r="L1403" s="71"/>
      <c r="M1403" s="5"/>
    </row>
    <row r="1404" spans="1:13" s="3" customFormat="1">
      <c r="A1404" s="1"/>
      <c r="B1404" s="8"/>
      <c r="C1404" s="5"/>
      <c r="D1404" s="12"/>
      <c r="E1404" s="23"/>
      <c r="F1404" s="9"/>
      <c r="G1404" s="5"/>
      <c r="H1404" s="16"/>
      <c r="I1404" s="69"/>
      <c r="J1404" s="70"/>
      <c r="K1404" s="71"/>
      <c r="L1404" s="71"/>
      <c r="M1404" s="5"/>
    </row>
    <row r="1405" spans="1:13" s="3" customFormat="1">
      <c r="A1405" s="1"/>
      <c r="B1405" s="8"/>
      <c r="C1405" s="5"/>
      <c r="D1405" s="12"/>
      <c r="E1405" s="23"/>
      <c r="F1405" s="9"/>
      <c r="G1405" s="5"/>
      <c r="H1405" s="16"/>
      <c r="I1405" s="69"/>
      <c r="J1405" s="70"/>
      <c r="K1405" s="71"/>
      <c r="L1405" s="71"/>
      <c r="M1405" s="5"/>
    </row>
    <row r="1406" spans="1:13" s="3" customFormat="1">
      <c r="A1406" s="1"/>
      <c r="B1406" s="8"/>
      <c r="C1406" s="5"/>
      <c r="D1406" s="12"/>
      <c r="E1406" s="23"/>
      <c r="F1406" s="9"/>
      <c r="G1406" s="5"/>
      <c r="H1406" s="16"/>
      <c r="I1406" s="69"/>
      <c r="J1406" s="70"/>
      <c r="K1406" s="71"/>
      <c r="L1406" s="71"/>
      <c r="M1406" s="5"/>
    </row>
    <row r="1407" spans="1:13" s="3" customFormat="1">
      <c r="A1407" s="1"/>
      <c r="B1407" s="8"/>
      <c r="C1407" s="5"/>
      <c r="D1407" s="12"/>
      <c r="E1407" s="23"/>
      <c r="F1407" s="9"/>
      <c r="G1407" s="5"/>
      <c r="H1407" s="16"/>
      <c r="I1407" s="69"/>
      <c r="J1407" s="70"/>
      <c r="K1407" s="71"/>
      <c r="L1407" s="71"/>
      <c r="M1407" s="5"/>
    </row>
    <row r="1408" spans="1:13" s="3" customFormat="1">
      <c r="A1408" s="1"/>
      <c r="B1408" s="8"/>
      <c r="C1408" s="5"/>
      <c r="D1408" s="12"/>
      <c r="E1408" s="23"/>
      <c r="F1408" s="9"/>
      <c r="G1408" s="5"/>
      <c r="H1408" s="16"/>
      <c r="I1408" s="69"/>
      <c r="J1408" s="70"/>
      <c r="K1408" s="71"/>
      <c r="L1408" s="71"/>
      <c r="M1408" s="5"/>
    </row>
    <row r="1409" spans="1:13" s="3" customFormat="1">
      <c r="A1409" s="1"/>
      <c r="B1409" s="8"/>
      <c r="C1409" s="5"/>
      <c r="D1409" s="12"/>
      <c r="E1409" s="23"/>
      <c r="F1409" s="9"/>
      <c r="G1409" s="5"/>
      <c r="H1409" s="16"/>
      <c r="I1409" s="69"/>
      <c r="J1409" s="70"/>
      <c r="K1409" s="71"/>
      <c r="L1409" s="71"/>
      <c r="M1409" s="5"/>
    </row>
    <row r="1410" spans="1:13" s="3" customFormat="1">
      <c r="A1410" s="1"/>
      <c r="B1410" s="8"/>
      <c r="C1410" s="5"/>
      <c r="D1410" s="12"/>
      <c r="E1410" s="23"/>
      <c r="F1410" s="9"/>
      <c r="G1410" s="5"/>
      <c r="H1410" s="16"/>
      <c r="I1410" s="69"/>
      <c r="J1410" s="70"/>
      <c r="K1410" s="71"/>
      <c r="L1410" s="71"/>
      <c r="M1410" s="5"/>
    </row>
    <row r="1411" spans="1:13" s="3" customFormat="1">
      <c r="A1411" s="1"/>
      <c r="B1411" s="8"/>
      <c r="C1411" s="5"/>
      <c r="D1411" s="12"/>
      <c r="E1411" s="23"/>
      <c r="F1411" s="9"/>
      <c r="G1411" s="5"/>
      <c r="H1411" s="16"/>
      <c r="I1411" s="69"/>
      <c r="J1411" s="70"/>
      <c r="K1411" s="71"/>
      <c r="L1411" s="71"/>
      <c r="M1411" s="5"/>
    </row>
    <row r="1412" spans="1:13" s="3" customFormat="1">
      <c r="A1412" s="1"/>
      <c r="B1412" s="8"/>
      <c r="C1412" s="5"/>
      <c r="D1412" s="12"/>
      <c r="E1412" s="23"/>
      <c r="F1412" s="9"/>
      <c r="G1412" s="5"/>
      <c r="H1412" s="16"/>
      <c r="I1412" s="69"/>
      <c r="J1412" s="70"/>
      <c r="K1412" s="71"/>
      <c r="L1412" s="71"/>
      <c r="M1412" s="5"/>
    </row>
    <row r="1413" spans="1:13" s="3" customFormat="1">
      <c r="A1413" s="1"/>
      <c r="B1413" s="8"/>
      <c r="C1413" s="5"/>
      <c r="D1413" s="12"/>
      <c r="E1413" s="23"/>
      <c r="F1413" s="9"/>
      <c r="G1413" s="5"/>
      <c r="H1413" s="16"/>
      <c r="I1413" s="69"/>
      <c r="J1413" s="70"/>
      <c r="K1413" s="71"/>
      <c r="L1413" s="71"/>
      <c r="M1413" s="5"/>
    </row>
    <row r="1414" spans="1:13" s="3" customFormat="1">
      <c r="A1414" s="1"/>
      <c r="B1414" s="8"/>
      <c r="C1414" s="5"/>
      <c r="D1414" s="12"/>
      <c r="E1414" s="23"/>
      <c r="F1414" s="9"/>
      <c r="G1414" s="5"/>
      <c r="H1414" s="16"/>
      <c r="I1414" s="69"/>
      <c r="J1414" s="70"/>
      <c r="K1414" s="71"/>
      <c r="L1414" s="71"/>
      <c r="M1414" s="5"/>
    </row>
    <row r="1415" spans="1:13" s="3" customFormat="1">
      <c r="A1415" s="1"/>
      <c r="B1415" s="8"/>
      <c r="C1415" s="5"/>
      <c r="D1415" s="12"/>
      <c r="E1415" s="23"/>
      <c r="F1415" s="9"/>
      <c r="G1415" s="5"/>
      <c r="H1415" s="16"/>
      <c r="I1415" s="69"/>
      <c r="J1415" s="70"/>
      <c r="K1415" s="71"/>
      <c r="L1415" s="71"/>
      <c r="M1415" s="5"/>
    </row>
    <row r="1416" spans="1:13" s="3" customFormat="1">
      <c r="A1416" s="1"/>
      <c r="B1416" s="8"/>
      <c r="C1416" s="5"/>
      <c r="D1416" s="12"/>
      <c r="E1416" s="23"/>
      <c r="F1416" s="9"/>
      <c r="G1416" s="5"/>
      <c r="H1416" s="16"/>
      <c r="I1416" s="69"/>
      <c r="J1416" s="70"/>
      <c r="K1416" s="71"/>
      <c r="L1416" s="71"/>
      <c r="M1416" s="5"/>
    </row>
    <row r="1417" spans="1:13" s="3" customFormat="1">
      <c r="A1417" s="1"/>
      <c r="B1417" s="8"/>
      <c r="C1417" s="5"/>
      <c r="D1417" s="12"/>
      <c r="E1417" s="23"/>
      <c r="F1417" s="9"/>
      <c r="G1417" s="5"/>
      <c r="H1417" s="16"/>
      <c r="I1417" s="69"/>
      <c r="J1417" s="70"/>
      <c r="K1417" s="71"/>
      <c r="L1417" s="71"/>
      <c r="M1417" s="5"/>
    </row>
    <row r="1418" spans="1:13" s="3" customFormat="1">
      <c r="A1418" s="1"/>
      <c r="B1418" s="8"/>
      <c r="C1418" s="5"/>
      <c r="D1418" s="12"/>
      <c r="E1418" s="23"/>
      <c r="F1418" s="9"/>
      <c r="G1418" s="5"/>
      <c r="H1418" s="16"/>
      <c r="I1418" s="69"/>
      <c r="J1418" s="70"/>
      <c r="K1418" s="71"/>
      <c r="L1418" s="71"/>
      <c r="M1418" s="5"/>
    </row>
    <row r="1419" spans="1:13" s="3" customFormat="1">
      <c r="A1419" s="1"/>
      <c r="B1419" s="8"/>
      <c r="C1419" s="5"/>
      <c r="D1419" s="12"/>
      <c r="E1419" s="23"/>
      <c r="F1419" s="9"/>
      <c r="G1419" s="5"/>
      <c r="H1419" s="16"/>
      <c r="I1419" s="69"/>
      <c r="J1419" s="70"/>
      <c r="K1419" s="71"/>
      <c r="L1419" s="71"/>
      <c r="M1419" s="5"/>
    </row>
    <row r="1420" spans="1:13" s="3" customFormat="1">
      <c r="A1420" s="1"/>
      <c r="B1420" s="8"/>
      <c r="C1420" s="5"/>
      <c r="D1420" s="12"/>
      <c r="E1420" s="23"/>
      <c r="F1420" s="9"/>
      <c r="G1420" s="5"/>
      <c r="H1420" s="16"/>
      <c r="I1420" s="69"/>
      <c r="J1420" s="70"/>
      <c r="K1420" s="71"/>
      <c r="L1420" s="71"/>
      <c r="M1420" s="5"/>
    </row>
    <row r="1421" spans="1:13" s="3" customFormat="1">
      <c r="A1421" s="1"/>
      <c r="B1421" s="8"/>
      <c r="C1421" s="5"/>
      <c r="D1421" s="12"/>
      <c r="E1421" s="23"/>
      <c r="F1421" s="9"/>
      <c r="G1421" s="5"/>
      <c r="H1421" s="16"/>
      <c r="I1421" s="69"/>
      <c r="J1421" s="70"/>
      <c r="K1421" s="71"/>
      <c r="L1421" s="71"/>
      <c r="M1421" s="5"/>
    </row>
    <row r="1422" spans="1:13" s="3" customFormat="1">
      <c r="A1422" s="1"/>
      <c r="B1422" s="8"/>
      <c r="C1422" s="5"/>
      <c r="D1422" s="12"/>
      <c r="E1422" s="23"/>
      <c r="F1422" s="9"/>
      <c r="G1422" s="5"/>
      <c r="H1422" s="16"/>
      <c r="I1422" s="69"/>
      <c r="J1422" s="70"/>
      <c r="K1422" s="71"/>
      <c r="L1422" s="71"/>
      <c r="M1422" s="5"/>
    </row>
    <row r="1423" spans="1:13" s="3" customFormat="1">
      <c r="A1423" s="1"/>
      <c r="B1423" s="8"/>
      <c r="C1423" s="5"/>
      <c r="D1423" s="12"/>
      <c r="E1423" s="23"/>
      <c r="F1423" s="9"/>
      <c r="G1423" s="5"/>
      <c r="H1423" s="16"/>
      <c r="I1423" s="69"/>
      <c r="J1423" s="70"/>
      <c r="K1423" s="71"/>
      <c r="L1423" s="71"/>
      <c r="M1423" s="5"/>
    </row>
    <row r="1424" spans="1:13" s="3" customFormat="1">
      <c r="A1424" s="1"/>
      <c r="B1424" s="8"/>
      <c r="C1424" s="5"/>
      <c r="D1424" s="12"/>
      <c r="E1424" s="23"/>
      <c r="F1424" s="9"/>
      <c r="G1424" s="5"/>
      <c r="H1424" s="16"/>
      <c r="I1424" s="69"/>
      <c r="J1424" s="70"/>
      <c r="K1424" s="71"/>
      <c r="L1424" s="71"/>
      <c r="M1424" s="5"/>
    </row>
    <row r="1425" spans="1:13" s="3" customFormat="1">
      <c r="A1425" s="1"/>
      <c r="B1425" s="8"/>
      <c r="C1425" s="5"/>
      <c r="D1425" s="12"/>
      <c r="E1425" s="23"/>
      <c r="F1425" s="9"/>
      <c r="G1425" s="5"/>
      <c r="H1425" s="16"/>
      <c r="I1425" s="69"/>
      <c r="J1425" s="70"/>
      <c r="K1425" s="71"/>
      <c r="L1425" s="71"/>
      <c r="M1425" s="5"/>
    </row>
    <row r="1426" spans="1:13" s="3" customFormat="1">
      <c r="A1426" s="1"/>
      <c r="B1426" s="8"/>
      <c r="C1426" s="5"/>
      <c r="D1426" s="12"/>
      <c r="E1426" s="23"/>
      <c r="F1426" s="9"/>
      <c r="G1426" s="5"/>
      <c r="H1426" s="16"/>
      <c r="I1426" s="69"/>
      <c r="J1426" s="70"/>
      <c r="K1426" s="71"/>
      <c r="L1426" s="71"/>
      <c r="M1426" s="5"/>
    </row>
    <row r="1427" spans="1:13" s="3" customFormat="1">
      <c r="A1427" s="1"/>
      <c r="B1427" s="8"/>
      <c r="C1427" s="5"/>
      <c r="D1427" s="12"/>
      <c r="E1427" s="23"/>
      <c r="F1427" s="9"/>
      <c r="G1427" s="5"/>
      <c r="H1427" s="16"/>
      <c r="I1427" s="69"/>
      <c r="J1427" s="70"/>
      <c r="K1427" s="71"/>
      <c r="L1427" s="71"/>
      <c r="M1427" s="5"/>
    </row>
    <row r="1428" spans="1:13" s="3" customFormat="1">
      <c r="A1428" s="1"/>
      <c r="B1428" s="8"/>
      <c r="C1428" s="5"/>
      <c r="D1428" s="12"/>
      <c r="E1428" s="23"/>
      <c r="F1428" s="9"/>
      <c r="G1428" s="5"/>
      <c r="H1428" s="16"/>
      <c r="I1428" s="69"/>
      <c r="J1428" s="70"/>
      <c r="K1428" s="71"/>
      <c r="L1428" s="71"/>
      <c r="M1428" s="5"/>
    </row>
    <row r="1429" spans="1:13" s="3" customFormat="1">
      <c r="A1429" s="1"/>
      <c r="B1429" s="8"/>
      <c r="C1429" s="5"/>
      <c r="D1429" s="12"/>
      <c r="E1429" s="23"/>
      <c r="F1429" s="9"/>
      <c r="G1429" s="5"/>
      <c r="H1429" s="16"/>
      <c r="I1429" s="69"/>
      <c r="J1429" s="70"/>
      <c r="K1429" s="71"/>
      <c r="L1429" s="71"/>
      <c r="M1429" s="5"/>
    </row>
    <row r="1430" spans="1:13" s="3" customFormat="1">
      <c r="A1430" s="1"/>
      <c r="B1430" s="8"/>
      <c r="C1430" s="5"/>
      <c r="D1430" s="12"/>
      <c r="E1430" s="23"/>
      <c r="F1430" s="9"/>
      <c r="G1430" s="5"/>
      <c r="H1430" s="16"/>
      <c r="I1430" s="69"/>
      <c r="J1430" s="70"/>
      <c r="K1430" s="71"/>
      <c r="L1430" s="71"/>
      <c r="M1430" s="5"/>
    </row>
    <row r="1431" spans="1:13" s="3" customFormat="1">
      <c r="A1431" s="1"/>
      <c r="B1431" s="8"/>
      <c r="C1431" s="5"/>
      <c r="D1431" s="12"/>
      <c r="E1431" s="23"/>
      <c r="F1431" s="9"/>
      <c r="G1431" s="5"/>
      <c r="H1431" s="16"/>
      <c r="I1431" s="69"/>
      <c r="J1431" s="70"/>
      <c r="K1431" s="71"/>
      <c r="L1431" s="71"/>
      <c r="M1431" s="5"/>
    </row>
    <row r="1432" spans="1:13" s="3" customFormat="1">
      <c r="A1432" s="1"/>
      <c r="B1432" s="8"/>
      <c r="C1432" s="5"/>
      <c r="D1432" s="12"/>
      <c r="E1432" s="23"/>
      <c r="F1432" s="9"/>
      <c r="G1432" s="5"/>
      <c r="H1432" s="16"/>
      <c r="I1432" s="69"/>
      <c r="J1432" s="70"/>
      <c r="K1432" s="71"/>
      <c r="L1432" s="71"/>
      <c r="M1432" s="5"/>
    </row>
    <row r="1433" spans="1:13" s="3" customFormat="1">
      <c r="A1433" s="1"/>
      <c r="B1433" s="8"/>
      <c r="C1433" s="5"/>
      <c r="D1433" s="12"/>
      <c r="E1433" s="23"/>
      <c r="F1433" s="9"/>
      <c r="G1433" s="5"/>
      <c r="H1433" s="16"/>
      <c r="I1433" s="69"/>
      <c r="J1433" s="70"/>
      <c r="K1433" s="71"/>
      <c r="L1433" s="71"/>
      <c r="M1433" s="5"/>
    </row>
    <row r="1434" spans="1:13" s="3" customFormat="1">
      <c r="A1434" s="1"/>
      <c r="B1434" s="8"/>
      <c r="C1434" s="5"/>
      <c r="D1434" s="12"/>
      <c r="E1434" s="23"/>
      <c r="F1434" s="9"/>
      <c r="G1434" s="5"/>
      <c r="H1434" s="16"/>
      <c r="I1434" s="69"/>
      <c r="J1434" s="70"/>
      <c r="K1434" s="71"/>
      <c r="L1434" s="71"/>
      <c r="M1434" s="5"/>
    </row>
    <row r="1435" spans="1:13" s="3" customFormat="1">
      <c r="A1435" s="1"/>
      <c r="B1435" s="8"/>
      <c r="C1435" s="5"/>
      <c r="D1435" s="12"/>
      <c r="E1435" s="23"/>
      <c r="F1435" s="9"/>
      <c r="G1435" s="5"/>
      <c r="H1435" s="16"/>
      <c r="I1435" s="69"/>
      <c r="J1435" s="70"/>
      <c r="K1435" s="71"/>
      <c r="L1435" s="71"/>
      <c r="M1435" s="5"/>
    </row>
    <row r="1436" spans="1:13" s="3" customFormat="1">
      <c r="A1436" s="1"/>
      <c r="B1436" s="8"/>
      <c r="C1436" s="5"/>
      <c r="D1436" s="12"/>
      <c r="E1436" s="23"/>
      <c r="F1436" s="9"/>
      <c r="G1436" s="5"/>
      <c r="H1436" s="16"/>
      <c r="I1436" s="69"/>
      <c r="J1436" s="70"/>
      <c r="K1436" s="71"/>
      <c r="L1436" s="71"/>
      <c r="M1436" s="5"/>
    </row>
    <row r="1437" spans="1:13" s="3" customFormat="1">
      <c r="A1437" s="1"/>
      <c r="B1437" s="8"/>
      <c r="C1437" s="5"/>
      <c r="D1437" s="12"/>
      <c r="E1437" s="23"/>
      <c r="F1437" s="9"/>
      <c r="G1437" s="5"/>
      <c r="H1437" s="16"/>
      <c r="I1437" s="69"/>
      <c r="J1437" s="70"/>
      <c r="K1437" s="71"/>
      <c r="L1437" s="71"/>
      <c r="M1437" s="5"/>
    </row>
    <row r="1438" spans="1:13" s="3" customFormat="1">
      <c r="A1438" s="1"/>
      <c r="B1438" s="8"/>
      <c r="C1438" s="5"/>
      <c r="D1438" s="12"/>
      <c r="E1438" s="23"/>
      <c r="F1438" s="9"/>
      <c r="G1438" s="5"/>
      <c r="H1438" s="16"/>
      <c r="I1438" s="69"/>
      <c r="J1438" s="70"/>
      <c r="K1438" s="71"/>
      <c r="L1438" s="71"/>
      <c r="M1438" s="5"/>
    </row>
    <row r="1439" spans="1:13" s="3" customFormat="1">
      <c r="A1439" s="1"/>
      <c r="B1439" s="8"/>
      <c r="C1439" s="5"/>
      <c r="D1439" s="12"/>
      <c r="E1439" s="23"/>
      <c r="F1439" s="9"/>
      <c r="G1439" s="5"/>
      <c r="H1439" s="16"/>
      <c r="I1439" s="69"/>
      <c r="J1439" s="70"/>
      <c r="K1439" s="71"/>
      <c r="L1439" s="71"/>
      <c r="M1439" s="5"/>
    </row>
    <row r="1440" spans="1:13" s="3" customFormat="1">
      <c r="A1440" s="1"/>
      <c r="B1440" s="8"/>
      <c r="C1440" s="5"/>
      <c r="D1440" s="12"/>
      <c r="E1440" s="23"/>
      <c r="F1440" s="9"/>
      <c r="G1440" s="5"/>
      <c r="H1440" s="16"/>
      <c r="I1440" s="69"/>
      <c r="J1440" s="70"/>
      <c r="K1440" s="71"/>
      <c r="L1440" s="71"/>
      <c r="M1440" s="5"/>
    </row>
    <row r="1441" spans="1:13" s="3" customFormat="1">
      <c r="A1441" s="1"/>
      <c r="B1441" s="8"/>
      <c r="C1441" s="5"/>
      <c r="D1441" s="12"/>
      <c r="E1441" s="23"/>
      <c r="F1441" s="9"/>
      <c r="G1441" s="5"/>
      <c r="H1441" s="16"/>
      <c r="I1441" s="69"/>
      <c r="J1441" s="70"/>
      <c r="K1441" s="71"/>
      <c r="L1441" s="71"/>
      <c r="M1441" s="5"/>
    </row>
    <row r="1442" spans="1:13" s="3" customFormat="1">
      <c r="A1442" s="1"/>
      <c r="B1442" s="8"/>
      <c r="C1442" s="5"/>
      <c r="D1442" s="12"/>
      <c r="E1442" s="23"/>
      <c r="F1442" s="9"/>
      <c r="G1442" s="5"/>
      <c r="H1442" s="16"/>
      <c r="I1442" s="69"/>
      <c r="J1442" s="70"/>
      <c r="K1442" s="71"/>
      <c r="L1442" s="71"/>
      <c r="M1442" s="5"/>
    </row>
    <row r="1443" spans="1:13" s="3" customFormat="1">
      <c r="A1443" s="1"/>
      <c r="B1443" s="8"/>
      <c r="C1443" s="5"/>
      <c r="D1443" s="12"/>
      <c r="E1443" s="23"/>
      <c r="F1443" s="9"/>
      <c r="G1443" s="5"/>
      <c r="H1443" s="16"/>
      <c r="I1443" s="69"/>
      <c r="J1443" s="70"/>
      <c r="K1443" s="71"/>
      <c r="L1443" s="71"/>
      <c r="M1443" s="5"/>
    </row>
    <row r="1444" spans="1:13" s="3" customFormat="1">
      <c r="A1444" s="1"/>
      <c r="B1444" s="8"/>
      <c r="C1444" s="5"/>
      <c r="D1444" s="12"/>
      <c r="E1444" s="23"/>
      <c r="F1444" s="9"/>
      <c r="G1444" s="5"/>
      <c r="H1444" s="16"/>
      <c r="I1444" s="69"/>
      <c r="J1444" s="70"/>
      <c r="K1444" s="71"/>
      <c r="L1444" s="71"/>
      <c r="M1444" s="5"/>
    </row>
    <row r="1445" spans="1:13" s="3" customFormat="1">
      <c r="A1445" s="1"/>
      <c r="B1445" s="8"/>
      <c r="C1445" s="5"/>
      <c r="D1445" s="12"/>
      <c r="E1445" s="23"/>
      <c r="F1445" s="9"/>
      <c r="G1445" s="5"/>
      <c r="H1445" s="16"/>
      <c r="I1445" s="69"/>
      <c r="J1445" s="70"/>
      <c r="K1445" s="71"/>
      <c r="L1445" s="71"/>
      <c r="M1445" s="5"/>
    </row>
    <row r="1446" spans="1:13" s="3" customFormat="1">
      <c r="A1446" s="1"/>
      <c r="B1446" s="8"/>
      <c r="C1446" s="5"/>
      <c r="D1446" s="12"/>
      <c r="E1446" s="23"/>
      <c r="F1446" s="9"/>
      <c r="G1446" s="5"/>
      <c r="H1446" s="16"/>
      <c r="I1446" s="69"/>
      <c r="J1446" s="70"/>
      <c r="K1446" s="71"/>
      <c r="L1446" s="71"/>
      <c r="M1446" s="5"/>
    </row>
    <row r="1447" spans="1:13" s="3" customFormat="1">
      <c r="A1447" s="1"/>
      <c r="B1447" s="8"/>
      <c r="C1447" s="5"/>
      <c r="D1447" s="12"/>
      <c r="E1447" s="23"/>
      <c r="F1447" s="9"/>
      <c r="G1447" s="5"/>
      <c r="H1447" s="16"/>
      <c r="I1447" s="69"/>
      <c r="J1447" s="70"/>
      <c r="K1447" s="71"/>
      <c r="L1447" s="71"/>
      <c r="M1447" s="5"/>
    </row>
    <row r="1448" spans="1:13" s="3" customFormat="1">
      <c r="A1448" s="1"/>
      <c r="B1448" s="8"/>
      <c r="C1448" s="5"/>
      <c r="D1448" s="12"/>
      <c r="E1448" s="23"/>
      <c r="F1448" s="9"/>
      <c r="G1448" s="5"/>
      <c r="H1448" s="16"/>
      <c r="I1448" s="69"/>
      <c r="J1448" s="70"/>
      <c r="K1448" s="71"/>
      <c r="L1448" s="71"/>
      <c r="M1448" s="5"/>
    </row>
    <row r="1449" spans="1:13" s="3" customFormat="1">
      <c r="A1449" s="1"/>
      <c r="B1449" s="8"/>
      <c r="C1449" s="5"/>
      <c r="D1449" s="12"/>
      <c r="E1449" s="23"/>
      <c r="F1449" s="9"/>
      <c r="G1449" s="5"/>
      <c r="H1449" s="16"/>
      <c r="I1449" s="69"/>
      <c r="J1449" s="70"/>
      <c r="K1449" s="71"/>
      <c r="L1449" s="71"/>
      <c r="M1449" s="5"/>
    </row>
    <row r="1450" spans="1:13" s="3" customFormat="1">
      <c r="A1450" s="1"/>
      <c r="B1450" s="8"/>
      <c r="C1450" s="5"/>
      <c r="D1450" s="12"/>
      <c r="E1450" s="23"/>
      <c r="F1450" s="9"/>
      <c r="G1450" s="5"/>
      <c r="H1450" s="16"/>
      <c r="I1450" s="69"/>
      <c r="J1450" s="70"/>
      <c r="K1450" s="71"/>
      <c r="L1450" s="71"/>
      <c r="M1450" s="5"/>
    </row>
    <row r="1451" spans="1:13" s="3" customFormat="1">
      <c r="A1451" s="1"/>
      <c r="B1451" s="8"/>
      <c r="C1451" s="5"/>
      <c r="D1451" s="12"/>
      <c r="E1451" s="23"/>
      <c r="F1451" s="9"/>
      <c r="G1451" s="5"/>
      <c r="H1451" s="16"/>
      <c r="I1451" s="69"/>
      <c r="J1451" s="70"/>
      <c r="K1451" s="71"/>
      <c r="L1451" s="71"/>
      <c r="M1451" s="5"/>
    </row>
    <row r="1452" spans="1:13" s="3" customFormat="1">
      <c r="A1452" s="1"/>
      <c r="B1452" s="8"/>
      <c r="C1452" s="5"/>
      <c r="D1452" s="12"/>
      <c r="E1452" s="23"/>
      <c r="F1452" s="9"/>
      <c r="G1452" s="5"/>
      <c r="H1452" s="16"/>
      <c r="I1452" s="69"/>
      <c r="J1452" s="70"/>
      <c r="K1452" s="71"/>
      <c r="L1452" s="71"/>
      <c r="M1452" s="5"/>
    </row>
    <row r="1453" spans="1:13" s="3" customFormat="1">
      <c r="A1453" s="1"/>
      <c r="B1453" s="8"/>
      <c r="C1453" s="5"/>
      <c r="D1453" s="12"/>
      <c r="E1453" s="23"/>
      <c r="F1453" s="9"/>
      <c r="G1453" s="5"/>
      <c r="H1453" s="16"/>
      <c r="I1453" s="69"/>
      <c r="J1453" s="70"/>
      <c r="K1453" s="71"/>
      <c r="L1453" s="71"/>
      <c r="M1453" s="5"/>
    </row>
    <row r="1454" spans="1:13" s="3" customFormat="1">
      <c r="A1454" s="1"/>
      <c r="B1454" s="8"/>
      <c r="C1454" s="5"/>
      <c r="D1454" s="12"/>
      <c r="E1454" s="23"/>
      <c r="F1454" s="9"/>
      <c r="G1454" s="5"/>
      <c r="H1454" s="16"/>
      <c r="I1454" s="69"/>
      <c r="J1454" s="70"/>
      <c r="K1454" s="71"/>
      <c r="L1454" s="71"/>
      <c r="M1454" s="5"/>
    </row>
    <row r="1455" spans="1:13" s="3" customFormat="1">
      <c r="A1455" s="1"/>
      <c r="B1455" s="8"/>
      <c r="C1455" s="5"/>
      <c r="D1455" s="12"/>
      <c r="E1455" s="23"/>
      <c r="F1455" s="9"/>
      <c r="G1455" s="5"/>
      <c r="H1455" s="16"/>
      <c r="I1455" s="69"/>
      <c r="J1455" s="70"/>
      <c r="K1455" s="71"/>
      <c r="L1455" s="71"/>
      <c r="M1455" s="5"/>
    </row>
    <row r="1456" spans="1:13" s="3" customFormat="1">
      <c r="A1456" s="1"/>
      <c r="B1456" s="8"/>
      <c r="C1456" s="5"/>
      <c r="D1456" s="12"/>
      <c r="E1456" s="23"/>
      <c r="F1456" s="9"/>
      <c r="G1456" s="5"/>
      <c r="H1456" s="16"/>
      <c r="I1456" s="69"/>
      <c r="J1456" s="70"/>
      <c r="K1456" s="71"/>
      <c r="L1456" s="71"/>
      <c r="M1456" s="5"/>
    </row>
    <row r="1457" spans="1:13" s="3" customFormat="1">
      <c r="A1457" s="1"/>
      <c r="B1457" s="8"/>
      <c r="C1457" s="5"/>
      <c r="D1457" s="12"/>
      <c r="E1457" s="23"/>
      <c r="F1457" s="9"/>
      <c r="G1457" s="5"/>
      <c r="H1457" s="16"/>
      <c r="I1457" s="69"/>
      <c r="J1457" s="70"/>
      <c r="K1457" s="71"/>
      <c r="L1457" s="71"/>
      <c r="M1457" s="5"/>
    </row>
    <row r="1458" spans="1:13" s="3" customFormat="1">
      <c r="A1458" s="1"/>
      <c r="B1458" s="8"/>
      <c r="C1458" s="5"/>
      <c r="D1458" s="12"/>
      <c r="E1458" s="23"/>
      <c r="F1458" s="9"/>
      <c r="G1458" s="5"/>
      <c r="H1458" s="16"/>
      <c r="I1458" s="69"/>
      <c r="J1458" s="70"/>
      <c r="K1458" s="71"/>
      <c r="L1458" s="71"/>
      <c r="M1458" s="5"/>
    </row>
    <row r="1459" spans="1:13" s="3" customFormat="1">
      <c r="A1459" s="1"/>
      <c r="B1459" s="8"/>
      <c r="C1459" s="5"/>
      <c r="D1459" s="12"/>
      <c r="E1459" s="23"/>
      <c r="F1459" s="9"/>
      <c r="G1459" s="5"/>
      <c r="H1459" s="16"/>
      <c r="I1459" s="69"/>
      <c r="J1459" s="70"/>
      <c r="K1459" s="71"/>
      <c r="L1459" s="71"/>
      <c r="M1459" s="5"/>
    </row>
    <row r="1460" spans="1:13" s="3" customFormat="1">
      <c r="A1460" s="1"/>
      <c r="B1460" s="8"/>
      <c r="C1460" s="5"/>
      <c r="D1460" s="12"/>
      <c r="E1460" s="23"/>
      <c r="F1460" s="9"/>
      <c r="G1460" s="5"/>
      <c r="H1460" s="16"/>
      <c r="I1460" s="69"/>
      <c r="J1460" s="70"/>
      <c r="K1460" s="71"/>
      <c r="L1460" s="71"/>
      <c r="M1460" s="5"/>
    </row>
    <row r="1461" spans="1:13" s="3" customFormat="1">
      <c r="A1461" s="1"/>
      <c r="B1461" s="8"/>
      <c r="C1461" s="5"/>
      <c r="D1461" s="12"/>
      <c r="E1461" s="23"/>
      <c r="F1461" s="9"/>
      <c r="G1461" s="5"/>
      <c r="H1461" s="16"/>
      <c r="I1461" s="69"/>
      <c r="J1461" s="70"/>
      <c r="K1461" s="71"/>
      <c r="L1461" s="71"/>
      <c r="M1461" s="5"/>
    </row>
    <row r="1462" spans="1:13" s="3" customFormat="1">
      <c r="A1462" s="1"/>
      <c r="B1462" s="8"/>
      <c r="C1462" s="5"/>
      <c r="D1462" s="12"/>
      <c r="E1462" s="23"/>
      <c r="F1462" s="9"/>
      <c r="G1462" s="5"/>
      <c r="H1462" s="16"/>
      <c r="I1462" s="69"/>
      <c r="J1462" s="70"/>
      <c r="K1462" s="71"/>
      <c r="L1462" s="71"/>
      <c r="M1462" s="5"/>
    </row>
    <row r="1463" spans="1:13" s="3" customFormat="1">
      <c r="A1463" s="1"/>
      <c r="B1463" s="8"/>
      <c r="C1463" s="5"/>
      <c r="D1463" s="12"/>
      <c r="E1463" s="23"/>
      <c r="F1463" s="9"/>
      <c r="G1463" s="5"/>
      <c r="H1463" s="16"/>
      <c r="I1463" s="69"/>
      <c r="J1463" s="70"/>
      <c r="K1463" s="71"/>
      <c r="L1463" s="71"/>
      <c r="M1463" s="5"/>
    </row>
    <row r="1464" spans="1:13" s="3" customFormat="1">
      <c r="A1464" s="1"/>
      <c r="B1464" s="8"/>
      <c r="C1464" s="5"/>
      <c r="D1464" s="12"/>
      <c r="E1464" s="23"/>
      <c r="F1464" s="9"/>
      <c r="G1464" s="5"/>
      <c r="H1464" s="16"/>
      <c r="I1464" s="69"/>
      <c r="J1464" s="70"/>
      <c r="K1464" s="71"/>
      <c r="L1464" s="71"/>
      <c r="M1464" s="5"/>
    </row>
    <row r="1465" spans="1:13" s="3" customFormat="1">
      <c r="A1465" s="1"/>
      <c r="B1465" s="8"/>
      <c r="C1465" s="5"/>
      <c r="D1465" s="12"/>
      <c r="E1465" s="23"/>
      <c r="F1465" s="9"/>
      <c r="G1465" s="5"/>
      <c r="H1465" s="16"/>
      <c r="I1465" s="69"/>
      <c r="J1465" s="70"/>
      <c r="K1465" s="71"/>
      <c r="L1465" s="71"/>
      <c r="M1465" s="5"/>
    </row>
    <row r="1466" spans="1:13" s="3" customFormat="1">
      <c r="A1466" s="1"/>
      <c r="B1466" s="8"/>
      <c r="C1466" s="5"/>
      <c r="D1466" s="12"/>
      <c r="E1466" s="23"/>
      <c r="F1466" s="9"/>
      <c r="G1466" s="5"/>
      <c r="H1466" s="16"/>
      <c r="I1466" s="69"/>
      <c r="J1466" s="70"/>
      <c r="K1466" s="71"/>
      <c r="L1466" s="71"/>
      <c r="M1466" s="5"/>
    </row>
    <row r="1467" spans="1:13" s="3" customFormat="1">
      <c r="A1467" s="1"/>
      <c r="B1467" s="8"/>
      <c r="C1467" s="5"/>
      <c r="D1467" s="12"/>
      <c r="E1467" s="23"/>
      <c r="F1467" s="9"/>
      <c r="G1467" s="5"/>
      <c r="H1467" s="16"/>
      <c r="I1467" s="69"/>
      <c r="J1467" s="70"/>
      <c r="K1467" s="71"/>
      <c r="L1467" s="71"/>
      <c r="M1467" s="5"/>
    </row>
    <row r="1468" spans="1:13" s="3" customFormat="1">
      <c r="A1468" s="1"/>
      <c r="B1468" s="8"/>
      <c r="C1468" s="5"/>
      <c r="D1468" s="12"/>
      <c r="E1468" s="23"/>
      <c r="F1468" s="9"/>
      <c r="G1468" s="5"/>
      <c r="H1468" s="16"/>
      <c r="I1468" s="69"/>
      <c r="J1468" s="70"/>
      <c r="K1468" s="71"/>
      <c r="L1468" s="71"/>
      <c r="M1468" s="5"/>
    </row>
    <row r="1469" spans="1:13" s="3" customFormat="1">
      <c r="A1469" s="1"/>
      <c r="B1469" s="8"/>
      <c r="C1469" s="5"/>
      <c r="D1469" s="12"/>
      <c r="E1469" s="23"/>
      <c r="F1469" s="9"/>
      <c r="G1469" s="5"/>
      <c r="H1469" s="16"/>
      <c r="I1469" s="69"/>
      <c r="J1469" s="70"/>
      <c r="K1469" s="71"/>
      <c r="L1469" s="71"/>
      <c r="M1469" s="5"/>
    </row>
    <row r="1470" spans="1:13" s="3" customFormat="1">
      <c r="A1470" s="1"/>
      <c r="B1470" s="8"/>
      <c r="C1470" s="5"/>
      <c r="D1470" s="12"/>
      <c r="E1470" s="23"/>
      <c r="F1470" s="9"/>
      <c r="G1470" s="5"/>
      <c r="H1470" s="16"/>
      <c r="I1470" s="69"/>
      <c r="J1470" s="70"/>
      <c r="K1470" s="71"/>
      <c r="L1470" s="71"/>
      <c r="M1470" s="5"/>
    </row>
    <row r="1471" spans="1:13" s="3" customFormat="1">
      <c r="A1471" s="1"/>
      <c r="B1471" s="8"/>
      <c r="C1471" s="5"/>
      <c r="D1471" s="12"/>
      <c r="E1471" s="23"/>
      <c r="F1471" s="9"/>
      <c r="G1471" s="5"/>
      <c r="H1471" s="16"/>
      <c r="I1471" s="69"/>
      <c r="J1471" s="70"/>
      <c r="K1471" s="71"/>
      <c r="L1471" s="71"/>
      <c r="M1471" s="5"/>
    </row>
    <row r="1472" spans="1:13" s="3" customFormat="1">
      <c r="A1472" s="1"/>
      <c r="B1472" s="8"/>
      <c r="C1472" s="5"/>
      <c r="D1472" s="12"/>
      <c r="E1472" s="23"/>
      <c r="F1472" s="9"/>
      <c r="G1472" s="5"/>
      <c r="H1472" s="16"/>
      <c r="I1472" s="69"/>
      <c r="J1472" s="70"/>
      <c r="K1472" s="71"/>
      <c r="L1472" s="71"/>
      <c r="M1472" s="5"/>
    </row>
    <row r="1473" spans="1:13" s="3" customFormat="1">
      <c r="A1473" s="1"/>
      <c r="B1473" s="8"/>
      <c r="C1473" s="5"/>
      <c r="D1473" s="12"/>
      <c r="E1473" s="23"/>
      <c r="F1473" s="9"/>
      <c r="G1473" s="5"/>
      <c r="H1473" s="16"/>
      <c r="I1473" s="69"/>
      <c r="J1473" s="70"/>
      <c r="K1473" s="71"/>
      <c r="L1473" s="71"/>
      <c r="M1473" s="5"/>
    </row>
    <row r="1474" spans="1:13" s="3" customFormat="1">
      <c r="A1474" s="1"/>
      <c r="B1474" s="8"/>
      <c r="C1474" s="5"/>
      <c r="D1474" s="12"/>
      <c r="E1474" s="23"/>
      <c r="F1474" s="9"/>
      <c r="G1474" s="5"/>
      <c r="H1474" s="16"/>
      <c r="I1474" s="69"/>
      <c r="J1474" s="70"/>
      <c r="K1474" s="71"/>
      <c r="L1474" s="71"/>
      <c r="M1474" s="5"/>
    </row>
    <row r="1475" spans="1:13" s="3" customFormat="1">
      <c r="A1475" s="1"/>
      <c r="B1475" s="8"/>
      <c r="C1475" s="5"/>
      <c r="D1475" s="12"/>
      <c r="E1475" s="23"/>
      <c r="F1475" s="9"/>
      <c r="G1475" s="5"/>
      <c r="H1475" s="16"/>
      <c r="I1475" s="69"/>
      <c r="J1475" s="70"/>
      <c r="K1475" s="71"/>
      <c r="L1475" s="71"/>
      <c r="M1475" s="5"/>
    </row>
    <row r="1476" spans="1:13" s="3" customFormat="1">
      <c r="A1476" s="1"/>
      <c r="B1476" s="8"/>
      <c r="C1476" s="5"/>
      <c r="D1476" s="12"/>
      <c r="E1476" s="23"/>
      <c r="F1476" s="9"/>
      <c r="G1476" s="5"/>
      <c r="H1476" s="16"/>
      <c r="I1476" s="69"/>
      <c r="J1476" s="70"/>
      <c r="K1476" s="71"/>
      <c r="L1476" s="71"/>
      <c r="M1476" s="5"/>
    </row>
    <row r="1477" spans="1:13" s="3" customFormat="1">
      <c r="A1477" s="1"/>
      <c r="B1477" s="8"/>
      <c r="C1477" s="5"/>
      <c r="D1477" s="12"/>
      <c r="E1477" s="23"/>
      <c r="F1477" s="9"/>
      <c r="G1477" s="5"/>
      <c r="H1477" s="16"/>
      <c r="I1477" s="69"/>
      <c r="J1477" s="70"/>
      <c r="K1477" s="71"/>
      <c r="L1477" s="71"/>
      <c r="M1477" s="5"/>
    </row>
    <row r="1478" spans="1:13" s="3" customFormat="1">
      <c r="A1478" s="1"/>
      <c r="B1478" s="8"/>
      <c r="C1478" s="5"/>
      <c r="D1478" s="12"/>
      <c r="E1478" s="23"/>
      <c r="F1478" s="9"/>
      <c r="G1478" s="5"/>
      <c r="H1478" s="16"/>
      <c r="I1478" s="69"/>
      <c r="J1478" s="70"/>
      <c r="K1478" s="71"/>
      <c r="L1478" s="71"/>
      <c r="M1478" s="5"/>
    </row>
    <row r="1479" spans="1:13" s="3" customFormat="1">
      <c r="A1479" s="1"/>
      <c r="B1479" s="8"/>
      <c r="C1479" s="5"/>
      <c r="D1479" s="12"/>
      <c r="E1479" s="23"/>
      <c r="F1479" s="9"/>
      <c r="G1479" s="5"/>
      <c r="H1479" s="16"/>
      <c r="I1479" s="69"/>
      <c r="J1479" s="70"/>
      <c r="K1479" s="71"/>
      <c r="L1479" s="71"/>
      <c r="M1479" s="5"/>
    </row>
    <row r="1480" spans="1:13" s="3" customFormat="1">
      <c r="A1480" s="1"/>
      <c r="B1480" s="8"/>
      <c r="C1480" s="5"/>
      <c r="D1480" s="12"/>
      <c r="E1480" s="23"/>
      <c r="F1480" s="9"/>
      <c r="G1480" s="5"/>
      <c r="H1480" s="16"/>
      <c r="I1480" s="69"/>
      <c r="J1480" s="70"/>
      <c r="K1480" s="71"/>
      <c r="L1480" s="71"/>
      <c r="M1480" s="5"/>
    </row>
    <row r="1481" spans="1:13" s="3" customFormat="1">
      <c r="A1481" s="1"/>
      <c r="B1481" s="8"/>
      <c r="C1481" s="5"/>
      <c r="D1481" s="12"/>
      <c r="E1481" s="23"/>
      <c r="F1481" s="9"/>
      <c r="G1481" s="5"/>
      <c r="H1481" s="16"/>
      <c r="I1481" s="69"/>
      <c r="J1481" s="70"/>
      <c r="K1481" s="71"/>
      <c r="L1481" s="71"/>
      <c r="M1481" s="5"/>
    </row>
    <row r="1482" spans="1:13" s="3" customFormat="1">
      <c r="A1482" s="1"/>
      <c r="B1482" s="8"/>
      <c r="C1482" s="5"/>
      <c r="D1482" s="12"/>
      <c r="E1482" s="23"/>
      <c r="F1482" s="9"/>
      <c r="G1482" s="5"/>
      <c r="H1482" s="16"/>
      <c r="I1482" s="69"/>
      <c r="J1482" s="70"/>
      <c r="K1482" s="71"/>
      <c r="L1482" s="71"/>
      <c r="M1482" s="5"/>
    </row>
    <row r="1483" spans="1:13" s="3" customFormat="1">
      <c r="A1483" s="1"/>
      <c r="B1483" s="8"/>
      <c r="C1483" s="5"/>
      <c r="D1483" s="12"/>
      <c r="E1483" s="23"/>
      <c r="F1483" s="9"/>
      <c r="G1483" s="5"/>
      <c r="H1483" s="16"/>
      <c r="I1483" s="69"/>
      <c r="J1483" s="70"/>
      <c r="K1483" s="71"/>
      <c r="L1483" s="71"/>
      <c r="M1483" s="5"/>
    </row>
    <row r="1484" spans="1:13" s="3" customFormat="1">
      <c r="A1484" s="1"/>
      <c r="B1484" s="8"/>
      <c r="C1484" s="5"/>
      <c r="D1484" s="12"/>
      <c r="E1484" s="23"/>
      <c r="F1484" s="9"/>
      <c r="G1484" s="5"/>
      <c r="H1484" s="16"/>
      <c r="I1484" s="69"/>
      <c r="J1484" s="70"/>
      <c r="K1484" s="71"/>
      <c r="L1484" s="71"/>
      <c r="M1484" s="5"/>
    </row>
    <row r="1485" spans="1:13" s="3" customFormat="1">
      <c r="A1485" s="1"/>
      <c r="B1485" s="8"/>
      <c r="C1485" s="5"/>
      <c r="D1485" s="12"/>
      <c r="E1485" s="23"/>
      <c r="F1485" s="9"/>
      <c r="G1485" s="5"/>
      <c r="H1485" s="16"/>
      <c r="I1485" s="69"/>
      <c r="J1485" s="70"/>
      <c r="K1485" s="71"/>
      <c r="L1485" s="71"/>
      <c r="M1485" s="5"/>
    </row>
    <row r="1486" spans="1:13" s="3" customFormat="1">
      <c r="A1486" s="1"/>
      <c r="B1486" s="8"/>
      <c r="C1486" s="5"/>
      <c r="D1486" s="12"/>
      <c r="E1486" s="23"/>
      <c r="F1486" s="9"/>
      <c r="G1486" s="5"/>
      <c r="H1486" s="16"/>
      <c r="I1486" s="69"/>
      <c r="J1486" s="70"/>
      <c r="K1486" s="71"/>
      <c r="L1486" s="71"/>
      <c r="M1486" s="5"/>
    </row>
    <row r="1487" spans="1:13" s="3" customFormat="1">
      <c r="A1487" s="1"/>
      <c r="B1487" s="8"/>
      <c r="C1487" s="5"/>
      <c r="D1487" s="12"/>
      <c r="E1487" s="23"/>
      <c r="F1487" s="9"/>
      <c r="G1487" s="5"/>
      <c r="H1487" s="16"/>
      <c r="I1487" s="69"/>
      <c r="J1487" s="70"/>
      <c r="K1487" s="71"/>
      <c r="L1487" s="71"/>
      <c r="M1487" s="5"/>
    </row>
    <row r="1488" spans="1:13" s="3" customFormat="1">
      <c r="A1488" s="1"/>
      <c r="B1488" s="8"/>
      <c r="C1488" s="5"/>
      <c r="D1488" s="12"/>
      <c r="E1488" s="23"/>
      <c r="F1488" s="9"/>
      <c r="G1488" s="5"/>
      <c r="H1488" s="16"/>
      <c r="I1488" s="69"/>
      <c r="J1488" s="70"/>
      <c r="K1488" s="71"/>
      <c r="L1488" s="71"/>
      <c r="M1488" s="5"/>
    </row>
    <row r="1489" spans="1:13" s="3" customFormat="1">
      <c r="A1489" s="1"/>
      <c r="B1489" s="8"/>
      <c r="C1489" s="5"/>
      <c r="D1489" s="12"/>
      <c r="E1489" s="23"/>
      <c r="F1489" s="9"/>
      <c r="G1489" s="5"/>
      <c r="H1489" s="16"/>
      <c r="I1489" s="69"/>
      <c r="J1489" s="70"/>
      <c r="K1489" s="71"/>
      <c r="L1489" s="71"/>
      <c r="M1489" s="5"/>
    </row>
    <row r="1490" spans="1:13" s="3" customFormat="1">
      <c r="A1490" s="1"/>
      <c r="B1490" s="8"/>
      <c r="C1490" s="5"/>
      <c r="D1490" s="12"/>
      <c r="E1490" s="23"/>
      <c r="F1490" s="9"/>
      <c r="G1490" s="5"/>
      <c r="H1490" s="16"/>
      <c r="I1490" s="69"/>
      <c r="J1490" s="70"/>
      <c r="K1490" s="71"/>
      <c r="L1490" s="71"/>
      <c r="M1490" s="5"/>
    </row>
    <row r="1491" spans="1:13" s="3" customFormat="1">
      <c r="A1491" s="1"/>
      <c r="B1491" s="8"/>
      <c r="C1491" s="5"/>
      <c r="D1491" s="12"/>
      <c r="E1491" s="23"/>
      <c r="F1491" s="9"/>
      <c r="G1491" s="5"/>
      <c r="H1491" s="16"/>
      <c r="I1491" s="69"/>
      <c r="J1491" s="70"/>
      <c r="K1491" s="71"/>
      <c r="L1491" s="71"/>
      <c r="M1491" s="5"/>
    </row>
    <row r="1492" spans="1:13" s="3" customFormat="1">
      <c r="A1492" s="1"/>
      <c r="B1492" s="8"/>
      <c r="C1492" s="5"/>
      <c r="D1492" s="12"/>
      <c r="E1492" s="23"/>
      <c r="F1492" s="9"/>
      <c r="G1492" s="5"/>
      <c r="H1492" s="16"/>
      <c r="I1492" s="69"/>
      <c r="J1492" s="70"/>
      <c r="K1492" s="71"/>
      <c r="L1492" s="71"/>
      <c r="M1492" s="5"/>
    </row>
    <row r="1493" spans="1:13" s="3" customFormat="1">
      <c r="A1493" s="1"/>
      <c r="B1493" s="8"/>
      <c r="C1493" s="5"/>
      <c r="D1493" s="12"/>
      <c r="E1493" s="23"/>
      <c r="F1493" s="9"/>
      <c r="G1493" s="5"/>
      <c r="H1493" s="16"/>
      <c r="I1493" s="69"/>
      <c r="J1493" s="70"/>
      <c r="K1493" s="71"/>
      <c r="L1493" s="71"/>
      <c r="M1493" s="5"/>
    </row>
    <row r="1494" spans="1:13" s="3" customFormat="1">
      <c r="A1494" s="1"/>
      <c r="B1494" s="8"/>
      <c r="C1494" s="5"/>
      <c r="D1494" s="12"/>
      <c r="E1494" s="23"/>
      <c r="F1494" s="9"/>
      <c r="G1494" s="5"/>
      <c r="H1494" s="16"/>
      <c r="I1494" s="69"/>
      <c r="J1494" s="70"/>
      <c r="K1494" s="71"/>
      <c r="L1494" s="71"/>
      <c r="M1494" s="5"/>
    </row>
    <row r="1495" spans="1:13" s="3" customFormat="1">
      <c r="A1495" s="1"/>
      <c r="B1495" s="8"/>
      <c r="C1495" s="5"/>
      <c r="D1495" s="12"/>
      <c r="E1495" s="23"/>
      <c r="F1495" s="9"/>
      <c r="G1495" s="5"/>
      <c r="H1495" s="16"/>
      <c r="I1495" s="69"/>
      <c r="J1495" s="70"/>
      <c r="K1495" s="71"/>
      <c r="L1495" s="71"/>
      <c r="M1495" s="5"/>
    </row>
    <row r="1496" spans="1:13" s="3" customFormat="1">
      <c r="A1496" s="1"/>
      <c r="B1496" s="8"/>
      <c r="C1496" s="5"/>
      <c r="D1496" s="12"/>
      <c r="E1496" s="23"/>
      <c r="F1496" s="9"/>
      <c r="G1496" s="5"/>
      <c r="H1496" s="16"/>
      <c r="I1496" s="69"/>
      <c r="J1496" s="70"/>
      <c r="K1496" s="71"/>
      <c r="L1496" s="71"/>
      <c r="M1496" s="5"/>
    </row>
    <row r="1497" spans="1:13" s="3" customFormat="1">
      <c r="A1497" s="1"/>
      <c r="B1497" s="8"/>
      <c r="C1497" s="5"/>
      <c r="D1497" s="12"/>
      <c r="E1497" s="23"/>
      <c r="F1497" s="9"/>
      <c r="G1497" s="5"/>
      <c r="H1497" s="16"/>
      <c r="I1497" s="69"/>
      <c r="J1497" s="70"/>
      <c r="K1497" s="71"/>
      <c r="L1497" s="71"/>
      <c r="M1497" s="5"/>
    </row>
    <row r="1498" spans="1:13" s="3" customFormat="1">
      <c r="A1498" s="1"/>
      <c r="B1498" s="8"/>
      <c r="C1498" s="5"/>
      <c r="D1498" s="12"/>
      <c r="E1498" s="23"/>
      <c r="F1498" s="9"/>
      <c r="G1498" s="5"/>
      <c r="H1498" s="16"/>
      <c r="I1498" s="69"/>
      <c r="J1498" s="70"/>
      <c r="K1498" s="71"/>
      <c r="L1498" s="71"/>
      <c r="M1498" s="5"/>
    </row>
    <row r="1499" spans="1:13" s="3" customFormat="1">
      <c r="A1499" s="1"/>
      <c r="B1499" s="8"/>
      <c r="C1499" s="5"/>
      <c r="D1499" s="12"/>
      <c r="E1499" s="23"/>
      <c r="F1499" s="9"/>
      <c r="G1499" s="5"/>
      <c r="H1499" s="16"/>
      <c r="I1499" s="69"/>
      <c r="J1499" s="70"/>
      <c r="K1499" s="71"/>
      <c r="L1499" s="71"/>
      <c r="M1499" s="5"/>
    </row>
    <row r="1500" spans="1:13" s="3" customFormat="1">
      <c r="A1500" s="1"/>
      <c r="B1500" s="8"/>
      <c r="C1500" s="5"/>
      <c r="D1500" s="12"/>
      <c r="E1500" s="23"/>
      <c r="F1500" s="9"/>
      <c r="G1500" s="5"/>
      <c r="H1500" s="16"/>
      <c r="I1500" s="69"/>
      <c r="J1500" s="70"/>
      <c r="K1500" s="71"/>
      <c r="L1500" s="71"/>
      <c r="M1500" s="5"/>
    </row>
    <row r="1501" spans="1:13" s="3" customFormat="1">
      <c r="A1501" s="1"/>
      <c r="B1501" s="8"/>
      <c r="C1501" s="5"/>
      <c r="D1501" s="12"/>
      <c r="E1501" s="23"/>
      <c r="F1501" s="9"/>
      <c r="G1501" s="5"/>
      <c r="H1501" s="16"/>
      <c r="I1501" s="69"/>
      <c r="J1501" s="70"/>
      <c r="K1501" s="71"/>
      <c r="L1501" s="71"/>
      <c r="M1501" s="5"/>
    </row>
    <row r="1502" spans="1:13" s="3" customFormat="1">
      <c r="A1502" s="1"/>
      <c r="B1502" s="8"/>
      <c r="C1502" s="5"/>
      <c r="D1502" s="12"/>
      <c r="E1502" s="23"/>
      <c r="F1502" s="9"/>
      <c r="G1502" s="5"/>
      <c r="H1502" s="16"/>
      <c r="I1502" s="69"/>
      <c r="J1502" s="70"/>
      <c r="K1502" s="71"/>
      <c r="L1502" s="71"/>
      <c r="M1502" s="5"/>
    </row>
    <row r="1503" spans="1:13" s="3" customFormat="1">
      <c r="A1503" s="1"/>
      <c r="B1503" s="8"/>
      <c r="C1503" s="5"/>
      <c r="D1503" s="12"/>
      <c r="E1503" s="23"/>
      <c r="F1503" s="9"/>
      <c r="G1503" s="5"/>
      <c r="H1503" s="16"/>
      <c r="I1503" s="69"/>
      <c r="J1503" s="70"/>
      <c r="K1503" s="71"/>
      <c r="L1503" s="71"/>
      <c r="M1503" s="5"/>
    </row>
    <row r="1504" spans="1:13" s="3" customFormat="1">
      <c r="A1504" s="1"/>
      <c r="B1504" s="8"/>
      <c r="C1504" s="5"/>
      <c r="D1504" s="12"/>
      <c r="E1504" s="23"/>
      <c r="F1504" s="9"/>
      <c r="G1504" s="5"/>
      <c r="H1504" s="16"/>
      <c r="I1504" s="69"/>
      <c r="J1504" s="70"/>
      <c r="K1504" s="71"/>
      <c r="L1504" s="71"/>
      <c r="M1504" s="5"/>
    </row>
    <row r="1505" spans="1:13" s="3" customFormat="1">
      <c r="A1505" s="1"/>
      <c r="B1505" s="8"/>
      <c r="C1505" s="5"/>
      <c r="D1505" s="12"/>
      <c r="E1505" s="23"/>
      <c r="F1505" s="9"/>
      <c r="G1505" s="5"/>
      <c r="H1505" s="16"/>
      <c r="I1505" s="69"/>
      <c r="J1505" s="70"/>
      <c r="K1505" s="71"/>
      <c r="L1505" s="71"/>
      <c r="M1505" s="5"/>
    </row>
    <row r="1506" spans="1:13" s="3" customFormat="1">
      <c r="A1506" s="1"/>
      <c r="B1506" s="8"/>
      <c r="C1506" s="5"/>
      <c r="D1506" s="12"/>
      <c r="E1506" s="23"/>
      <c r="F1506" s="9"/>
      <c r="G1506" s="5"/>
      <c r="H1506" s="16"/>
      <c r="I1506" s="69"/>
      <c r="J1506" s="70"/>
      <c r="K1506" s="71"/>
      <c r="L1506" s="71"/>
      <c r="M1506" s="5"/>
    </row>
    <row r="1507" spans="1:13" s="3" customFormat="1">
      <c r="A1507" s="1"/>
      <c r="B1507" s="8"/>
      <c r="C1507" s="5"/>
      <c r="D1507" s="12"/>
      <c r="E1507" s="23"/>
      <c r="F1507" s="9"/>
      <c r="G1507" s="5"/>
      <c r="H1507" s="16"/>
      <c r="I1507" s="69"/>
      <c r="J1507" s="70"/>
      <c r="K1507" s="71"/>
      <c r="L1507" s="71"/>
      <c r="M1507" s="5"/>
    </row>
    <row r="1508" spans="1:13" s="3" customFormat="1">
      <c r="A1508" s="1"/>
      <c r="B1508" s="8"/>
      <c r="C1508" s="5"/>
      <c r="D1508" s="12"/>
      <c r="E1508" s="23"/>
      <c r="F1508" s="9"/>
      <c r="G1508" s="5"/>
      <c r="H1508" s="16"/>
      <c r="I1508" s="69"/>
      <c r="J1508" s="70"/>
      <c r="K1508" s="71"/>
      <c r="L1508" s="71"/>
      <c r="M1508" s="5"/>
    </row>
    <row r="1509" spans="1:13" s="3" customFormat="1">
      <c r="A1509" s="1"/>
      <c r="B1509" s="8"/>
      <c r="C1509" s="5"/>
      <c r="D1509" s="12"/>
      <c r="E1509" s="23"/>
      <c r="F1509" s="9"/>
      <c r="G1509" s="5"/>
      <c r="H1509" s="16"/>
      <c r="I1509" s="69"/>
      <c r="J1509" s="70"/>
      <c r="K1509" s="71"/>
      <c r="L1509" s="71"/>
      <c r="M1509" s="5"/>
    </row>
    <row r="1510" spans="1:13" s="3" customFormat="1">
      <c r="A1510" s="1"/>
      <c r="B1510" s="8"/>
      <c r="C1510" s="5"/>
      <c r="D1510" s="12"/>
      <c r="E1510" s="23"/>
      <c r="F1510" s="9"/>
      <c r="G1510" s="5"/>
      <c r="H1510" s="16"/>
      <c r="I1510" s="69"/>
      <c r="J1510" s="70"/>
      <c r="K1510" s="71"/>
      <c r="L1510" s="71"/>
      <c r="M1510" s="5"/>
    </row>
    <row r="1511" spans="1:13" s="3" customFormat="1">
      <c r="A1511" s="1"/>
      <c r="B1511" s="8"/>
      <c r="C1511" s="5"/>
      <c r="D1511" s="12"/>
      <c r="E1511" s="23"/>
      <c r="F1511" s="9"/>
      <c r="G1511" s="5"/>
      <c r="H1511" s="16"/>
      <c r="I1511" s="69"/>
      <c r="J1511" s="70"/>
      <c r="K1511" s="71"/>
      <c r="L1511" s="71"/>
      <c r="M1511" s="5"/>
    </row>
    <row r="1512" spans="1:13" s="3" customFormat="1">
      <c r="A1512" s="1"/>
      <c r="B1512" s="8"/>
      <c r="C1512" s="5"/>
      <c r="D1512" s="12"/>
      <c r="E1512" s="23"/>
      <c r="F1512" s="9"/>
      <c r="G1512" s="5"/>
      <c r="H1512" s="16"/>
      <c r="I1512" s="69"/>
      <c r="J1512" s="70"/>
      <c r="K1512" s="71"/>
      <c r="L1512" s="71"/>
      <c r="M1512" s="5"/>
    </row>
    <row r="1513" spans="1:13" s="3" customFormat="1">
      <c r="A1513" s="1"/>
      <c r="B1513" s="8"/>
      <c r="C1513" s="5"/>
      <c r="D1513" s="12"/>
      <c r="E1513" s="23"/>
      <c r="F1513" s="9"/>
      <c r="G1513" s="5"/>
      <c r="H1513" s="16"/>
      <c r="I1513" s="69"/>
      <c r="J1513" s="70"/>
      <c r="K1513" s="71"/>
      <c r="L1513" s="71"/>
      <c r="M1513" s="5"/>
    </row>
    <row r="1514" spans="1:13" s="3" customFormat="1">
      <c r="A1514" s="1"/>
      <c r="B1514" s="8"/>
      <c r="C1514" s="5"/>
      <c r="D1514" s="12"/>
      <c r="E1514" s="23"/>
      <c r="F1514" s="9"/>
      <c r="G1514" s="5"/>
      <c r="H1514" s="16"/>
      <c r="I1514" s="69"/>
      <c r="J1514" s="70"/>
      <c r="K1514" s="71"/>
      <c r="L1514" s="71"/>
      <c r="M1514" s="5"/>
    </row>
    <row r="1515" spans="1:13" s="3" customFormat="1">
      <c r="A1515" s="1"/>
      <c r="B1515" s="8"/>
      <c r="C1515" s="5"/>
      <c r="D1515" s="12"/>
      <c r="E1515" s="23"/>
      <c r="F1515" s="9"/>
      <c r="G1515" s="5"/>
      <c r="H1515" s="16"/>
      <c r="I1515" s="69"/>
      <c r="J1515" s="70"/>
      <c r="K1515" s="71"/>
      <c r="L1515" s="71"/>
      <c r="M1515" s="5"/>
    </row>
    <row r="1516" spans="1:13" s="3" customFormat="1">
      <c r="A1516" s="1"/>
      <c r="B1516" s="8"/>
      <c r="C1516" s="5"/>
      <c r="D1516" s="12"/>
      <c r="E1516" s="23"/>
      <c r="F1516" s="9"/>
      <c r="G1516" s="5"/>
      <c r="H1516" s="16"/>
      <c r="I1516" s="69"/>
      <c r="J1516" s="70"/>
      <c r="K1516" s="71"/>
      <c r="L1516" s="71"/>
      <c r="M1516" s="5"/>
    </row>
    <row r="1517" spans="1:13" s="3" customFormat="1">
      <c r="A1517" s="1"/>
      <c r="B1517" s="8"/>
      <c r="C1517" s="5"/>
      <c r="D1517" s="12"/>
      <c r="E1517" s="23"/>
      <c r="F1517" s="9"/>
      <c r="G1517" s="5"/>
      <c r="H1517" s="16"/>
      <c r="I1517" s="69"/>
      <c r="J1517" s="70"/>
      <c r="K1517" s="71"/>
      <c r="L1517" s="71"/>
      <c r="M1517" s="5"/>
    </row>
    <row r="1518" spans="1:13" s="3" customFormat="1">
      <c r="A1518" s="1"/>
      <c r="B1518" s="8"/>
      <c r="C1518" s="5"/>
      <c r="D1518" s="12"/>
      <c r="E1518" s="23"/>
      <c r="F1518" s="9"/>
      <c r="G1518" s="5"/>
      <c r="H1518" s="16"/>
      <c r="I1518" s="69"/>
      <c r="J1518" s="70"/>
      <c r="K1518" s="71"/>
      <c r="L1518" s="71"/>
      <c r="M1518" s="5"/>
    </row>
    <row r="1519" spans="1:13" s="3" customFormat="1">
      <c r="A1519" s="1"/>
      <c r="B1519" s="8"/>
      <c r="C1519" s="5"/>
      <c r="D1519" s="12"/>
      <c r="E1519" s="23"/>
      <c r="F1519" s="9"/>
      <c r="G1519" s="5"/>
      <c r="H1519" s="16"/>
      <c r="I1519" s="69"/>
      <c r="J1519" s="70"/>
      <c r="K1519" s="71"/>
      <c r="L1519" s="71"/>
      <c r="M1519" s="5"/>
    </row>
    <row r="1520" spans="1:13" s="3" customFormat="1">
      <c r="A1520" s="1"/>
      <c r="B1520" s="8"/>
      <c r="C1520" s="5"/>
      <c r="D1520" s="12"/>
      <c r="E1520" s="23"/>
      <c r="F1520" s="9"/>
      <c r="G1520" s="5"/>
      <c r="H1520" s="16"/>
      <c r="I1520" s="69"/>
      <c r="J1520" s="70"/>
      <c r="K1520" s="71"/>
      <c r="L1520" s="71"/>
      <c r="M1520" s="5"/>
    </row>
    <row r="1521" spans="1:13" s="3" customFormat="1">
      <c r="A1521" s="1"/>
      <c r="B1521" s="8"/>
      <c r="C1521" s="5"/>
      <c r="D1521" s="12"/>
      <c r="E1521" s="23"/>
      <c r="F1521" s="9"/>
      <c r="G1521" s="5"/>
      <c r="H1521" s="16"/>
      <c r="I1521" s="69"/>
      <c r="J1521" s="70"/>
      <c r="K1521" s="71"/>
      <c r="L1521" s="71"/>
      <c r="M1521" s="5"/>
    </row>
    <row r="1522" spans="1:13" s="3" customFormat="1">
      <c r="A1522" s="1"/>
      <c r="B1522" s="8"/>
      <c r="C1522" s="5"/>
      <c r="D1522" s="12"/>
      <c r="E1522" s="23"/>
      <c r="F1522" s="9"/>
      <c r="G1522" s="5"/>
      <c r="H1522" s="16"/>
      <c r="I1522" s="69"/>
      <c r="J1522" s="70"/>
      <c r="K1522" s="71"/>
      <c r="L1522" s="71"/>
      <c r="M1522" s="5"/>
    </row>
    <row r="1523" spans="1:13" s="3" customFormat="1">
      <c r="A1523" s="1"/>
      <c r="B1523" s="8"/>
      <c r="C1523" s="5"/>
      <c r="D1523" s="12"/>
      <c r="E1523" s="23"/>
      <c r="F1523" s="9"/>
      <c r="G1523" s="5"/>
      <c r="H1523" s="16"/>
      <c r="I1523" s="69"/>
      <c r="J1523" s="70"/>
      <c r="K1523" s="71"/>
      <c r="L1523" s="71"/>
      <c r="M1523" s="5"/>
    </row>
    <row r="1524" spans="1:13" s="3" customFormat="1">
      <c r="A1524" s="1"/>
      <c r="B1524" s="8"/>
      <c r="C1524" s="5"/>
      <c r="D1524" s="12"/>
      <c r="E1524" s="23"/>
      <c r="F1524" s="9"/>
      <c r="G1524" s="5"/>
      <c r="H1524" s="16"/>
      <c r="I1524" s="69"/>
      <c r="J1524" s="70"/>
      <c r="K1524" s="71"/>
      <c r="L1524" s="71"/>
      <c r="M1524" s="5"/>
    </row>
    <row r="1525" spans="1:13" s="3" customFormat="1">
      <c r="A1525" s="1"/>
      <c r="B1525" s="8"/>
      <c r="C1525" s="5"/>
      <c r="D1525" s="12"/>
      <c r="E1525" s="23"/>
      <c r="F1525" s="9"/>
      <c r="G1525" s="5"/>
      <c r="H1525" s="16"/>
      <c r="I1525" s="69"/>
      <c r="J1525" s="70"/>
      <c r="K1525" s="71"/>
      <c r="L1525" s="71"/>
      <c r="M1525" s="5"/>
    </row>
    <row r="1526" spans="1:13" s="3" customFormat="1">
      <c r="A1526" s="1"/>
      <c r="B1526" s="8"/>
      <c r="C1526" s="5"/>
      <c r="D1526" s="12"/>
      <c r="E1526" s="23"/>
      <c r="F1526" s="9"/>
      <c r="G1526" s="5"/>
      <c r="H1526" s="16"/>
      <c r="I1526" s="69"/>
      <c r="J1526" s="70"/>
      <c r="K1526" s="71"/>
      <c r="L1526" s="71"/>
      <c r="M1526" s="5"/>
    </row>
    <row r="1527" spans="1:13" s="3" customFormat="1">
      <c r="A1527" s="1"/>
      <c r="B1527" s="8"/>
      <c r="C1527" s="5"/>
      <c r="D1527" s="12"/>
      <c r="E1527" s="23"/>
      <c r="F1527" s="9"/>
      <c r="G1527" s="5"/>
      <c r="H1527" s="16"/>
      <c r="I1527" s="69"/>
      <c r="J1527" s="70"/>
      <c r="K1527" s="71"/>
      <c r="L1527" s="71"/>
      <c r="M1527" s="5"/>
    </row>
    <row r="1528" spans="1:13" s="3" customFormat="1">
      <c r="A1528" s="1"/>
      <c r="B1528" s="8"/>
      <c r="C1528" s="5"/>
      <c r="D1528" s="12"/>
      <c r="E1528" s="23"/>
      <c r="F1528" s="9"/>
      <c r="G1528" s="5"/>
      <c r="H1528" s="16"/>
      <c r="I1528" s="69"/>
      <c r="J1528" s="70"/>
      <c r="K1528" s="71"/>
      <c r="L1528" s="71"/>
      <c r="M1528" s="5"/>
    </row>
    <row r="1529" spans="1:13" s="3" customFormat="1">
      <c r="A1529" s="1"/>
      <c r="B1529" s="8"/>
      <c r="C1529" s="5"/>
      <c r="D1529" s="12"/>
      <c r="E1529" s="23"/>
      <c r="F1529" s="9"/>
      <c r="G1529" s="5"/>
      <c r="H1529" s="16"/>
      <c r="I1529" s="69"/>
      <c r="J1529" s="70"/>
      <c r="K1529" s="71"/>
      <c r="L1529" s="71"/>
      <c r="M1529" s="5"/>
    </row>
    <row r="1530" spans="1:13" s="3" customFormat="1">
      <c r="A1530" s="1"/>
      <c r="B1530" s="8"/>
      <c r="C1530" s="5"/>
      <c r="D1530" s="12"/>
      <c r="E1530" s="23"/>
      <c r="F1530" s="9"/>
      <c r="G1530" s="5"/>
      <c r="H1530" s="16"/>
      <c r="I1530" s="69"/>
      <c r="J1530" s="70"/>
      <c r="K1530" s="71"/>
      <c r="L1530" s="71"/>
      <c r="M1530" s="5"/>
    </row>
    <row r="1531" spans="1:13" s="3" customFormat="1">
      <c r="A1531" s="1"/>
      <c r="B1531" s="8"/>
      <c r="C1531" s="5"/>
      <c r="D1531" s="12"/>
      <c r="E1531" s="23"/>
      <c r="F1531" s="9"/>
      <c r="G1531" s="5"/>
      <c r="H1531" s="16"/>
      <c r="I1531" s="69"/>
      <c r="J1531" s="70"/>
      <c r="K1531" s="71"/>
      <c r="L1531" s="71"/>
      <c r="M1531" s="5"/>
    </row>
    <row r="1532" spans="1:13" s="3" customFormat="1">
      <c r="A1532" s="1"/>
      <c r="B1532" s="8"/>
      <c r="C1532" s="5"/>
      <c r="D1532" s="12"/>
      <c r="E1532" s="23"/>
      <c r="F1532" s="9"/>
      <c r="G1532" s="5"/>
      <c r="H1532" s="16"/>
      <c r="I1532" s="69"/>
      <c r="J1532" s="70"/>
      <c r="K1532" s="71"/>
      <c r="L1532" s="71"/>
      <c r="M1532" s="5"/>
    </row>
    <row r="1533" spans="1:13" s="3" customFormat="1">
      <c r="A1533" s="1"/>
      <c r="B1533" s="8"/>
      <c r="C1533" s="5"/>
      <c r="D1533" s="12"/>
      <c r="E1533" s="23"/>
      <c r="F1533" s="9"/>
      <c r="G1533" s="5"/>
      <c r="H1533" s="16"/>
      <c r="I1533" s="69"/>
      <c r="J1533" s="70"/>
      <c r="K1533" s="71"/>
      <c r="L1533" s="71"/>
      <c r="M1533" s="5"/>
    </row>
    <row r="1534" spans="1:13" s="3" customFormat="1">
      <c r="A1534" s="1"/>
      <c r="B1534" s="8"/>
      <c r="C1534" s="5"/>
      <c r="D1534" s="12"/>
      <c r="E1534" s="23"/>
      <c r="F1534" s="9"/>
      <c r="G1534" s="5"/>
      <c r="H1534" s="16"/>
      <c r="I1534" s="69"/>
      <c r="J1534" s="70"/>
      <c r="K1534" s="71"/>
      <c r="L1534" s="71"/>
      <c r="M1534" s="5"/>
    </row>
    <row r="1535" spans="1:13" s="3" customFormat="1">
      <c r="A1535" s="1"/>
      <c r="B1535" s="8"/>
      <c r="C1535" s="5"/>
      <c r="D1535" s="12"/>
      <c r="E1535" s="23"/>
      <c r="F1535" s="9"/>
      <c r="G1535" s="5"/>
      <c r="H1535" s="16"/>
      <c r="I1535" s="69"/>
      <c r="J1535" s="70"/>
      <c r="K1535" s="71"/>
      <c r="L1535" s="71"/>
      <c r="M1535" s="5"/>
    </row>
    <row r="1536" spans="1:13" s="3" customFormat="1">
      <c r="A1536" s="1"/>
      <c r="B1536" s="8"/>
      <c r="C1536" s="5"/>
      <c r="D1536" s="12"/>
      <c r="E1536" s="23"/>
      <c r="F1536" s="9"/>
      <c r="G1536" s="5"/>
      <c r="H1536" s="16"/>
      <c r="I1536" s="69"/>
      <c r="J1536" s="70"/>
      <c r="K1536" s="71"/>
      <c r="L1536" s="71"/>
      <c r="M1536" s="5"/>
    </row>
    <row r="1537" spans="1:13" s="3" customFormat="1">
      <c r="A1537" s="1"/>
      <c r="B1537" s="8"/>
      <c r="C1537" s="5"/>
      <c r="D1537" s="12"/>
      <c r="E1537" s="23"/>
      <c r="F1537" s="9"/>
      <c r="G1537" s="5"/>
      <c r="H1537" s="16"/>
      <c r="I1537" s="69"/>
      <c r="J1537" s="70"/>
      <c r="K1537" s="71"/>
      <c r="L1537" s="71"/>
      <c r="M1537" s="5"/>
    </row>
    <row r="1538" spans="1:13" s="3" customFormat="1">
      <c r="A1538" s="1"/>
      <c r="B1538" s="8"/>
      <c r="C1538" s="5"/>
      <c r="D1538" s="12"/>
      <c r="E1538" s="23"/>
      <c r="F1538" s="9"/>
      <c r="G1538" s="5"/>
      <c r="H1538" s="16"/>
      <c r="I1538" s="69"/>
      <c r="J1538" s="70"/>
      <c r="K1538" s="71"/>
      <c r="L1538" s="71"/>
      <c r="M1538" s="5"/>
    </row>
    <row r="1539" spans="1:13" s="3" customFormat="1">
      <c r="A1539" s="1"/>
      <c r="B1539" s="8"/>
      <c r="C1539" s="5"/>
      <c r="D1539" s="12"/>
      <c r="E1539" s="23"/>
      <c r="F1539" s="9"/>
      <c r="G1539" s="5"/>
      <c r="H1539" s="16"/>
      <c r="I1539" s="69"/>
      <c r="J1539" s="70"/>
      <c r="K1539" s="71"/>
      <c r="L1539" s="71"/>
      <c r="M1539" s="5"/>
    </row>
    <row r="1540" spans="1:13" s="3" customFormat="1">
      <c r="A1540" s="1"/>
      <c r="B1540" s="8"/>
      <c r="C1540" s="5"/>
      <c r="D1540" s="12"/>
      <c r="E1540" s="23"/>
      <c r="F1540" s="9"/>
      <c r="G1540" s="5"/>
      <c r="H1540" s="16"/>
      <c r="I1540" s="69"/>
      <c r="J1540" s="70"/>
      <c r="K1540" s="71"/>
      <c r="L1540" s="71"/>
      <c r="M1540" s="5"/>
    </row>
    <row r="1541" spans="1:13" s="3" customFormat="1">
      <c r="A1541" s="1"/>
      <c r="B1541" s="8"/>
      <c r="C1541" s="5"/>
      <c r="D1541" s="12"/>
      <c r="E1541" s="23"/>
      <c r="F1541" s="9"/>
      <c r="G1541" s="5"/>
      <c r="H1541" s="16"/>
      <c r="I1541" s="69"/>
      <c r="J1541" s="70"/>
      <c r="K1541" s="71"/>
      <c r="L1541" s="71"/>
      <c r="M1541" s="5"/>
    </row>
    <row r="1542" spans="1:13" s="3" customFormat="1">
      <c r="A1542" s="1"/>
      <c r="B1542" s="8"/>
      <c r="C1542" s="5"/>
      <c r="D1542" s="12"/>
      <c r="E1542" s="23"/>
      <c r="F1542" s="9"/>
      <c r="G1542" s="5"/>
      <c r="H1542" s="16"/>
      <c r="I1542" s="69"/>
      <c r="J1542" s="70"/>
      <c r="K1542" s="71"/>
      <c r="L1542" s="71"/>
      <c r="M1542" s="5"/>
    </row>
    <row r="1543" spans="1:13" s="3" customFormat="1">
      <c r="A1543" s="1"/>
      <c r="B1543" s="8"/>
      <c r="C1543" s="5"/>
      <c r="D1543" s="12"/>
      <c r="E1543" s="23"/>
      <c r="F1543" s="9"/>
      <c r="G1543" s="5"/>
      <c r="H1543" s="16"/>
      <c r="I1543" s="69"/>
      <c r="J1543" s="70"/>
      <c r="K1543" s="71"/>
      <c r="L1543" s="71"/>
      <c r="M1543" s="5"/>
    </row>
    <row r="1544" spans="1:13" s="3" customFormat="1">
      <c r="A1544" s="1"/>
      <c r="B1544" s="8"/>
      <c r="C1544" s="5"/>
      <c r="D1544" s="12"/>
      <c r="E1544" s="23"/>
      <c r="F1544" s="9"/>
      <c r="G1544" s="5"/>
      <c r="H1544" s="16"/>
      <c r="I1544" s="69"/>
      <c r="J1544" s="70"/>
      <c r="K1544" s="71"/>
      <c r="L1544" s="71"/>
      <c r="M1544" s="5"/>
    </row>
    <row r="1545" spans="1:13" s="3" customFormat="1">
      <c r="A1545" s="1"/>
      <c r="B1545" s="8"/>
      <c r="C1545" s="5"/>
      <c r="D1545" s="12"/>
      <c r="E1545" s="23"/>
      <c r="F1545" s="9"/>
      <c r="G1545" s="5"/>
      <c r="H1545" s="16"/>
      <c r="I1545" s="69"/>
      <c r="J1545" s="70"/>
      <c r="K1545" s="71"/>
      <c r="L1545" s="71"/>
      <c r="M1545" s="5"/>
    </row>
    <row r="1546" spans="1:13" s="3" customFormat="1">
      <c r="A1546" s="1"/>
      <c r="B1546" s="8"/>
      <c r="C1546" s="5"/>
      <c r="D1546" s="12"/>
      <c r="E1546" s="23"/>
      <c r="F1546" s="9"/>
      <c r="G1546" s="5"/>
      <c r="H1546" s="16"/>
      <c r="I1546" s="69"/>
      <c r="J1546" s="70"/>
      <c r="K1546" s="71"/>
      <c r="L1546" s="71"/>
      <c r="M1546" s="5"/>
    </row>
    <row r="1547" spans="1:13" s="3" customFormat="1">
      <c r="A1547" s="1"/>
      <c r="B1547" s="8"/>
      <c r="C1547" s="5"/>
      <c r="D1547" s="12"/>
      <c r="E1547" s="23"/>
      <c r="F1547" s="9"/>
      <c r="G1547" s="5"/>
      <c r="H1547" s="16"/>
      <c r="I1547" s="69"/>
      <c r="J1547" s="70"/>
      <c r="K1547" s="71"/>
      <c r="L1547" s="71"/>
      <c r="M1547" s="5"/>
    </row>
    <row r="1548" spans="1:13" s="3" customFormat="1">
      <c r="A1548" s="1"/>
      <c r="B1548" s="8"/>
      <c r="C1548" s="5"/>
      <c r="D1548" s="12"/>
      <c r="E1548" s="23"/>
      <c r="F1548" s="9"/>
      <c r="G1548" s="5"/>
      <c r="H1548" s="16"/>
      <c r="I1548" s="69"/>
      <c r="J1548" s="70"/>
      <c r="K1548" s="71"/>
      <c r="L1548" s="71"/>
      <c r="M1548" s="5"/>
    </row>
    <row r="1549" spans="1:13" s="3" customFormat="1">
      <c r="A1549" s="1"/>
      <c r="B1549" s="8"/>
      <c r="C1549" s="5"/>
      <c r="D1549" s="12"/>
      <c r="E1549" s="23"/>
      <c r="F1549" s="9"/>
      <c r="G1549" s="5"/>
      <c r="H1549" s="16"/>
      <c r="I1549" s="69"/>
      <c r="J1549" s="70"/>
      <c r="K1549" s="71"/>
      <c r="L1549" s="71"/>
      <c r="M1549" s="5"/>
    </row>
    <row r="1550" spans="1:13" s="3" customFormat="1">
      <c r="A1550" s="1"/>
      <c r="B1550" s="8"/>
      <c r="C1550" s="5"/>
      <c r="D1550" s="12"/>
      <c r="E1550" s="23"/>
      <c r="F1550" s="9"/>
      <c r="G1550" s="5"/>
      <c r="H1550" s="16"/>
      <c r="I1550" s="69"/>
      <c r="J1550" s="70"/>
      <c r="K1550" s="71"/>
      <c r="L1550" s="71"/>
      <c r="M1550" s="5"/>
    </row>
    <row r="1551" spans="1:13" s="3" customFormat="1">
      <c r="A1551" s="1"/>
      <c r="B1551" s="8"/>
      <c r="C1551" s="5"/>
      <c r="D1551" s="12"/>
      <c r="E1551" s="23"/>
      <c r="F1551" s="9"/>
      <c r="G1551" s="5"/>
      <c r="H1551" s="16"/>
      <c r="I1551" s="69"/>
      <c r="J1551" s="70"/>
      <c r="K1551" s="71"/>
      <c r="L1551" s="71"/>
      <c r="M1551" s="5"/>
    </row>
    <row r="1552" spans="1:13" s="3" customFormat="1">
      <c r="A1552" s="1"/>
      <c r="B1552" s="8"/>
      <c r="C1552" s="5"/>
      <c r="D1552" s="12"/>
      <c r="E1552" s="23"/>
      <c r="F1552" s="9"/>
      <c r="G1552" s="5"/>
      <c r="H1552" s="16"/>
      <c r="I1552" s="69"/>
      <c r="J1552" s="70"/>
      <c r="K1552" s="71"/>
      <c r="L1552" s="71"/>
      <c r="M1552" s="5"/>
    </row>
    <row r="1553" spans="1:13" s="3" customFormat="1">
      <c r="A1553" s="1"/>
      <c r="B1553" s="8"/>
      <c r="C1553" s="5"/>
      <c r="D1553" s="12"/>
      <c r="E1553" s="23"/>
      <c r="F1553" s="9"/>
      <c r="G1553" s="5"/>
      <c r="H1553" s="16"/>
      <c r="I1553" s="69"/>
      <c r="J1553" s="70"/>
      <c r="K1553" s="71"/>
      <c r="L1553" s="71"/>
      <c r="M1553" s="5"/>
    </row>
    <row r="1554" spans="1:13" s="3" customFormat="1">
      <c r="A1554" s="1"/>
      <c r="B1554" s="8"/>
      <c r="C1554" s="5"/>
      <c r="D1554" s="12"/>
      <c r="E1554" s="23"/>
      <c r="F1554" s="9"/>
      <c r="G1554" s="5"/>
      <c r="H1554" s="16"/>
      <c r="I1554" s="69"/>
      <c r="J1554" s="70"/>
      <c r="K1554" s="71"/>
      <c r="L1554" s="71"/>
      <c r="M1554" s="5"/>
    </row>
    <row r="1555" spans="1:13" s="3" customFormat="1">
      <c r="A1555" s="1"/>
      <c r="B1555" s="8"/>
      <c r="C1555" s="5"/>
      <c r="D1555" s="12"/>
      <c r="E1555" s="23"/>
      <c r="F1555" s="9"/>
      <c r="G1555" s="5"/>
      <c r="H1555" s="16"/>
      <c r="I1555" s="69"/>
      <c r="J1555" s="70"/>
      <c r="K1555" s="71"/>
      <c r="L1555" s="71"/>
      <c r="M1555" s="5"/>
    </row>
    <row r="1556" spans="1:13" s="3" customFormat="1">
      <c r="A1556" s="1"/>
      <c r="B1556" s="8"/>
      <c r="C1556" s="5"/>
      <c r="D1556" s="12"/>
      <c r="E1556" s="23"/>
      <c r="F1556" s="9"/>
      <c r="G1556" s="5"/>
      <c r="H1556" s="16"/>
      <c r="I1556" s="69"/>
      <c r="J1556" s="70"/>
      <c r="K1556" s="71"/>
      <c r="L1556" s="71"/>
      <c r="M1556" s="5"/>
    </row>
    <row r="1557" spans="1:13" s="3" customFormat="1">
      <c r="A1557" s="1"/>
      <c r="B1557" s="8"/>
      <c r="C1557" s="5"/>
      <c r="D1557" s="12"/>
      <c r="E1557" s="23"/>
      <c r="F1557" s="9"/>
      <c r="G1557" s="5"/>
      <c r="H1557" s="16"/>
      <c r="I1557" s="69"/>
      <c r="J1557" s="70"/>
      <c r="K1557" s="71"/>
      <c r="L1557" s="71"/>
      <c r="M1557" s="5"/>
    </row>
    <row r="1558" spans="1:13" s="3" customFormat="1">
      <c r="A1558" s="1"/>
      <c r="B1558" s="8"/>
      <c r="C1558" s="5"/>
      <c r="D1558" s="12"/>
      <c r="E1558" s="23"/>
      <c r="F1558" s="9"/>
      <c r="G1558" s="5"/>
      <c r="H1558" s="16"/>
      <c r="I1558" s="69"/>
      <c r="J1558" s="70"/>
      <c r="K1558" s="71"/>
      <c r="L1558" s="71"/>
      <c r="M1558" s="5"/>
    </row>
    <row r="1559" spans="1:13" s="3" customFormat="1">
      <c r="A1559" s="1"/>
      <c r="B1559" s="8"/>
      <c r="C1559" s="5"/>
      <c r="D1559" s="12"/>
      <c r="E1559" s="23"/>
      <c r="F1559" s="9"/>
      <c r="G1559" s="5"/>
      <c r="H1559" s="16"/>
      <c r="I1559" s="69"/>
      <c r="J1559" s="70"/>
      <c r="K1559" s="71"/>
      <c r="L1559" s="71"/>
      <c r="M1559" s="5"/>
    </row>
    <row r="1560" spans="1:13" s="3" customFormat="1">
      <c r="A1560" s="1"/>
      <c r="B1560" s="8"/>
      <c r="C1560" s="5"/>
      <c r="D1560" s="12"/>
      <c r="E1560" s="23"/>
      <c r="F1560" s="9"/>
      <c r="G1560" s="5"/>
      <c r="H1560" s="16"/>
      <c r="I1560" s="69"/>
      <c r="J1560" s="70"/>
      <c r="K1560" s="71"/>
      <c r="L1560" s="71"/>
      <c r="M1560" s="5"/>
    </row>
    <row r="1561" spans="1:13" s="3" customFormat="1">
      <c r="A1561" s="1"/>
      <c r="B1561" s="8"/>
      <c r="C1561" s="5"/>
      <c r="D1561" s="12"/>
      <c r="E1561" s="23"/>
      <c r="F1561" s="9"/>
      <c r="G1561" s="5"/>
      <c r="H1561" s="16"/>
      <c r="I1561" s="69"/>
      <c r="J1561" s="70"/>
      <c r="K1561" s="71"/>
      <c r="L1561" s="71"/>
      <c r="M1561" s="5"/>
    </row>
    <row r="1562" spans="1:13" s="3" customFormat="1">
      <c r="A1562" s="1"/>
      <c r="B1562" s="8"/>
      <c r="C1562" s="5"/>
      <c r="D1562" s="12"/>
      <c r="E1562" s="23"/>
      <c r="F1562" s="9"/>
      <c r="G1562" s="5"/>
      <c r="H1562" s="16"/>
      <c r="I1562" s="69"/>
      <c r="J1562" s="70"/>
      <c r="K1562" s="71"/>
      <c r="L1562" s="71"/>
      <c r="M1562" s="5"/>
    </row>
    <row r="1563" spans="1:13" s="3" customFormat="1">
      <c r="A1563" s="1"/>
      <c r="B1563" s="8"/>
      <c r="C1563" s="5"/>
      <c r="D1563" s="12"/>
      <c r="E1563" s="23"/>
      <c r="F1563" s="9"/>
      <c r="G1563" s="5"/>
      <c r="H1563" s="16"/>
      <c r="I1563" s="69"/>
      <c r="J1563" s="70"/>
      <c r="K1563" s="71"/>
      <c r="L1563" s="71"/>
      <c r="M1563" s="5"/>
    </row>
    <row r="1564" spans="1:13" s="3" customFormat="1">
      <c r="A1564" s="1"/>
      <c r="B1564" s="8"/>
      <c r="C1564" s="5"/>
      <c r="D1564" s="12"/>
      <c r="E1564" s="23"/>
      <c r="F1564" s="9"/>
      <c r="G1564" s="5"/>
      <c r="H1564" s="16"/>
      <c r="I1564" s="69"/>
      <c r="J1564" s="70"/>
      <c r="K1564" s="71"/>
      <c r="L1564" s="71"/>
      <c r="M1564" s="5"/>
    </row>
    <row r="1565" spans="1:13" s="3" customFormat="1">
      <c r="A1565" s="1"/>
      <c r="B1565" s="8"/>
      <c r="C1565" s="5"/>
      <c r="D1565" s="12"/>
      <c r="E1565" s="23"/>
      <c r="F1565" s="9"/>
      <c r="G1565" s="5"/>
      <c r="H1565" s="16"/>
      <c r="I1565" s="69"/>
      <c r="J1565" s="70"/>
      <c r="K1565" s="71"/>
      <c r="L1565" s="71"/>
      <c r="M1565" s="5"/>
    </row>
    <row r="1566" spans="1:13" s="3" customFormat="1">
      <c r="A1566" s="1"/>
      <c r="B1566" s="8"/>
      <c r="C1566" s="5"/>
      <c r="D1566" s="12"/>
      <c r="E1566" s="23"/>
      <c r="F1566" s="9"/>
      <c r="G1566" s="5"/>
      <c r="H1566" s="16"/>
      <c r="I1566" s="69"/>
      <c r="J1566" s="70"/>
      <c r="K1566" s="71"/>
      <c r="L1566" s="71"/>
      <c r="M1566" s="5"/>
    </row>
    <row r="1567" spans="1:13" s="3" customFormat="1">
      <c r="A1567" s="1"/>
      <c r="B1567" s="8"/>
      <c r="C1567" s="5"/>
      <c r="D1567" s="12"/>
      <c r="E1567" s="23"/>
      <c r="F1567" s="9"/>
      <c r="G1567" s="5"/>
      <c r="H1567" s="16"/>
      <c r="I1567" s="69"/>
      <c r="J1567" s="70"/>
      <c r="K1567" s="71"/>
      <c r="L1567" s="71"/>
      <c r="M1567" s="5"/>
    </row>
    <row r="1568" spans="1:13" s="3" customFormat="1">
      <c r="A1568" s="1"/>
      <c r="B1568" s="8"/>
      <c r="C1568" s="5"/>
      <c r="D1568" s="12"/>
      <c r="E1568" s="23"/>
      <c r="F1568" s="9"/>
      <c r="G1568" s="5"/>
      <c r="H1568" s="16"/>
      <c r="I1568" s="69"/>
      <c r="J1568" s="70"/>
      <c r="K1568" s="71"/>
      <c r="L1568" s="71"/>
      <c r="M1568" s="5"/>
    </row>
    <row r="1569" spans="1:13" s="3" customFormat="1">
      <c r="A1569" s="1"/>
      <c r="B1569" s="8"/>
      <c r="C1569" s="5"/>
      <c r="D1569" s="12"/>
      <c r="E1569" s="23"/>
      <c r="F1569" s="9"/>
      <c r="G1569" s="5"/>
      <c r="H1569" s="16"/>
      <c r="I1569" s="69"/>
      <c r="J1569" s="70"/>
      <c r="K1569" s="71"/>
      <c r="L1569" s="71"/>
      <c r="M1569" s="5"/>
    </row>
    <row r="1570" spans="1:13" s="3" customFormat="1">
      <c r="A1570" s="1"/>
      <c r="B1570" s="8"/>
      <c r="C1570" s="5"/>
      <c r="D1570" s="12"/>
      <c r="E1570" s="23"/>
      <c r="F1570" s="9"/>
      <c r="G1570" s="5"/>
      <c r="H1570" s="16"/>
      <c r="I1570" s="69"/>
      <c r="J1570" s="70"/>
      <c r="K1570" s="71"/>
      <c r="L1570" s="71"/>
      <c r="M1570" s="5"/>
    </row>
    <row r="1571" spans="1:13" s="3" customFormat="1">
      <c r="A1571" s="1"/>
      <c r="B1571" s="8"/>
      <c r="C1571" s="5"/>
      <c r="D1571" s="12"/>
      <c r="E1571" s="23"/>
      <c r="F1571" s="9"/>
      <c r="G1571" s="5"/>
      <c r="H1571" s="16"/>
      <c r="I1571" s="69"/>
      <c r="J1571" s="70"/>
      <c r="K1571" s="71"/>
      <c r="L1571" s="71"/>
      <c r="M1571" s="5"/>
    </row>
    <row r="1572" spans="1:13" s="3" customFormat="1">
      <c r="A1572" s="1"/>
      <c r="B1572" s="8"/>
      <c r="C1572" s="5"/>
      <c r="D1572" s="12"/>
      <c r="E1572" s="23"/>
      <c r="F1572" s="9"/>
      <c r="G1572" s="5"/>
      <c r="H1572" s="16"/>
      <c r="I1572" s="69"/>
      <c r="J1572" s="70"/>
      <c r="K1572" s="71"/>
      <c r="L1572" s="71"/>
      <c r="M1572" s="5"/>
    </row>
    <row r="1573" spans="1:13" s="3" customFormat="1">
      <c r="A1573" s="1"/>
      <c r="B1573" s="8"/>
      <c r="C1573" s="5"/>
      <c r="D1573" s="12"/>
      <c r="E1573" s="23"/>
      <c r="F1573" s="9"/>
      <c r="G1573" s="5"/>
      <c r="H1573" s="16"/>
      <c r="I1573" s="69"/>
      <c r="J1573" s="70"/>
      <c r="K1573" s="71"/>
      <c r="L1573" s="71"/>
      <c r="M1573" s="5"/>
    </row>
    <row r="1574" spans="1:13" s="3" customFormat="1">
      <c r="A1574" s="1"/>
      <c r="B1574" s="8"/>
      <c r="C1574" s="5"/>
      <c r="D1574" s="12"/>
      <c r="E1574" s="23"/>
      <c r="F1574" s="9"/>
      <c r="G1574" s="5"/>
      <c r="H1574" s="16"/>
      <c r="I1574" s="69"/>
      <c r="J1574" s="70"/>
      <c r="K1574" s="71"/>
      <c r="L1574" s="71"/>
      <c r="M1574" s="5"/>
    </row>
    <row r="1575" spans="1:13" s="3" customFormat="1">
      <c r="A1575" s="1"/>
      <c r="B1575" s="8"/>
      <c r="C1575" s="5"/>
      <c r="D1575" s="12"/>
      <c r="E1575" s="23"/>
      <c r="F1575" s="9"/>
      <c r="G1575" s="5"/>
      <c r="H1575" s="16"/>
      <c r="I1575" s="69"/>
      <c r="J1575" s="70"/>
      <c r="K1575" s="71"/>
      <c r="L1575" s="71"/>
      <c r="M1575" s="5"/>
    </row>
    <row r="1576" spans="1:13" s="3" customFormat="1">
      <c r="A1576" s="1"/>
      <c r="B1576" s="8"/>
      <c r="C1576" s="5"/>
      <c r="D1576" s="12"/>
      <c r="E1576" s="23"/>
      <c r="F1576" s="9"/>
      <c r="G1576" s="5"/>
      <c r="H1576" s="16"/>
      <c r="I1576" s="69"/>
      <c r="J1576" s="70"/>
      <c r="K1576" s="71"/>
      <c r="L1576" s="71"/>
      <c r="M1576" s="5"/>
    </row>
    <row r="1577" spans="1:13" s="3" customFormat="1">
      <c r="A1577" s="1"/>
      <c r="B1577" s="8"/>
      <c r="C1577" s="5"/>
      <c r="D1577" s="12"/>
      <c r="E1577" s="23"/>
      <c r="F1577" s="9"/>
      <c r="G1577" s="5"/>
      <c r="H1577" s="16"/>
      <c r="I1577" s="69"/>
      <c r="J1577" s="70"/>
      <c r="K1577" s="71"/>
      <c r="L1577" s="71"/>
      <c r="M1577" s="5"/>
    </row>
    <row r="1578" spans="1:13" s="3" customFormat="1">
      <c r="A1578" s="1"/>
      <c r="B1578" s="8"/>
      <c r="C1578" s="5"/>
      <c r="D1578" s="12"/>
      <c r="E1578" s="23"/>
      <c r="F1578" s="9"/>
      <c r="G1578" s="5"/>
      <c r="H1578" s="16"/>
      <c r="I1578" s="69"/>
      <c r="J1578" s="70"/>
      <c r="K1578" s="71"/>
      <c r="L1578" s="71"/>
      <c r="M1578" s="5"/>
    </row>
    <row r="1579" spans="1:13" s="3" customFormat="1">
      <c r="A1579" s="1"/>
      <c r="B1579" s="8"/>
      <c r="C1579" s="5"/>
      <c r="D1579" s="12"/>
      <c r="E1579" s="23"/>
      <c r="F1579" s="9"/>
      <c r="G1579" s="5"/>
      <c r="H1579" s="16"/>
      <c r="I1579" s="69"/>
      <c r="J1579" s="70"/>
      <c r="K1579" s="71"/>
      <c r="L1579" s="71"/>
      <c r="M1579" s="5"/>
    </row>
    <row r="1580" spans="1:13" s="3" customFormat="1">
      <c r="A1580" s="1"/>
      <c r="B1580" s="8"/>
      <c r="C1580" s="5"/>
      <c r="D1580" s="12"/>
      <c r="E1580" s="23"/>
      <c r="F1580" s="9"/>
      <c r="G1580" s="5"/>
      <c r="H1580" s="16"/>
      <c r="I1580" s="69"/>
      <c r="J1580" s="70"/>
      <c r="K1580" s="71"/>
      <c r="L1580" s="71"/>
      <c r="M1580" s="5"/>
    </row>
    <row r="1581" spans="1:13" s="3" customFormat="1">
      <c r="A1581" s="1"/>
      <c r="B1581" s="8"/>
      <c r="C1581" s="5"/>
      <c r="D1581" s="12"/>
      <c r="E1581" s="23"/>
      <c r="F1581" s="9"/>
      <c r="G1581" s="5"/>
      <c r="H1581" s="16"/>
      <c r="I1581" s="69"/>
      <c r="J1581" s="70"/>
      <c r="K1581" s="71"/>
      <c r="L1581" s="71"/>
      <c r="M1581" s="5"/>
    </row>
    <row r="1582" spans="1:13" s="3" customFormat="1">
      <c r="A1582" s="1"/>
      <c r="B1582" s="8"/>
      <c r="C1582" s="5"/>
      <c r="D1582" s="12"/>
      <c r="E1582" s="23"/>
      <c r="F1582" s="9"/>
      <c r="G1582" s="5"/>
      <c r="H1582" s="16"/>
      <c r="I1582" s="69"/>
      <c r="J1582" s="70"/>
      <c r="K1582" s="71"/>
      <c r="L1582" s="71"/>
      <c r="M1582" s="5"/>
    </row>
    <row r="1583" spans="1:13" s="3" customFormat="1">
      <c r="A1583" s="1"/>
      <c r="B1583" s="8"/>
      <c r="C1583" s="5"/>
      <c r="D1583" s="12"/>
      <c r="E1583" s="23"/>
      <c r="F1583" s="9"/>
      <c r="G1583" s="5"/>
      <c r="H1583" s="16"/>
      <c r="I1583" s="69"/>
      <c r="J1583" s="70"/>
      <c r="K1583" s="71"/>
      <c r="L1583" s="71"/>
      <c r="M1583" s="5"/>
    </row>
    <row r="1584" spans="1:13" s="3" customFormat="1">
      <c r="A1584" s="1"/>
      <c r="B1584" s="8"/>
      <c r="C1584" s="5"/>
      <c r="D1584" s="12"/>
      <c r="E1584" s="23"/>
      <c r="F1584" s="9"/>
      <c r="G1584" s="5"/>
      <c r="H1584" s="16"/>
      <c r="I1584" s="69"/>
      <c r="J1584" s="70"/>
      <c r="K1584" s="71"/>
      <c r="L1584" s="71"/>
      <c r="M1584" s="5"/>
    </row>
    <row r="1585" spans="1:13" s="3" customFormat="1">
      <c r="A1585" s="1"/>
      <c r="B1585" s="8"/>
      <c r="C1585" s="5"/>
      <c r="D1585" s="12"/>
      <c r="E1585" s="23"/>
      <c r="F1585" s="9"/>
      <c r="G1585" s="5"/>
      <c r="H1585" s="16"/>
      <c r="I1585" s="69"/>
      <c r="J1585" s="70"/>
      <c r="K1585" s="71"/>
      <c r="L1585" s="71"/>
      <c r="M1585" s="5"/>
    </row>
    <row r="1586" spans="1:13" s="3" customFormat="1">
      <c r="A1586" s="1"/>
      <c r="B1586" s="8"/>
      <c r="C1586" s="5"/>
      <c r="D1586" s="12"/>
      <c r="E1586" s="23"/>
      <c r="F1586" s="9"/>
      <c r="G1586" s="5"/>
      <c r="H1586" s="16"/>
      <c r="I1586" s="69"/>
      <c r="J1586" s="70"/>
      <c r="K1586" s="71"/>
      <c r="L1586" s="71"/>
      <c r="M1586" s="5"/>
    </row>
    <row r="1587" spans="1:13" s="3" customFormat="1">
      <c r="A1587" s="1"/>
      <c r="B1587" s="8"/>
      <c r="C1587" s="5"/>
      <c r="D1587" s="12"/>
      <c r="E1587" s="23"/>
      <c r="F1587" s="9"/>
      <c r="G1587" s="5"/>
      <c r="H1587" s="16"/>
      <c r="I1587" s="69"/>
      <c r="J1587" s="70"/>
      <c r="K1587" s="71"/>
      <c r="L1587" s="71"/>
      <c r="M1587" s="5"/>
    </row>
    <row r="1588" spans="1:13" s="3" customFormat="1">
      <c r="A1588" s="1"/>
      <c r="B1588" s="8"/>
      <c r="C1588" s="5"/>
      <c r="D1588" s="12"/>
      <c r="E1588" s="23"/>
      <c r="F1588" s="9"/>
      <c r="G1588" s="5"/>
      <c r="H1588" s="16"/>
      <c r="I1588" s="69"/>
      <c r="J1588" s="70"/>
      <c r="K1588" s="71"/>
      <c r="L1588" s="71"/>
      <c r="M1588" s="5"/>
    </row>
    <row r="1589" spans="1:13" s="3" customFormat="1">
      <c r="A1589" s="1"/>
      <c r="B1589" s="8"/>
      <c r="C1589" s="5"/>
      <c r="D1589" s="12"/>
      <c r="E1589" s="23"/>
      <c r="F1589" s="9"/>
      <c r="G1589" s="5"/>
      <c r="H1589" s="16"/>
      <c r="I1589" s="69"/>
      <c r="J1589" s="70"/>
      <c r="K1589" s="71"/>
      <c r="L1589" s="71"/>
      <c r="M1589" s="5"/>
    </row>
    <row r="1590" spans="1:13" s="3" customFormat="1">
      <c r="A1590" s="1"/>
      <c r="B1590" s="8"/>
      <c r="C1590" s="5"/>
      <c r="D1590" s="12"/>
      <c r="E1590" s="23"/>
      <c r="F1590" s="9"/>
      <c r="G1590" s="5"/>
      <c r="H1590" s="16"/>
      <c r="I1590" s="69"/>
      <c r="J1590" s="70"/>
      <c r="K1590" s="71"/>
      <c r="L1590" s="71"/>
      <c r="M1590" s="5"/>
    </row>
    <row r="1591" spans="1:13" s="3" customFormat="1">
      <c r="A1591" s="1"/>
      <c r="B1591" s="8"/>
      <c r="C1591" s="5"/>
      <c r="D1591" s="12"/>
      <c r="E1591" s="23"/>
      <c r="F1591" s="9"/>
      <c r="G1591" s="5"/>
      <c r="H1591" s="16"/>
      <c r="I1591" s="69"/>
      <c r="J1591" s="70"/>
      <c r="K1591" s="71"/>
      <c r="L1591" s="71"/>
      <c r="M1591" s="5"/>
    </row>
    <row r="1592" spans="1:13" s="3" customFormat="1">
      <c r="A1592" s="1"/>
      <c r="B1592" s="8"/>
      <c r="C1592" s="5"/>
      <c r="D1592" s="12"/>
      <c r="E1592" s="23"/>
      <c r="F1592" s="9"/>
      <c r="G1592" s="5"/>
      <c r="H1592" s="16"/>
      <c r="I1592" s="69"/>
      <c r="J1592" s="70"/>
      <c r="K1592" s="71"/>
      <c r="L1592" s="71"/>
      <c r="M1592" s="5"/>
    </row>
    <row r="1593" spans="1:13" s="3" customFormat="1">
      <c r="A1593" s="1"/>
      <c r="B1593" s="8"/>
      <c r="C1593" s="5"/>
      <c r="D1593" s="12"/>
      <c r="E1593" s="23"/>
      <c r="F1593" s="9"/>
      <c r="G1593" s="5"/>
      <c r="H1593" s="16"/>
      <c r="I1593" s="69"/>
      <c r="J1593" s="70"/>
      <c r="K1593" s="71"/>
      <c r="L1593" s="71"/>
      <c r="M1593" s="5"/>
    </row>
    <row r="1594" spans="1:13" s="3" customFormat="1">
      <c r="A1594" s="1"/>
      <c r="B1594" s="8"/>
      <c r="C1594" s="5"/>
      <c r="D1594" s="12"/>
      <c r="E1594" s="23"/>
      <c r="F1594" s="9"/>
      <c r="G1594" s="5"/>
      <c r="H1594" s="16"/>
      <c r="I1594" s="69"/>
      <c r="J1594" s="70"/>
      <c r="K1594" s="71"/>
      <c r="L1594" s="71"/>
      <c r="M1594" s="5"/>
    </row>
    <row r="1595" spans="1:13" s="3" customFormat="1">
      <c r="A1595" s="1"/>
      <c r="B1595" s="8"/>
      <c r="C1595" s="5"/>
      <c r="D1595" s="12"/>
      <c r="E1595" s="23"/>
      <c r="F1595" s="9"/>
      <c r="G1595" s="5"/>
      <c r="H1595" s="16"/>
      <c r="I1595" s="69"/>
      <c r="J1595" s="70"/>
      <c r="K1595" s="71"/>
      <c r="L1595" s="71"/>
      <c r="M1595" s="5"/>
    </row>
    <row r="1596" spans="1:13" s="3" customFormat="1">
      <c r="A1596" s="1"/>
      <c r="B1596" s="8"/>
      <c r="C1596" s="5"/>
      <c r="D1596" s="12"/>
      <c r="E1596" s="23"/>
      <c r="F1596" s="9"/>
      <c r="G1596" s="5"/>
      <c r="H1596" s="16"/>
      <c r="I1596" s="69"/>
      <c r="J1596" s="70"/>
      <c r="K1596" s="71"/>
      <c r="L1596" s="71"/>
      <c r="M1596" s="5"/>
    </row>
    <row r="1597" spans="1:13" s="3" customFormat="1">
      <c r="A1597" s="1"/>
      <c r="B1597" s="8"/>
      <c r="C1597" s="5"/>
      <c r="D1597" s="12"/>
      <c r="E1597" s="23"/>
      <c r="F1597" s="9"/>
      <c r="G1597" s="5"/>
      <c r="H1597" s="16"/>
      <c r="I1597" s="69"/>
      <c r="J1597" s="70"/>
      <c r="K1597" s="71"/>
      <c r="L1597" s="71"/>
      <c r="M1597" s="5"/>
    </row>
    <row r="1598" spans="1:13" s="3" customFormat="1">
      <c r="A1598" s="1"/>
      <c r="B1598" s="8"/>
      <c r="C1598" s="5"/>
      <c r="D1598" s="12"/>
      <c r="E1598" s="23"/>
      <c r="F1598" s="9"/>
      <c r="G1598" s="5"/>
      <c r="H1598" s="16"/>
      <c r="I1598" s="69"/>
      <c r="J1598" s="70"/>
      <c r="K1598" s="71"/>
      <c r="L1598" s="71"/>
      <c r="M1598" s="5"/>
    </row>
    <row r="1599" spans="1:13" s="3" customFormat="1">
      <c r="A1599" s="1"/>
      <c r="B1599" s="8"/>
      <c r="C1599" s="5"/>
      <c r="D1599" s="12"/>
      <c r="E1599" s="23"/>
      <c r="F1599" s="9"/>
      <c r="G1599" s="5"/>
      <c r="H1599" s="16"/>
      <c r="I1599" s="69"/>
      <c r="J1599" s="70"/>
      <c r="K1599" s="71"/>
      <c r="L1599" s="71"/>
      <c r="M1599" s="5"/>
    </row>
    <row r="1600" spans="1:13" s="3" customFormat="1">
      <c r="A1600" s="1"/>
      <c r="B1600" s="8"/>
      <c r="C1600" s="5"/>
      <c r="D1600" s="12"/>
      <c r="E1600" s="23"/>
      <c r="F1600" s="9"/>
      <c r="G1600" s="5"/>
      <c r="H1600" s="16"/>
      <c r="I1600" s="69"/>
      <c r="J1600" s="70"/>
      <c r="K1600" s="71"/>
      <c r="L1600" s="71"/>
      <c r="M1600" s="5"/>
    </row>
    <row r="1601" spans="1:13" s="3" customFormat="1">
      <c r="A1601" s="1"/>
      <c r="B1601" s="8"/>
      <c r="C1601" s="5"/>
      <c r="D1601" s="12"/>
      <c r="E1601" s="23"/>
      <c r="F1601" s="9"/>
      <c r="G1601" s="5"/>
      <c r="H1601" s="16"/>
      <c r="I1601" s="69"/>
      <c r="J1601" s="70"/>
      <c r="K1601" s="71"/>
      <c r="L1601" s="71"/>
      <c r="M1601" s="5"/>
    </row>
    <row r="1602" spans="1:13" s="3" customFormat="1">
      <c r="A1602" s="1"/>
      <c r="B1602" s="8"/>
      <c r="C1602" s="5"/>
      <c r="D1602" s="12"/>
      <c r="E1602" s="23"/>
      <c r="F1602" s="9"/>
      <c r="G1602" s="5"/>
      <c r="H1602" s="16"/>
      <c r="I1602" s="69"/>
      <c r="J1602" s="70"/>
      <c r="K1602" s="71"/>
      <c r="L1602" s="71"/>
      <c r="M1602" s="5"/>
    </row>
    <row r="1603" spans="1:13" s="3" customFormat="1">
      <c r="A1603" s="1"/>
      <c r="B1603" s="8"/>
      <c r="C1603" s="5"/>
      <c r="D1603" s="12"/>
      <c r="E1603" s="23"/>
      <c r="F1603" s="9"/>
      <c r="G1603" s="5"/>
      <c r="H1603" s="16"/>
      <c r="I1603" s="69"/>
      <c r="J1603" s="70"/>
      <c r="K1603" s="71"/>
      <c r="L1603" s="71"/>
      <c r="M1603" s="5"/>
    </row>
    <row r="1604" spans="1:13" s="3" customFormat="1">
      <c r="A1604" s="1"/>
      <c r="B1604" s="8"/>
      <c r="C1604" s="5"/>
      <c r="D1604" s="12"/>
      <c r="E1604" s="23"/>
      <c r="F1604" s="9"/>
      <c r="G1604" s="5"/>
      <c r="H1604" s="16"/>
      <c r="I1604" s="69"/>
      <c r="J1604" s="70"/>
      <c r="K1604" s="71"/>
      <c r="L1604" s="71"/>
      <c r="M1604" s="5"/>
    </row>
    <row r="1605" spans="1:13" s="3" customFormat="1">
      <c r="A1605" s="1"/>
      <c r="B1605" s="8"/>
      <c r="C1605" s="5"/>
      <c r="D1605" s="12"/>
      <c r="E1605" s="23"/>
      <c r="F1605" s="9"/>
      <c r="G1605" s="5"/>
      <c r="H1605" s="16"/>
      <c r="I1605" s="69"/>
      <c r="J1605" s="70"/>
      <c r="K1605" s="71"/>
      <c r="L1605" s="71"/>
      <c r="M1605" s="5"/>
    </row>
    <row r="1606" spans="1:13" s="3" customFormat="1">
      <c r="A1606" s="1"/>
      <c r="B1606" s="8"/>
      <c r="C1606" s="5"/>
      <c r="D1606" s="12"/>
      <c r="E1606" s="23"/>
      <c r="F1606" s="9"/>
      <c r="G1606" s="5"/>
      <c r="H1606" s="16"/>
      <c r="I1606" s="69"/>
      <c r="J1606" s="70"/>
      <c r="K1606" s="71"/>
      <c r="L1606" s="71"/>
      <c r="M1606" s="5"/>
    </row>
    <row r="1607" spans="1:13" s="3" customFormat="1">
      <c r="A1607" s="1"/>
      <c r="B1607" s="8"/>
      <c r="C1607" s="5"/>
      <c r="D1607" s="12"/>
      <c r="E1607" s="23"/>
      <c r="F1607" s="9"/>
      <c r="G1607" s="5"/>
      <c r="H1607" s="16"/>
      <c r="I1607" s="69"/>
      <c r="J1607" s="70"/>
      <c r="K1607" s="71"/>
      <c r="L1607" s="71"/>
      <c r="M1607" s="5"/>
    </row>
    <row r="1608" spans="1:13" s="3" customFormat="1">
      <c r="A1608" s="1"/>
      <c r="B1608" s="8"/>
      <c r="C1608" s="5"/>
      <c r="D1608" s="12"/>
      <c r="E1608" s="23"/>
      <c r="F1608" s="9"/>
      <c r="G1608" s="5"/>
      <c r="H1608" s="16"/>
      <c r="I1608" s="69"/>
      <c r="J1608" s="70"/>
      <c r="K1608" s="71"/>
      <c r="L1608" s="71"/>
      <c r="M1608" s="5"/>
    </row>
    <row r="1609" spans="1:13" s="3" customFormat="1">
      <c r="A1609" s="1"/>
      <c r="B1609" s="8"/>
      <c r="C1609" s="5"/>
      <c r="D1609" s="12"/>
      <c r="E1609" s="23"/>
      <c r="F1609" s="9"/>
      <c r="G1609" s="5"/>
      <c r="H1609" s="16"/>
      <c r="I1609" s="69"/>
      <c r="J1609" s="70"/>
      <c r="K1609" s="71"/>
      <c r="L1609" s="71"/>
      <c r="M1609" s="5"/>
    </row>
    <row r="1610" spans="1:13" s="3" customFormat="1">
      <c r="A1610" s="1"/>
      <c r="B1610" s="8"/>
      <c r="C1610" s="5"/>
      <c r="D1610" s="12"/>
      <c r="E1610" s="23"/>
      <c r="F1610" s="9"/>
      <c r="G1610" s="5"/>
      <c r="H1610" s="16"/>
      <c r="I1610" s="69"/>
      <c r="J1610" s="70"/>
      <c r="K1610" s="71"/>
      <c r="L1610" s="71"/>
      <c r="M1610" s="5"/>
    </row>
    <row r="1611" spans="1:13" s="3" customFormat="1">
      <c r="A1611" s="1"/>
      <c r="B1611" s="8"/>
      <c r="C1611" s="5"/>
      <c r="D1611" s="12"/>
      <c r="E1611" s="23"/>
      <c r="F1611" s="9"/>
      <c r="G1611" s="5"/>
      <c r="H1611" s="16"/>
      <c r="I1611" s="69"/>
      <c r="J1611" s="70"/>
      <c r="K1611" s="71"/>
      <c r="L1611" s="71"/>
      <c r="M1611" s="5"/>
    </row>
    <row r="1612" spans="1:13" s="3" customFormat="1">
      <c r="A1612" s="1"/>
      <c r="B1612" s="8"/>
      <c r="C1612" s="5"/>
      <c r="D1612" s="12"/>
      <c r="E1612" s="23"/>
      <c r="F1612" s="9"/>
      <c r="G1612" s="5"/>
      <c r="H1612" s="16"/>
      <c r="I1612" s="69"/>
      <c r="J1612" s="70"/>
      <c r="K1612" s="71"/>
      <c r="L1612" s="71"/>
      <c r="M1612" s="5"/>
    </row>
    <row r="1613" spans="1:13" s="3" customFormat="1">
      <c r="A1613" s="1"/>
      <c r="B1613" s="8"/>
      <c r="C1613" s="5"/>
      <c r="D1613" s="12"/>
      <c r="E1613" s="23"/>
      <c r="F1613" s="9"/>
      <c r="G1613" s="5"/>
      <c r="H1613" s="16"/>
      <c r="I1613" s="69"/>
      <c r="J1613" s="70"/>
      <c r="K1613" s="71"/>
      <c r="L1613" s="71"/>
      <c r="M1613" s="5"/>
    </row>
    <row r="1614" spans="1:13" s="3" customFormat="1">
      <c r="A1614" s="1"/>
      <c r="B1614" s="8"/>
      <c r="C1614" s="5"/>
      <c r="D1614" s="12"/>
      <c r="E1614" s="23"/>
      <c r="F1614" s="9"/>
      <c r="G1614" s="5"/>
      <c r="H1614" s="16"/>
      <c r="I1614" s="69"/>
      <c r="J1614" s="70"/>
      <c r="K1614" s="71"/>
      <c r="L1614" s="71"/>
      <c r="M1614" s="5"/>
    </row>
    <row r="1615" spans="1:13" s="3" customFormat="1">
      <c r="A1615" s="1"/>
      <c r="B1615" s="8"/>
      <c r="C1615" s="5"/>
      <c r="D1615" s="12"/>
      <c r="E1615" s="23"/>
      <c r="F1615" s="9"/>
      <c r="G1615" s="5"/>
      <c r="H1615" s="16"/>
      <c r="I1615" s="69"/>
      <c r="J1615" s="70"/>
      <c r="K1615" s="71"/>
      <c r="L1615" s="71"/>
      <c r="M1615" s="5"/>
    </row>
    <row r="1616" spans="1:13" s="3" customFormat="1">
      <c r="A1616" s="1"/>
      <c r="B1616" s="8"/>
      <c r="C1616" s="5"/>
      <c r="D1616" s="12"/>
      <c r="E1616" s="23"/>
      <c r="F1616" s="9"/>
      <c r="G1616" s="5"/>
      <c r="H1616" s="16"/>
      <c r="I1616" s="69"/>
      <c r="J1616" s="70"/>
      <c r="K1616" s="71"/>
      <c r="L1616" s="71"/>
      <c r="M1616" s="5"/>
    </row>
    <row r="1617" spans="1:13" s="3" customFormat="1">
      <c r="A1617" s="1"/>
      <c r="B1617" s="8"/>
      <c r="C1617" s="5"/>
      <c r="D1617" s="12"/>
      <c r="E1617" s="23"/>
      <c r="F1617" s="9"/>
      <c r="G1617" s="5"/>
      <c r="H1617" s="16"/>
      <c r="I1617" s="69"/>
      <c r="J1617" s="70"/>
      <c r="K1617" s="71"/>
      <c r="L1617" s="71"/>
      <c r="M1617" s="5"/>
    </row>
    <row r="1618" spans="1:13" s="3" customFormat="1">
      <c r="A1618" s="1"/>
      <c r="B1618" s="8"/>
      <c r="C1618" s="5"/>
      <c r="D1618" s="12"/>
      <c r="E1618" s="23"/>
      <c r="F1618" s="9"/>
      <c r="G1618" s="5"/>
      <c r="H1618" s="16"/>
      <c r="I1618" s="69"/>
      <c r="J1618" s="70"/>
      <c r="K1618" s="71"/>
      <c r="L1618" s="71"/>
      <c r="M1618" s="5"/>
    </row>
    <row r="1619" spans="1:13" s="3" customFormat="1">
      <c r="A1619" s="1"/>
      <c r="B1619" s="8"/>
      <c r="C1619" s="5"/>
      <c r="D1619" s="12"/>
      <c r="E1619" s="23"/>
      <c r="F1619" s="9"/>
      <c r="G1619" s="5"/>
      <c r="H1619" s="16"/>
      <c r="I1619" s="69"/>
      <c r="J1619" s="70"/>
      <c r="K1619" s="71"/>
      <c r="L1619" s="71"/>
      <c r="M1619" s="5"/>
    </row>
    <row r="1620" spans="1:13" s="3" customFormat="1">
      <c r="A1620" s="1"/>
      <c r="B1620" s="8"/>
      <c r="C1620" s="5"/>
      <c r="D1620" s="12"/>
      <c r="E1620" s="23"/>
      <c r="F1620" s="9"/>
      <c r="G1620" s="5"/>
      <c r="H1620" s="16"/>
      <c r="I1620" s="69"/>
      <c r="J1620" s="70"/>
      <c r="K1620" s="71"/>
      <c r="L1620" s="71"/>
      <c r="M1620" s="5"/>
    </row>
    <row r="1621" spans="1:13" s="3" customFormat="1">
      <c r="A1621" s="1"/>
      <c r="B1621" s="8"/>
      <c r="C1621" s="5"/>
      <c r="D1621" s="12"/>
      <c r="E1621" s="23"/>
      <c r="F1621" s="9"/>
      <c r="G1621" s="5"/>
      <c r="H1621" s="16"/>
      <c r="I1621" s="69"/>
      <c r="J1621" s="70"/>
      <c r="K1621" s="71"/>
      <c r="L1621" s="71"/>
      <c r="M1621" s="5"/>
    </row>
    <row r="1622" spans="1:13" s="3" customFormat="1">
      <c r="A1622" s="1"/>
      <c r="B1622" s="8"/>
      <c r="C1622" s="5"/>
      <c r="D1622" s="12"/>
      <c r="E1622" s="23"/>
      <c r="F1622" s="9"/>
      <c r="G1622" s="5"/>
      <c r="H1622" s="16"/>
      <c r="I1622" s="69"/>
      <c r="J1622" s="70"/>
      <c r="K1622" s="71"/>
      <c r="L1622" s="71"/>
      <c r="M1622" s="5"/>
    </row>
  </sheetData>
  <autoFilter ref="A3:M290">
    <filterColumn colId="0" showButton="0"/>
    <filterColumn colId="1"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autoFilter>
  <mergeCells count="422">
    <mergeCell ref="A276:A280"/>
    <mergeCell ref="B276:B280"/>
    <mergeCell ref="H276:H280"/>
    <mergeCell ref="K276:K280"/>
    <mergeCell ref="L276:L280"/>
    <mergeCell ref="M276:M280"/>
    <mergeCell ref="L266:L270"/>
    <mergeCell ref="M266:M270"/>
    <mergeCell ref="L216:L220"/>
    <mergeCell ref="M216:M220"/>
    <mergeCell ref="A271:A275"/>
    <mergeCell ref="B271:B275"/>
    <mergeCell ref="H271:H275"/>
    <mergeCell ref="I271:I275"/>
    <mergeCell ref="J271:J275"/>
    <mergeCell ref="K271:K275"/>
    <mergeCell ref="L271:L275"/>
    <mergeCell ref="M271:M275"/>
    <mergeCell ref="A266:A270"/>
    <mergeCell ref="B266:B270"/>
    <mergeCell ref="H266:H270"/>
    <mergeCell ref="I266:I270"/>
    <mergeCell ref="J266:J270"/>
    <mergeCell ref="K266:K270"/>
    <mergeCell ref="L286:L290"/>
    <mergeCell ref="M286:M290"/>
    <mergeCell ref="A286:A290"/>
    <mergeCell ref="B286:B290"/>
    <mergeCell ref="H286:H290"/>
    <mergeCell ref="I286:I290"/>
    <mergeCell ref="J286:J290"/>
    <mergeCell ref="K286:K290"/>
    <mergeCell ref="A281:A285"/>
    <mergeCell ref="B281:B285"/>
    <mergeCell ref="H281:H285"/>
    <mergeCell ref="K281:K285"/>
    <mergeCell ref="L281:L285"/>
    <mergeCell ref="M281:M285"/>
    <mergeCell ref="A261:A265"/>
    <mergeCell ref="B261:B265"/>
    <mergeCell ref="H261:H265"/>
    <mergeCell ref="K261:K265"/>
    <mergeCell ref="L261:L265"/>
    <mergeCell ref="M261:M265"/>
    <mergeCell ref="L251:L255"/>
    <mergeCell ref="M251:M255"/>
    <mergeCell ref="A256:A260"/>
    <mergeCell ref="B256:B260"/>
    <mergeCell ref="H256:H260"/>
    <mergeCell ref="I256:I260"/>
    <mergeCell ref="J256:J260"/>
    <mergeCell ref="K256:K260"/>
    <mergeCell ref="L256:L260"/>
    <mergeCell ref="M256:M260"/>
    <mergeCell ref="A251:A255"/>
    <mergeCell ref="B251:B255"/>
    <mergeCell ref="H251:H255"/>
    <mergeCell ref="I251:I255"/>
    <mergeCell ref="J251:J255"/>
    <mergeCell ref="K251:K255"/>
    <mergeCell ref="A246:A250"/>
    <mergeCell ref="B246:B250"/>
    <mergeCell ref="H246:H250"/>
    <mergeCell ref="K246:K250"/>
    <mergeCell ref="L246:L250"/>
    <mergeCell ref="M246:M250"/>
    <mergeCell ref="L236:L240"/>
    <mergeCell ref="M236:M240"/>
    <mergeCell ref="A241:A245"/>
    <mergeCell ref="B241:B245"/>
    <mergeCell ref="H241:H245"/>
    <mergeCell ref="I241:I245"/>
    <mergeCell ref="J241:J245"/>
    <mergeCell ref="K241:K245"/>
    <mergeCell ref="L241:L245"/>
    <mergeCell ref="M241:M245"/>
    <mergeCell ref="A236:A240"/>
    <mergeCell ref="B236:B240"/>
    <mergeCell ref="H236:H240"/>
    <mergeCell ref="I236:I240"/>
    <mergeCell ref="J236:J240"/>
    <mergeCell ref="K236:K240"/>
    <mergeCell ref="M226:M230"/>
    <mergeCell ref="A231:A235"/>
    <mergeCell ref="B231:B235"/>
    <mergeCell ref="H231:H235"/>
    <mergeCell ref="I231:I235"/>
    <mergeCell ref="J231:J235"/>
    <mergeCell ref="K231:K235"/>
    <mergeCell ref="L231:L235"/>
    <mergeCell ref="M231:M235"/>
    <mergeCell ref="L221:L225"/>
    <mergeCell ref="A226:A230"/>
    <mergeCell ref="B226:B230"/>
    <mergeCell ref="H226:H230"/>
    <mergeCell ref="K226:K230"/>
    <mergeCell ref="L226:L230"/>
    <mergeCell ref="A216:A220"/>
    <mergeCell ref="B216:B220"/>
    <mergeCell ref="H216:H220"/>
    <mergeCell ref="K216:K220"/>
    <mergeCell ref="A221:A225"/>
    <mergeCell ref="B221:B225"/>
    <mergeCell ref="H221:H225"/>
    <mergeCell ref="I221:I225"/>
    <mergeCell ref="J221:J225"/>
    <mergeCell ref="K221:K225"/>
    <mergeCell ref="A201:A205"/>
    <mergeCell ref="B201:B205"/>
    <mergeCell ref="H201:H205"/>
    <mergeCell ref="I201:I205"/>
    <mergeCell ref="J201:J205"/>
    <mergeCell ref="K201:K205"/>
    <mergeCell ref="L201:L205"/>
    <mergeCell ref="M201:M205"/>
    <mergeCell ref="A211:A215"/>
    <mergeCell ref="B211:B215"/>
    <mergeCell ref="H211:H215"/>
    <mergeCell ref="I211:I215"/>
    <mergeCell ref="J211:J215"/>
    <mergeCell ref="K211:K215"/>
    <mergeCell ref="L211:L215"/>
    <mergeCell ref="M211:M215"/>
    <mergeCell ref="B206:B210"/>
    <mergeCell ref="A206:A210"/>
    <mergeCell ref="H206:H210"/>
    <mergeCell ref="I206:I210"/>
    <mergeCell ref="J206:J210"/>
    <mergeCell ref="K206:K210"/>
    <mergeCell ref="L206:L210"/>
    <mergeCell ref="M206:M210"/>
    <mergeCell ref="A191:A195"/>
    <mergeCell ref="J191:J195"/>
    <mergeCell ref="K191:K195"/>
    <mergeCell ref="L191:L195"/>
    <mergeCell ref="M191:M195"/>
    <mergeCell ref="B191:B195"/>
    <mergeCell ref="A196:A200"/>
    <mergeCell ref="B196:B200"/>
    <mergeCell ref="H196:H200"/>
    <mergeCell ref="K196:K200"/>
    <mergeCell ref="H191:H195"/>
    <mergeCell ref="I191:I195"/>
    <mergeCell ref="A186:A190"/>
    <mergeCell ref="B186:B190"/>
    <mergeCell ref="H186:H190"/>
    <mergeCell ref="K186:K190"/>
    <mergeCell ref="L186:L190"/>
    <mergeCell ref="M186:M190"/>
    <mergeCell ref="A181:A185"/>
    <mergeCell ref="B181:B185"/>
    <mergeCell ref="H181:H185"/>
    <mergeCell ref="K181:K185"/>
    <mergeCell ref="L181:L185"/>
    <mergeCell ref="M181:M185"/>
    <mergeCell ref="L171:L175"/>
    <mergeCell ref="M171:M175"/>
    <mergeCell ref="A176:A180"/>
    <mergeCell ref="B176:B180"/>
    <mergeCell ref="H176:H180"/>
    <mergeCell ref="I176:I180"/>
    <mergeCell ref="J176:J180"/>
    <mergeCell ref="K176:K180"/>
    <mergeCell ref="L176:L180"/>
    <mergeCell ref="M176:M180"/>
    <mergeCell ref="A171:A175"/>
    <mergeCell ref="B171:B175"/>
    <mergeCell ref="H171:H175"/>
    <mergeCell ref="I171:I175"/>
    <mergeCell ref="J171:J175"/>
    <mergeCell ref="K171:K175"/>
    <mergeCell ref="A166:A170"/>
    <mergeCell ref="B166:B170"/>
    <mergeCell ref="H166:H170"/>
    <mergeCell ref="K166:K170"/>
    <mergeCell ref="L166:L170"/>
    <mergeCell ref="M166:M170"/>
    <mergeCell ref="L156:L160"/>
    <mergeCell ref="M156:M160"/>
    <mergeCell ref="A161:A165"/>
    <mergeCell ref="B161:B165"/>
    <mergeCell ref="H161:H165"/>
    <mergeCell ref="I161:I165"/>
    <mergeCell ref="J161:J165"/>
    <mergeCell ref="K161:K165"/>
    <mergeCell ref="L161:L165"/>
    <mergeCell ref="M161:M165"/>
    <mergeCell ref="A156:A160"/>
    <mergeCell ref="B156:B160"/>
    <mergeCell ref="H156:H160"/>
    <mergeCell ref="I156:I160"/>
    <mergeCell ref="J156:J160"/>
    <mergeCell ref="K156:K160"/>
    <mergeCell ref="L146:L150"/>
    <mergeCell ref="M146:M150"/>
    <mergeCell ref="A151:A155"/>
    <mergeCell ref="B151:B155"/>
    <mergeCell ref="H151:H155"/>
    <mergeCell ref="K151:K155"/>
    <mergeCell ref="L151:L155"/>
    <mergeCell ref="M151:M155"/>
    <mergeCell ref="A146:A150"/>
    <mergeCell ref="B146:B150"/>
    <mergeCell ref="H146:H150"/>
    <mergeCell ref="I146:I150"/>
    <mergeCell ref="J146:J150"/>
    <mergeCell ref="K146:K150"/>
    <mergeCell ref="L136:L140"/>
    <mergeCell ref="M136:M140"/>
    <mergeCell ref="A141:A145"/>
    <mergeCell ref="B141:B145"/>
    <mergeCell ref="H141:H145"/>
    <mergeCell ref="I141:I145"/>
    <mergeCell ref="J141:J145"/>
    <mergeCell ref="K141:K145"/>
    <mergeCell ref="L141:L145"/>
    <mergeCell ref="M141:M145"/>
    <mergeCell ref="A136:A140"/>
    <mergeCell ref="B136:B140"/>
    <mergeCell ref="H136:H140"/>
    <mergeCell ref="I136:I140"/>
    <mergeCell ref="J136:J140"/>
    <mergeCell ref="K136:K140"/>
    <mergeCell ref="L121:L125"/>
    <mergeCell ref="M121:M125"/>
    <mergeCell ref="A131:A135"/>
    <mergeCell ref="B131:B135"/>
    <mergeCell ref="H131:H135"/>
    <mergeCell ref="I131:I135"/>
    <mergeCell ref="J131:J135"/>
    <mergeCell ref="K131:K135"/>
    <mergeCell ref="L131:L135"/>
    <mergeCell ref="M131:M135"/>
    <mergeCell ref="A121:A125"/>
    <mergeCell ref="B121:B125"/>
    <mergeCell ref="H121:H125"/>
    <mergeCell ref="I121:I125"/>
    <mergeCell ref="J121:J125"/>
    <mergeCell ref="K121:K125"/>
    <mergeCell ref="B126:B130"/>
    <mergeCell ref="A126:A130"/>
    <mergeCell ref="H126:H130"/>
    <mergeCell ref="I126:I130"/>
    <mergeCell ref="J126:J130"/>
    <mergeCell ref="K126:K130"/>
    <mergeCell ref="M126:M130"/>
    <mergeCell ref="L111:L115"/>
    <mergeCell ref="M111:M115"/>
    <mergeCell ref="A116:A120"/>
    <mergeCell ref="B116:B120"/>
    <mergeCell ref="H116:H120"/>
    <mergeCell ref="I116:I120"/>
    <mergeCell ref="J116:J120"/>
    <mergeCell ref="K116:K120"/>
    <mergeCell ref="L116:L120"/>
    <mergeCell ref="M116:M120"/>
    <mergeCell ref="A111:A115"/>
    <mergeCell ref="B111:B115"/>
    <mergeCell ref="H111:H115"/>
    <mergeCell ref="I111:I115"/>
    <mergeCell ref="J111:J115"/>
    <mergeCell ref="K111:K115"/>
    <mergeCell ref="B106:B110"/>
    <mergeCell ref="H106:H110"/>
    <mergeCell ref="I106:I110"/>
    <mergeCell ref="J106:J110"/>
    <mergeCell ref="K106:K110"/>
    <mergeCell ref="L106:L110"/>
    <mergeCell ref="M106:M110"/>
    <mergeCell ref="A101:A105"/>
    <mergeCell ref="B101:B105"/>
    <mergeCell ref="H101:H105"/>
    <mergeCell ref="I101:I105"/>
    <mergeCell ref="J101:J105"/>
    <mergeCell ref="K101:K105"/>
    <mergeCell ref="A106:A110"/>
    <mergeCell ref="M96:M100"/>
    <mergeCell ref="A91:A95"/>
    <mergeCell ref="B91:B95"/>
    <mergeCell ref="H91:H95"/>
    <mergeCell ref="K91:K95"/>
    <mergeCell ref="L91:L95"/>
    <mergeCell ref="M91:M95"/>
    <mergeCell ref="L101:L105"/>
    <mergeCell ref="M101:M105"/>
    <mergeCell ref="A96:A100"/>
    <mergeCell ref="B96:B100"/>
    <mergeCell ref="H96:H100"/>
    <mergeCell ref="K96:K100"/>
    <mergeCell ref="L96:L100"/>
    <mergeCell ref="M81:M85"/>
    <mergeCell ref="A86:A90"/>
    <mergeCell ref="B86:B90"/>
    <mergeCell ref="H86:H90"/>
    <mergeCell ref="I86:I90"/>
    <mergeCell ref="J86:J90"/>
    <mergeCell ref="K86:K90"/>
    <mergeCell ref="L86:L90"/>
    <mergeCell ref="M86:M90"/>
    <mergeCell ref="A81:A85"/>
    <mergeCell ref="B81:B85"/>
    <mergeCell ref="H81:H85"/>
    <mergeCell ref="I81:I85"/>
    <mergeCell ref="J81:J85"/>
    <mergeCell ref="K81:K85"/>
    <mergeCell ref="L81:L85"/>
    <mergeCell ref="M71:M75"/>
    <mergeCell ref="A76:A80"/>
    <mergeCell ref="B76:B80"/>
    <mergeCell ref="H76:H80"/>
    <mergeCell ref="K76:K80"/>
    <mergeCell ref="L76:L80"/>
    <mergeCell ref="M76:M80"/>
    <mergeCell ref="A71:A75"/>
    <mergeCell ref="B71:B75"/>
    <mergeCell ref="H71:H75"/>
    <mergeCell ref="I71:I75"/>
    <mergeCell ref="J71:J75"/>
    <mergeCell ref="K71:K75"/>
    <mergeCell ref="L71:L75"/>
    <mergeCell ref="M61:M65"/>
    <mergeCell ref="A66:A70"/>
    <mergeCell ref="B66:B70"/>
    <mergeCell ref="H66:H70"/>
    <mergeCell ref="I66:I70"/>
    <mergeCell ref="J66:J70"/>
    <mergeCell ref="K66:K70"/>
    <mergeCell ref="L66:L70"/>
    <mergeCell ref="M66:M70"/>
    <mergeCell ref="A61:A65"/>
    <mergeCell ref="B61:B65"/>
    <mergeCell ref="H61:H65"/>
    <mergeCell ref="I61:I65"/>
    <mergeCell ref="J61:J65"/>
    <mergeCell ref="K61:K65"/>
    <mergeCell ref="L61:L65"/>
    <mergeCell ref="M51:M55"/>
    <mergeCell ref="A56:A60"/>
    <mergeCell ref="B56:B60"/>
    <mergeCell ref="H56:H60"/>
    <mergeCell ref="I56:I60"/>
    <mergeCell ref="J56:J60"/>
    <mergeCell ref="K56:K60"/>
    <mergeCell ref="L56:L60"/>
    <mergeCell ref="M56:M60"/>
    <mergeCell ref="A51:A55"/>
    <mergeCell ref="B51:B55"/>
    <mergeCell ref="H51:H55"/>
    <mergeCell ref="I51:I55"/>
    <mergeCell ref="J51:J55"/>
    <mergeCell ref="K51:K55"/>
    <mergeCell ref="L51:L55"/>
    <mergeCell ref="M41:M45"/>
    <mergeCell ref="A46:A50"/>
    <mergeCell ref="B46:B50"/>
    <mergeCell ref="H46:H50"/>
    <mergeCell ref="I46:I50"/>
    <mergeCell ref="J46:J50"/>
    <mergeCell ref="K46:K50"/>
    <mergeCell ref="L46:L50"/>
    <mergeCell ref="M46:M50"/>
    <mergeCell ref="A41:A45"/>
    <mergeCell ref="B41:B45"/>
    <mergeCell ref="H41:H45"/>
    <mergeCell ref="I41:I45"/>
    <mergeCell ref="J41:J45"/>
    <mergeCell ref="K41:K45"/>
    <mergeCell ref="L41:L45"/>
    <mergeCell ref="M31:M35"/>
    <mergeCell ref="A36:A40"/>
    <mergeCell ref="B36:B40"/>
    <mergeCell ref="H36:H40"/>
    <mergeCell ref="I36:I40"/>
    <mergeCell ref="J36:J40"/>
    <mergeCell ref="K36:K40"/>
    <mergeCell ref="L36:L40"/>
    <mergeCell ref="M36:M40"/>
    <mergeCell ref="A31:A35"/>
    <mergeCell ref="B31:B35"/>
    <mergeCell ref="H31:H35"/>
    <mergeCell ref="I31:I35"/>
    <mergeCell ref="J31:J35"/>
    <mergeCell ref="K31:K35"/>
    <mergeCell ref="L31:L35"/>
    <mergeCell ref="M16:M20"/>
    <mergeCell ref="A11:A15"/>
    <mergeCell ref="B11:B15"/>
    <mergeCell ref="H11:H15"/>
    <mergeCell ref="K11:K15"/>
    <mergeCell ref="L11:L15"/>
    <mergeCell ref="M11:M15"/>
    <mergeCell ref="A26:A30"/>
    <mergeCell ref="B26:B30"/>
    <mergeCell ref="H26:H30"/>
    <mergeCell ref="K26:K30"/>
    <mergeCell ref="L26:L30"/>
    <mergeCell ref="M26:M30"/>
    <mergeCell ref="A21:A25"/>
    <mergeCell ref="B21:B25"/>
    <mergeCell ref="H21:H25"/>
    <mergeCell ref="K21:K25"/>
    <mergeCell ref="L21:L25"/>
    <mergeCell ref="M21:M25"/>
    <mergeCell ref="A16:A20"/>
    <mergeCell ref="B16:B20"/>
    <mergeCell ref="H16:H20"/>
    <mergeCell ref="K16:K20"/>
    <mergeCell ref="L16:L20"/>
    <mergeCell ref="M6:M10"/>
    <mergeCell ref="A3:M3"/>
    <mergeCell ref="A4:A5"/>
    <mergeCell ref="B4:B5"/>
    <mergeCell ref="C4:G4"/>
    <mergeCell ref="H4:J4"/>
    <mergeCell ref="K4:K5"/>
    <mergeCell ref="L4:L5"/>
    <mergeCell ref="M4:M5"/>
    <mergeCell ref="A6:A10"/>
    <mergeCell ref="B6:B10"/>
    <mergeCell ref="H6:H10"/>
    <mergeCell ref="K6:K10"/>
    <mergeCell ref="L6:L10"/>
  </mergeCells>
  <pageMargins left="0.23622047244094491" right="0" top="0.74803149606299213" bottom="0.59055118110236227" header="0" footer="0"/>
  <pageSetup paperSize="8" scale="53" fitToHeight="0" orientation="landscape" r:id="rId1"/>
  <rowBreaks count="3" manualBreakCount="3">
    <brk id="25" max="16383" man="1"/>
    <brk id="115" max="16383" man="1"/>
    <brk id="185"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P946"/>
  <sheetViews>
    <sheetView workbookViewId="0">
      <pane xSplit="3" ySplit="4" topLeftCell="D5" activePane="bottomRight" state="frozen"/>
      <selection activeCell="J305" sqref="J305:J310"/>
      <selection pane="topRight"/>
      <selection pane="bottomLeft"/>
      <selection pane="bottomRight" activeCell="E419" sqref="E419"/>
    </sheetView>
  </sheetViews>
  <sheetFormatPr defaultRowHeight="15" outlineLevelRow="1"/>
  <cols>
    <col min="1" max="1" width="7.42578125" style="105" customWidth="1"/>
    <col min="2" max="2" width="36.42578125" style="106" customWidth="1"/>
    <col min="3" max="3" width="12.7109375" style="107" customWidth="1"/>
    <col min="4" max="4" width="8.85546875" style="107" customWidth="1"/>
    <col min="5" max="5" width="17.140625" style="107" customWidth="1"/>
    <col min="6" max="6" width="18" style="107" customWidth="1"/>
    <col min="7" max="7" width="15" style="107" customWidth="1"/>
    <col min="8" max="8" width="11.7109375" style="107" customWidth="1"/>
    <col min="9" max="9" width="15.5703125" style="107" customWidth="1"/>
    <col min="10" max="10" width="49.28515625" style="107" customWidth="1"/>
    <col min="11" max="11" width="32.7109375" style="107" customWidth="1"/>
    <col min="12" max="12" width="0.140625" style="98" hidden="1" customWidth="1"/>
    <col min="13" max="13" width="12.85546875" style="99" customWidth="1"/>
    <col min="14" max="14" width="39.85546875" style="99" customWidth="1"/>
    <col min="15" max="15" width="12.5703125" style="99" customWidth="1"/>
    <col min="16" max="16" width="13.5703125" style="99" customWidth="1"/>
    <col min="17" max="16384" width="9.140625" style="98"/>
  </cols>
  <sheetData>
    <row r="1" spans="1:15" ht="15.75" customHeight="1">
      <c r="A1" s="1332" t="s">
        <v>229</v>
      </c>
      <c r="B1" s="1332"/>
      <c r="C1" s="1332"/>
      <c r="D1" s="1332"/>
      <c r="E1" s="1332"/>
      <c r="F1" s="1332"/>
      <c r="G1" s="1332"/>
      <c r="H1" s="1332"/>
      <c r="I1" s="1332"/>
      <c r="J1" s="1332"/>
      <c r="K1" s="1332"/>
    </row>
    <row r="2" spans="1:15">
      <c r="A2" s="1333"/>
      <c r="B2" s="1333"/>
      <c r="C2" s="1333"/>
      <c r="D2" s="1333"/>
      <c r="E2" s="1333"/>
      <c r="F2" s="1333"/>
      <c r="G2" s="1333"/>
      <c r="H2" s="1333"/>
      <c r="I2" s="1333"/>
      <c r="J2" s="1333"/>
      <c r="K2" s="1333"/>
    </row>
    <row r="3" spans="1:15" ht="39.75" customHeight="1">
      <c r="A3" s="1305" t="s">
        <v>0</v>
      </c>
      <c r="B3" s="1306" t="s">
        <v>230</v>
      </c>
      <c r="C3" s="1307" t="s">
        <v>231</v>
      </c>
      <c r="D3" s="1334" t="s">
        <v>1</v>
      </c>
      <c r="E3" s="1334"/>
      <c r="F3" s="1334"/>
      <c r="G3" s="1334"/>
      <c r="H3" s="1334"/>
      <c r="I3" s="1334"/>
      <c r="J3" s="1307" t="s">
        <v>232</v>
      </c>
      <c r="K3" s="1307" t="s">
        <v>2</v>
      </c>
    </row>
    <row r="4" spans="1:15" ht="36.75" customHeight="1">
      <c r="A4" s="1305"/>
      <c r="B4" s="1306"/>
      <c r="C4" s="1307"/>
      <c r="D4" s="100" t="s">
        <v>233</v>
      </c>
      <c r="E4" s="100" t="s">
        <v>3</v>
      </c>
      <c r="F4" s="100" t="s">
        <v>4</v>
      </c>
      <c r="G4" s="100" t="s">
        <v>5</v>
      </c>
      <c r="H4" s="100" t="s">
        <v>6</v>
      </c>
      <c r="I4" s="100" t="s">
        <v>7</v>
      </c>
      <c r="J4" s="1307"/>
      <c r="K4" s="1307"/>
      <c r="M4" s="101"/>
      <c r="N4" s="101">
        <v>0</v>
      </c>
    </row>
    <row r="5" spans="1:15" ht="15" customHeight="1">
      <c r="A5" s="1295"/>
      <c r="B5" s="1295" t="s">
        <v>234</v>
      </c>
      <c r="C5" s="1295" t="s">
        <v>235</v>
      </c>
      <c r="D5" s="100" t="s">
        <v>3</v>
      </c>
      <c r="E5" s="102">
        <f t="shared" ref="E5:E31" si="0">SUM(F5:I5)</f>
        <v>14258236.21693475</v>
      </c>
      <c r="F5" s="102">
        <f>SUM(F6:F11)</f>
        <v>12416302.812480001</v>
      </c>
      <c r="G5" s="102">
        <f>SUM(G6:G11)</f>
        <v>1565105.1228499999</v>
      </c>
      <c r="H5" s="102">
        <f>SUM(H6:H11)</f>
        <v>276828.2816047509</v>
      </c>
      <c r="I5" s="102">
        <f>SUM(I6:I10)</f>
        <v>0</v>
      </c>
      <c r="J5" s="1319"/>
      <c r="K5" s="1319" t="s">
        <v>236</v>
      </c>
      <c r="M5" s="99">
        <f>E12+E19</f>
        <v>14258236.21693475</v>
      </c>
    </row>
    <row r="6" spans="1:15">
      <c r="A6" s="1296"/>
      <c r="B6" s="1296"/>
      <c r="C6" s="1296"/>
      <c r="D6" s="100">
        <v>2021</v>
      </c>
      <c r="E6" s="102">
        <f t="shared" si="0"/>
        <v>1613228.6017916503</v>
      </c>
      <c r="F6" s="102">
        <f t="shared" ref="F6:I10" si="1">F27+F208+F416+F925</f>
        <v>1267910.29015</v>
      </c>
      <c r="G6" s="102">
        <f t="shared" si="1"/>
        <v>301879.99800000002</v>
      </c>
      <c r="H6" s="102">
        <f t="shared" si="1"/>
        <v>43438.313641650384</v>
      </c>
      <c r="I6" s="102">
        <f t="shared" si="1"/>
        <v>0</v>
      </c>
      <c r="J6" s="1320"/>
      <c r="K6" s="1320"/>
    </row>
    <row r="7" spans="1:15">
      <c r="A7" s="1296"/>
      <c r="B7" s="1296"/>
      <c r="C7" s="1296"/>
      <c r="D7" s="100">
        <v>2022</v>
      </c>
      <c r="E7" s="102">
        <f t="shared" si="0"/>
        <v>2883391.4108731011</v>
      </c>
      <c r="F7" s="102">
        <f t="shared" si="1"/>
        <v>2558971.7024200005</v>
      </c>
      <c r="G7" s="102">
        <f t="shared" si="1"/>
        <v>244045.77</v>
      </c>
      <c r="H7" s="102">
        <f t="shared" si="1"/>
        <v>80373.93845310052</v>
      </c>
      <c r="I7" s="102">
        <f t="shared" si="1"/>
        <v>0</v>
      </c>
      <c r="J7" s="1320"/>
      <c r="K7" s="1320"/>
    </row>
    <row r="8" spans="1:15">
      <c r="A8" s="1296"/>
      <c r="B8" s="1296"/>
      <c r="C8" s="1296"/>
      <c r="D8" s="100">
        <v>2023</v>
      </c>
      <c r="E8" s="102">
        <f t="shared" si="0"/>
        <v>2154380.0644200002</v>
      </c>
      <c r="F8" s="102">
        <f t="shared" si="1"/>
        <v>1676033.8104900003</v>
      </c>
      <c r="G8" s="102">
        <f t="shared" si="1"/>
        <v>436920.95484999998</v>
      </c>
      <c r="H8" s="102">
        <f t="shared" si="1"/>
        <v>41425.299079999975</v>
      </c>
      <c r="I8" s="102">
        <f t="shared" si="1"/>
        <v>0</v>
      </c>
      <c r="J8" s="1320"/>
      <c r="K8" s="1320"/>
    </row>
    <row r="9" spans="1:15">
      <c r="A9" s="1296"/>
      <c r="B9" s="1296"/>
      <c r="C9" s="1296"/>
      <c r="D9" s="100">
        <v>2024</v>
      </c>
      <c r="E9" s="167">
        <f t="shared" si="0"/>
        <v>3598261.0766699994</v>
      </c>
      <c r="F9" s="102">
        <f t="shared" si="1"/>
        <v>3064383.5778699997</v>
      </c>
      <c r="G9" s="102">
        <f t="shared" si="1"/>
        <v>456258.39999999997</v>
      </c>
      <c r="H9" s="102">
        <f t="shared" si="1"/>
        <v>77619.098799999992</v>
      </c>
      <c r="I9" s="102">
        <f t="shared" si="1"/>
        <v>0</v>
      </c>
      <c r="J9" s="1320"/>
      <c r="K9" s="1320"/>
    </row>
    <row r="10" spans="1:15">
      <c r="A10" s="1296"/>
      <c r="B10" s="1296"/>
      <c r="C10" s="1296"/>
      <c r="D10" s="100">
        <v>2025</v>
      </c>
      <c r="E10" s="102">
        <f t="shared" si="0"/>
        <v>2159394.9740800001</v>
      </c>
      <c r="F10" s="102">
        <f t="shared" si="1"/>
        <v>2052012.8657499999</v>
      </c>
      <c r="G10" s="102">
        <f t="shared" si="1"/>
        <v>90000</v>
      </c>
      <c r="H10" s="102">
        <f t="shared" si="1"/>
        <v>17382.108329999999</v>
      </c>
      <c r="I10" s="102">
        <f t="shared" si="1"/>
        <v>0</v>
      </c>
      <c r="J10" s="1320"/>
      <c r="K10" s="1320"/>
    </row>
    <row r="11" spans="1:15">
      <c r="A11" s="1297"/>
      <c r="B11" s="1297"/>
      <c r="C11" s="1297"/>
      <c r="D11" s="100">
        <v>2026</v>
      </c>
      <c r="E11" s="102">
        <f>SUM(F11:I11)</f>
        <v>1849580.0891000002</v>
      </c>
      <c r="F11" s="102">
        <f>SUM(F32,F213,F421,F930)</f>
        <v>1796990.5658000002</v>
      </c>
      <c r="G11" s="102">
        <f>SUM(G32,G213,G421,G930)</f>
        <v>36000</v>
      </c>
      <c r="H11" s="102">
        <f>SUM(H32,H213,H421,H930)</f>
        <v>16589.523300000001</v>
      </c>
      <c r="I11" s="102">
        <f>SUM(I32,I213,I421,I930)</f>
        <v>0</v>
      </c>
      <c r="J11" s="1321"/>
      <c r="K11" s="1321"/>
    </row>
    <row r="12" spans="1:15" ht="15" customHeight="1">
      <c r="A12" s="1295"/>
      <c r="B12" s="1295" t="s">
        <v>237</v>
      </c>
      <c r="C12" s="1295" t="s">
        <v>235</v>
      </c>
      <c r="D12" s="100" t="s">
        <v>3</v>
      </c>
      <c r="E12" s="102">
        <f t="shared" ref="E12:E24" si="2">SUM(F12:I12)</f>
        <v>9935199.5000178423</v>
      </c>
      <c r="F12" s="102">
        <f>SUM(F13:F18)</f>
        <v>9426880.1113600004</v>
      </c>
      <c r="G12" s="102">
        <f>SUM(G13:G18)</f>
        <v>335189.18385000003</v>
      </c>
      <c r="H12" s="102">
        <f>SUM(H13:H18)</f>
        <v>173130.20480784267</v>
      </c>
      <c r="I12" s="102">
        <v>0</v>
      </c>
      <c r="J12" s="1319"/>
      <c r="K12" s="1319" t="s">
        <v>65</v>
      </c>
    </row>
    <row r="13" spans="1:15">
      <c r="A13" s="1296"/>
      <c r="B13" s="1296"/>
      <c r="C13" s="1296"/>
      <c r="D13" s="100">
        <v>2021</v>
      </c>
      <c r="E13" s="102">
        <f t="shared" si="2"/>
        <v>1143437.1402100001</v>
      </c>
      <c r="F13" s="102">
        <f t="shared" ref="F13:I18" si="3">F6-F20</f>
        <v>1079783.2501300001</v>
      </c>
      <c r="G13" s="102">
        <f t="shared" si="3"/>
        <v>44391.299000000028</v>
      </c>
      <c r="H13" s="102">
        <f t="shared" si="3"/>
        <v>19262.591080000006</v>
      </c>
      <c r="I13" s="102">
        <v>0</v>
      </c>
      <c r="J13" s="1320"/>
      <c r="K13" s="1320"/>
      <c r="M13" s="99" t="s">
        <v>4</v>
      </c>
      <c r="N13" s="99" t="s">
        <v>5</v>
      </c>
      <c r="O13" s="99" t="s">
        <v>6</v>
      </c>
    </row>
    <row r="14" spans="1:15">
      <c r="A14" s="1296"/>
      <c r="B14" s="1296"/>
      <c r="C14" s="1296"/>
      <c r="D14" s="100">
        <v>2022</v>
      </c>
      <c r="E14" s="102">
        <f t="shared" si="2"/>
        <v>1725609.8373178432</v>
      </c>
      <c r="F14" s="102">
        <f t="shared" si="3"/>
        <v>1637815.2563600005</v>
      </c>
      <c r="G14" s="102">
        <f t="shared" si="3"/>
        <v>66437.87</v>
      </c>
      <c r="H14" s="102">
        <f t="shared" si="3"/>
        <v>21356.710957842668</v>
      </c>
      <c r="I14" s="102">
        <v>0</v>
      </c>
      <c r="J14" s="1320"/>
      <c r="K14" s="1320"/>
      <c r="M14" s="103">
        <f>SUM(F28,F209,F452,F466,F557,F583,F590,F597,F604,F667,F702,F772,F779,F786,F793,F828,F898,F926)</f>
        <v>1637815.2563600005</v>
      </c>
      <c r="N14" s="99">
        <f>SUM(G28,G209,G452,G466,G557,G583,G590,G597,G604,G667,G702,G772,G779,G786,G793,G828,G898,G926)</f>
        <v>66437.87</v>
      </c>
      <c r="O14" s="99">
        <f>SUM(H28,H209,H452,H466,H557,H583,H590,H597,H604,H667,H702,H772,H779,H786,H793,H828,H898,H926)</f>
        <v>21356.710957842668</v>
      </c>
    </row>
    <row r="15" spans="1:15">
      <c r="A15" s="1296"/>
      <c r="B15" s="1296"/>
      <c r="C15" s="1296"/>
      <c r="D15" s="100">
        <v>2023</v>
      </c>
      <c r="E15" s="102">
        <f t="shared" si="2"/>
        <v>1506558.2582200002</v>
      </c>
      <c r="F15" s="102">
        <f t="shared" si="3"/>
        <v>1461119.3400300003</v>
      </c>
      <c r="G15" s="102">
        <f t="shared" si="3"/>
        <v>12210.214849999989</v>
      </c>
      <c r="H15" s="102">
        <f t="shared" si="3"/>
        <v>33228.70334</v>
      </c>
      <c r="I15" s="102">
        <v>0</v>
      </c>
      <c r="J15" s="1320"/>
      <c r="K15" s="1320"/>
    </row>
    <row r="16" spans="1:15">
      <c r="A16" s="1296"/>
      <c r="B16" s="1296"/>
      <c r="C16" s="1296"/>
      <c r="D16" s="100">
        <v>2024</v>
      </c>
      <c r="E16" s="102">
        <f t="shared" si="2"/>
        <v>2112037.0010899995</v>
      </c>
      <c r="F16" s="102">
        <f t="shared" si="3"/>
        <v>1959784.0482899996</v>
      </c>
      <c r="G16" s="102">
        <f t="shared" si="3"/>
        <v>86149.799999999988</v>
      </c>
      <c r="H16" s="102">
        <f t="shared" si="3"/>
        <v>66103.152799999996</v>
      </c>
      <c r="I16" s="102">
        <v>0</v>
      </c>
      <c r="J16" s="1320"/>
      <c r="K16" s="1320"/>
      <c r="M16" s="103">
        <f>SUM(F30,F211,F454,F468,F559,F585,F592,F599,F606,F669,F704,F774,F781,F788,F795,F830,F900,F928)</f>
        <v>1959784.0482899996</v>
      </c>
      <c r="N16" s="99">
        <f>SUM(G30,G211,G454,G468,G559,G585,G592,G599,G606,G669,G704,G774,G781,G788,G795,G830,G900,G928)</f>
        <v>86149.8</v>
      </c>
      <c r="O16" s="99">
        <f>SUM(H30,H211,H454,H468,H559,H585,H592,H599,H606,H669,H704,H774,H781,H788,H795,H830,H900,H928)</f>
        <v>66103.152799999996</v>
      </c>
    </row>
    <row r="17" spans="1:15">
      <c r="A17" s="1296"/>
      <c r="B17" s="1296"/>
      <c r="C17" s="1296"/>
      <c r="D17" s="100">
        <v>2025</v>
      </c>
      <c r="E17" s="102">
        <f t="shared" si="2"/>
        <v>1597977.17408</v>
      </c>
      <c r="F17" s="102">
        <f t="shared" si="3"/>
        <v>1491387.65075</v>
      </c>
      <c r="G17" s="102">
        <f t="shared" si="3"/>
        <v>90000</v>
      </c>
      <c r="H17" s="102">
        <f t="shared" si="3"/>
        <v>16589.52333</v>
      </c>
      <c r="I17" s="102">
        <v>0</v>
      </c>
      <c r="J17" s="1320"/>
      <c r="K17" s="1320"/>
      <c r="M17" s="99">
        <f>SUM(F31,F212,F456,F470,F561,F587,F593,F601,F608,F671,F705,F776,F783,F790,F797,F831,F901,F929)</f>
        <v>1491387.65075</v>
      </c>
      <c r="N17" s="99">
        <f>SUM(G31,G212,G456,G470,G561,G587,G593,G601,G608,G671,G705,G776,G783,G790,G797,G831,G901,G929)</f>
        <v>90000</v>
      </c>
      <c r="O17" s="99">
        <f>SUM(H31,H212,H456,H470,H561,H587,H593,H601,H608,H671,H705,H776,H783,H790,H797,H831,H901,H929)</f>
        <v>16589.52333</v>
      </c>
    </row>
    <row r="18" spans="1:15">
      <c r="A18" s="1297"/>
      <c r="B18" s="1297"/>
      <c r="C18" s="1297"/>
      <c r="D18" s="100">
        <v>2026</v>
      </c>
      <c r="E18" s="102">
        <f>SUM(F18:I18)</f>
        <v>1849580.0891000002</v>
      </c>
      <c r="F18" s="102">
        <f t="shared" si="3"/>
        <v>1796990.5658000002</v>
      </c>
      <c r="G18" s="102">
        <f t="shared" si="3"/>
        <v>36000</v>
      </c>
      <c r="H18" s="102">
        <f t="shared" si="3"/>
        <v>16589.523300000001</v>
      </c>
      <c r="I18" s="102">
        <f t="shared" si="3"/>
        <v>0</v>
      </c>
      <c r="J18" s="1321"/>
      <c r="K18" s="1321"/>
    </row>
    <row r="19" spans="1:15" ht="15" customHeight="1">
      <c r="A19" s="1295"/>
      <c r="B19" s="1295" t="s">
        <v>238</v>
      </c>
      <c r="C19" s="1295" t="s">
        <v>235</v>
      </c>
      <c r="D19" s="100" t="s">
        <v>3</v>
      </c>
      <c r="E19" s="102">
        <f t="shared" si="2"/>
        <v>4323036.7169169076</v>
      </c>
      <c r="F19" s="102">
        <f>F20+F21+F22+F23+F24</f>
        <v>2989422.7011200003</v>
      </c>
      <c r="G19" s="102">
        <f t="shared" ref="G19:H19" si="4">G20+G21+G22+G23+G24</f>
        <v>1229915.9389999998</v>
      </c>
      <c r="H19" s="102">
        <f t="shared" si="4"/>
        <v>103698.07679690821</v>
      </c>
      <c r="I19" s="102">
        <f t="shared" ref="I19" si="5">I20+I21+I22+I23</f>
        <v>0</v>
      </c>
      <c r="J19" s="1319"/>
      <c r="K19" s="1319" t="s">
        <v>239</v>
      </c>
      <c r="N19" s="103">
        <f>F74+F88+F95+F102+F109+F129+F150+F157+F164+F192+F199+F227+F234+F241+F248+F255+F325+F395+F594+F706+F818+F825+F839+F902+F944</f>
        <v>1796990.5658000002</v>
      </c>
    </row>
    <row r="20" spans="1:15">
      <c r="A20" s="1296"/>
      <c r="B20" s="1296"/>
      <c r="C20" s="1296"/>
      <c r="D20" s="100">
        <v>2021</v>
      </c>
      <c r="E20" s="102">
        <f t="shared" si="2"/>
        <v>469791.46158165036</v>
      </c>
      <c r="F20" s="102">
        <f t="shared" ref="F20:H21" si="6">F430+F437+F444+F458+F493+F507+F514+F549+F610+F617+F624+F631+F645+F652+F673+F680+F687+F694+F708+F715+F722+F729+F736+F743+F750+F757+F764+F799+F806+F848+F904+F911+F918+F535+F869+F855</f>
        <v>188127.04001999999</v>
      </c>
      <c r="G20" s="102">
        <f t="shared" si="6"/>
        <v>257488.69899999999</v>
      </c>
      <c r="H20" s="102">
        <f t="shared" si="6"/>
        <v>24175.722561650378</v>
      </c>
      <c r="I20" s="102">
        <f>I6-I13</f>
        <v>0</v>
      </c>
      <c r="J20" s="1320"/>
      <c r="K20" s="1320"/>
    </row>
    <row r="21" spans="1:15">
      <c r="A21" s="1296"/>
      <c r="B21" s="1296"/>
      <c r="C21" s="1296"/>
      <c r="D21" s="100">
        <v>2022</v>
      </c>
      <c r="E21" s="102">
        <f t="shared" si="2"/>
        <v>1157781.5735552579</v>
      </c>
      <c r="F21" s="102">
        <f t="shared" si="6"/>
        <v>921156.4460600001</v>
      </c>
      <c r="G21" s="102">
        <f t="shared" si="6"/>
        <v>177607.9</v>
      </c>
      <c r="H21" s="102">
        <f t="shared" si="6"/>
        <v>59017.227495257852</v>
      </c>
      <c r="I21" s="102">
        <f>I7-I14</f>
        <v>0</v>
      </c>
      <c r="J21" s="1320"/>
      <c r="K21" s="1320"/>
    </row>
    <row r="22" spans="1:15">
      <c r="A22" s="1296"/>
      <c r="B22" s="1296"/>
      <c r="C22" s="1296"/>
      <c r="D22" s="100">
        <v>2023</v>
      </c>
      <c r="E22" s="102">
        <f>SUM(F22:I22)</f>
        <v>647821.80619999999</v>
      </c>
      <c r="F22" s="102">
        <f>F432+F439+F446+F460+F495+F509+F516+F551+F612+F619+F626+F633+F647+F654+F675+F682+F689+F696+F710+F717+F724+F731+F738+F745+F752+F759+F766+F801+F808+F850+F906+F913+F920+F537+F871+F857</f>
        <v>214914.47045999998</v>
      </c>
      <c r="G22" s="102">
        <f>G432+G439+G446+G460+G495+G509+G516+G551+G612+G619+G626+G633+G647+G654+G675+G682+G689+G696+G710+G717+G724+G731+G738+G745+G752+G759+G766+G801+G808+G850+G906+G913+G920+G537+G871+G857+G864</f>
        <v>424710.74</v>
      </c>
      <c r="H22" s="102">
        <f>H432+H439+H446+H460+H495+H509+H516+H551+H612+H619+H626+H633+H647+H654+H675+H682+H689+H696+H710+H717+H724+H731+H738+H745+H752+H759+H766+H801+H808+H850+H906+H913+H920+H537+H871+H857</f>
        <v>8196.5957399999752</v>
      </c>
      <c r="I22" s="102">
        <f>I432+I439+I446+I460+I495+I509+I516+I551+I612+I619+I626+I633+I647+I654+I668+I675+I682+I689+I696+I710+I717+I724+I731+I738+I745+I752+I759+I766+I801+I808+I850+I906+I913+I920+I537+I871</f>
        <v>0</v>
      </c>
      <c r="J22" s="1320"/>
      <c r="K22" s="1320"/>
    </row>
    <row r="23" spans="1:15">
      <c r="A23" s="1296"/>
      <c r="B23" s="1296"/>
      <c r="C23" s="1296"/>
      <c r="D23" s="100">
        <v>2024</v>
      </c>
      <c r="E23" s="102">
        <f t="shared" si="2"/>
        <v>1486224.0755799999</v>
      </c>
      <c r="F23" s="102">
        <f>F433+F440+F447+F461+F496+F510+F517+F552+F613+F620+F627+F634+F648+F655+F676+F683+F690+F697+F711+F718+F725+F732+F739+F746+F753+F760+F767+F802+F809+F907+F914+F921+F538+F872+F844+F566+F572</f>
        <v>1104599.5295800001</v>
      </c>
      <c r="G23" s="102">
        <f>G433+G440+G447+G461+G496+G510+G517+G552+G613+G620+G627+G634+G648+G655+G676+G683+G690+G697+G711+G718+G725+G732+G739+G746+G753+G760+G767+G802+G809+G851+G907+G914+G921+G538+G872+G858</f>
        <v>370108.6</v>
      </c>
      <c r="H23" s="102">
        <f>H433+H440+H447+H461+H496+H510+H517+H552+H613+H620+H627+H634+H648+H655+H676+H683+H690+H697+H711+H718+H725+H732+H739+H746+H753+H760+H767+H802+H809+H851+H907+H914+H921+H538+H872+H858</f>
        <v>11515.946</v>
      </c>
      <c r="I23" s="102">
        <f>I433+I440+I447+I461+I496+I510+I517+I552+I613+I620+I627+I634+I648+I655+I669+I676+I683+I690+I697+I711+I718+I725+I732+I739+I746+I753+I760+I767+I802+I809+I851+I907+I914+I921+I538+I872+I873</f>
        <v>0</v>
      </c>
      <c r="J23" s="1320"/>
      <c r="K23" s="1320"/>
      <c r="M23" s="103"/>
      <c r="N23" s="103"/>
    </row>
    <row r="24" spans="1:15">
      <c r="A24" s="1296"/>
      <c r="B24" s="1296"/>
      <c r="C24" s="1296"/>
      <c r="D24" s="100">
        <v>2025</v>
      </c>
      <c r="E24" s="102">
        <f t="shared" si="2"/>
        <v>561417.79999999993</v>
      </c>
      <c r="F24" s="102">
        <f>F435+F442+F449+F463+F498+F512+F519+F554+F615+F622+F629+F636+F650+F657+F678+F685+F692+F699+F713+F720+F727+F734+F741+F748+F755+F762+F769+F804+F811+F908+F915+F922+F540+F873+F845</f>
        <v>560625.21499999997</v>
      </c>
      <c r="G24" s="102">
        <f>G435+G442+G449+G463+G498+G512+G519+G554+G615+G622+G629+G636+G650+G657+G678+G685+G692+G699+G713+G720+G727+G734+G741+G748+G755+G762+G769+G804+G811+G852+G908+G915+G922+G540+G873+G859</f>
        <v>0</v>
      </c>
      <c r="H24" s="102">
        <f>H435+H442+H449+H463+H498+H512+H519+H554+H615+H622+H629+H636+H650+H657+H678+H685+H692+H699+H713+H720+H727+H734+H741+H748+H755+H762+H769+H804+H811+H852+H908+H915+H922+H540+H873+H859</f>
        <v>792.58500000000004</v>
      </c>
      <c r="I24" s="102">
        <f>I10-I17</f>
        <v>0</v>
      </c>
      <c r="J24" s="1320"/>
      <c r="K24" s="1320"/>
    </row>
    <row r="25" spans="1:15">
      <c r="A25" s="1297"/>
      <c r="B25" s="1297"/>
      <c r="C25" s="1297"/>
      <c r="D25" s="100">
        <v>2026</v>
      </c>
      <c r="E25" s="102">
        <v>0</v>
      </c>
      <c r="F25" s="102">
        <v>0</v>
      </c>
      <c r="G25" s="102">
        <v>0</v>
      </c>
      <c r="H25" s="102">
        <v>0</v>
      </c>
      <c r="I25" s="102">
        <v>0</v>
      </c>
      <c r="J25" s="1321"/>
      <c r="K25" s="1321"/>
    </row>
    <row r="26" spans="1:15" ht="15" customHeight="1">
      <c r="A26" s="1295" t="s">
        <v>240</v>
      </c>
      <c r="B26" s="1308" t="s">
        <v>110</v>
      </c>
      <c r="C26" s="1295" t="s">
        <v>235</v>
      </c>
      <c r="D26" s="100" t="s">
        <v>3</v>
      </c>
      <c r="E26" s="102">
        <f t="shared" si="0"/>
        <v>1710745.8909800001</v>
      </c>
      <c r="F26" s="102">
        <f>SUM(F27:F32)</f>
        <v>1629329.8293600001</v>
      </c>
      <c r="G26" s="102">
        <f>SUM(G27:G31)</f>
        <v>23683.307479999996</v>
      </c>
      <c r="H26" s="102">
        <f>SUM(H27:H31)</f>
        <v>57732.754140000005</v>
      </c>
      <c r="I26" s="102">
        <f>SUM(I27:I31)</f>
        <v>0</v>
      </c>
      <c r="J26" s="1319"/>
      <c r="K26" s="1295" t="s">
        <v>241</v>
      </c>
      <c r="L26" s="1301" t="s">
        <v>242</v>
      </c>
    </row>
    <row r="27" spans="1:15">
      <c r="A27" s="1296"/>
      <c r="B27" s="1309"/>
      <c r="C27" s="1296"/>
      <c r="D27" s="100">
        <v>2021</v>
      </c>
      <c r="E27" s="102">
        <f t="shared" si="0"/>
        <v>138607.88275000002</v>
      </c>
      <c r="F27" s="102">
        <f t="shared" ref="F27:I30" si="7">F34+F62+F173</f>
        <v>118407.68375000001</v>
      </c>
      <c r="G27" s="102">
        <f t="shared" si="7"/>
        <v>20200.198999999997</v>
      </c>
      <c r="H27" s="102">
        <f t="shared" si="7"/>
        <v>0</v>
      </c>
      <c r="I27" s="102">
        <f t="shared" si="7"/>
        <v>0</v>
      </c>
      <c r="J27" s="1320"/>
      <c r="K27" s="1296"/>
      <c r="L27" s="1301"/>
    </row>
    <row r="28" spans="1:15">
      <c r="A28" s="1296"/>
      <c r="B28" s="1309"/>
      <c r="C28" s="1296"/>
      <c r="D28" s="100">
        <v>2022</v>
      </c>
      <c r="E28" s="102">
        <f t="shared" si="0"/>
        <v>284204.41166000004</v>
      </c>
      <c r="F28" s="102">
        <f t="shared" si="7"/>
        <v>281836.93466000003</v>
      </c>
      <c r="G28" s="102">
        <f t="shared" si="7"/>
        <v>2367.4769999999999</v>
      </c>
      <c r="H28" s="102">
        <f t="shared" si="7"/>
        <v>0</v>
      </c>
      <c r="I28" s="102">
        <f t="shared" si="7"/>
        <v>0</v>
      </c>
      <c r="J28" s="1320"/>
      <c r="K28" s="1296"/>
      <c r="L28" s="1301"/>
    </row>
    <row r="29" spans="1:15">
      <c r="A29" s="1296"/>
      <c r="B29" s="1309"/>
      <c r="C29" s="1296"/>
      <c r="D29" s="100">
        <v>2023</v>
      </c>
      <c r="E29" s="102">
        <f t="shared" si="0"/>
        <v>296877.74302999995</v>
      </c>
      <c r="F29" s="102">
        <f t="shared" si="7"/>
        <v>283276.32020999998</v>
      </c>
      <c r="G29" s="102">
        <f t="shared" si="7"/>
        <v>1115.63148</v>
      </c>
      <c r="H29" s="102">
        <f t="shared" si="7"/>
        <v>12485.79134</v>
      </c>
      <c r="I29" s="102">
        <f t="shared" si="7"/>
        <v>0</v>
      </c>
      <c r="J29" s="1320"/>
      <c r="K29" s="1296"/>
      <c r="L29" s="1301"/>
    </row>
    <row r="30" spans="1:15">
      <c r="A30" s="1296"/>
      <c r="B30" s="1309"/>
      <c r="C30" s="1296"/>
      <c r="D30" s="108">
        <v>2024</v>
      </c>
      <c r="E30" s="167">
        <f t="shared" si="0"/>
        <v>495941.05637999997</v>
      </c>
      <c r="F30" s="109">
        <f t="shared" si="7"/>
        <v>450694.09357999999</v>
      </c>
      <c r="G30" s="109">
        <f t="shared" si="7"/>
        <v>0</v>
      </c>
      <c r="H30" s="109">
        <f t="shared" si="7"/>
        <v>45246.962800000001</v>
      </c>
      <c r="I30" s="109">
        <f t="shared" si="7"/>
        <v>0</v>
      </c>
      <c r="J30" s="1320"/>
      <c r="K30" s="1296"/>
      <c r="L30" s="1301"/>
    </row>
    <row r="31" spans="1:15">
      <c r="A31" s="1296"/>
      <c r="B31" s="1309"/>
      <c r="C31" s="1296"/>
      <c r="D31" s="100">
        <v>2025</v>
      </c>
      <c r="E31" s="102">
        <f t="shared" si="0"/>
        <v>247557.39858000001</v>
      </c>
      <c r="F31" s="102">
        <f>F39+F66+F177</f>
        <v>247557.39858000001</v>
      </c>
      <c r="G31" s="102">
        <f>G39+G66+G177</f>
        <v>0</v>
      </c>
      <c r="H31" s="102">
        <f>H39+H66+H177</f>
        <v>0</v>
      </c>
      <c r="I31" s="102">
        <f>I39+I66+I177</f>
        <v>0</v>
      </c>
      <c r="J31" s="1320"/>
      <c r="K31" s="1296"/>
      <c r="L31" s="1301"/>
    </row>
    <row r="32" spans="1:15">
      <c r="A32" s="1297"/>
      <c r="B32" s="1310"/>
      <c r="C32" s="1297"/>
      <c r="D32" s="100">
        <v>2026</v>
      </c>
      <c r="E32" s="102">
        <f>SUM(F32:I32)</f>
        <v>247557.39858000001</v>
      </c>
      <c r="F32" s="102">
        <f>SUM(F67,F178)</f>
        <v>247557.39858000001</v>
      </c>
      <c r="G32" s="102">
        <f t="shared" ref="G32:I32" si="8">SUM(G67,G178)</f>
        <v>0</v>
      </c>
      <c r="H32" s="102">
        <f t="shared" si="8"/>
        <v>0</v>
      </c>
      <c r="I32" s="102">
        <f t="shared" si="8"/>
        <v>0</v>
      </c>
      <c r="J32" s="1321"/>
      <c r="K32" s="1297"/>
    </row>
    <row r="33" spans="1:12">
      <c r="A33" s="1305" t="s">
        <v>243</v>
      </c>
      <c r="B33" s="1306" t="s">
        <v>244</v>
      </c>
      <c r="C33" s="1295" t="s">
        <v>235</v>
      </c>
      <c r="D33" s="100" t="s">
        <v>3</v>
      </c>
      <c r="E33" s="102">
        <f t="shared" ref="E33:E46" si="9">SUM(F33:I33)</f>
        <v>3054.4259999999999</v>
      </c>
      <c r="F33" s="102">
        <f>SUM(F34:F39)</f>
        <v>3054.4259999999999</v>
      </c>
      <c r="G33" s="102">
        <f>SUM(G34:G39)</f>
        <v>0</v>
      </c>
      <c r="H33" s="102">
        <f>SUM(H34:H39)</f>
        <v>0</v>
      </c>
      <c r="I33" s="102">
        <f>SUM(I34:I39)</f>
        <v>0</v>
      </c>
      <c r="J33" s="1307" t="s">
        <v>245</v>
      </c>
      <c r="K33" s="1307" t="s">
        <v>246</v>
      </c>
      <c r="L33" s="1301"/>
    </row>
    <row r="34" spans="1:12">
      <c r="A34" s="1305"/>
      <c r="B34" s="1306"/>
      <c r="C34" s="1296"/>
      <c r="D34" s="100">
        <v>2021</v>
      </c>
      <c r="E34" s="102">
        <f t="shared" si="9"/>
        <v>3054.4259999999999</v>
      </c>
      <c r="F34" s="102">
        <f t="shared" ref="F34:I36" si="10">F41+F48</f>
        <v>3054.4259999999999</v>
      </c>
      <c r="G34" s="102">
        <f t="shared" si="10"/>
        <v>0</v>
      </c>
      <c r="H34" s="102">
        <f t="shared" si="10"/>
        <v>0</v>
      </c>
      <c r="I34" s="102">
        <f t="shared" si="10"/>
        <v>0</v>
      </c>
      <c r="J34" s="1307"/>
      <c r="K34" s="1307"/>
      <c r="L34" s="1301"/>
    </row>
    <row r="35" spans="1:12">
      <c r="A35" s="1305"/>
      <c r="B35" s="1306"/>
      <c r="C35" s="1296"/>
      <c r="D35" s="100">
        <v>2022</v>
      </c>
      <c r="E35" s="102">
        <f t="shared" si="9"/>
        <v>0</v>
      </c>
      <c r="F35" s="102">
        <f t="shared" si="10"/>
        <v>0</v>
      </c>
      <c r="G35" s="102">
        <f t="shared" si="10"/>
        <v>0</v>
      </c>
      <c r="H35" s="102">
        <f t="shared" si="10"/>
        <v>0</v>
      </c>
      <c r="I35" s="102">
        <f t="shared" si="10"/>
        <v>0</v>
      </c>
      <c r="J35" s="1307"/>
      <c r="K35" s="1307"/>
      <c r="L35" s="1301"/>
    </row>
    <row r="36" spans="1:12">
      <c r="A36" s="1305"/>
      <c r="B36" s="1306"/>
      <c r="C36" s="1296"/>
      <c r="D36" s="100">
        <v>2023</v>
      </c>
      <c r="E36" s="102">
        <f t="shared" si="9"/>
        <v>0</v>
      </c>
      <c r="F36" s="102">
        <f t="shared" si="10"/>
        <v>0</v>
      </c>
      <c r="G36" s="102">
        <f t="shared" si="10"/>
        <v>0</v>
      </c>
      <c r="H36" s="102">
        <f t="shared" si="10"/>
        <v>0</v>
      </c>
      <c r="I36" s="102">
        <f t="shared" si="10"/>
        <v>0</v>
      </c>
      <c r="J36" s="1307"/>
      <c r="K36" s="1307"/>
      <c r="L36" s="1301"/>
    </row>
    <row r="37" spans="1:12">
      <c r="A37" s="1305"/>
      <c r="B37" s="1306"/>
      <c r="C37" s="1296"/>
      <c r="D37" s="100">
        <v>2024</v>
      </c>
      <c r="E37" s="102">
        <f t="shared" si="9"/>
        <v>0</v>
      </c>
      <c r="F37" s="102">
        <f>F44+F51+F58</f>
        <v>0</v>
      </c>
      <c r="G37" s="102">
        <f>G44+G51</f>
        <v>0</v>
      </c>
      <c r="H37" s="102">
        <f>H44+H51</f>
        <v>0</v>
      </c>
      <c r="I37" s="102">
        <f>I44+I51</f>
        <v>0</v>
      </c>
      <c r="J37" s="1307"/>
      <c r="K37" s="1307"/>
      <c r="L37" s="1301"/>
    </row>
    <row r="38" spans="1:12">
      <c r="A38" s="1305"/>
      <c r="B38" s="1306"/>
      <c r="C38" s="1296"/>
      <c r="D38" s="100">
        <v>2025</v>
      </c>
      <c r="E38" s="102">
        <v>0</v>
      </c>
      <c r="F38" s="102">
        <v>0</v>
      </c>
      <c r="G38" s="102">
        <v>0</v>
      </c>
      <c r="H38" s="102">
        <v>0</v>
      </c>
      <c r="I38" s="102">
        <v>0</v>
      </c>
      <c r="J38" s="1307"/>
      <c r="K38" s="1307"/>
      <c r="L38" s="1301"/>
    </row>
    <row r="39" spans="1:12">
      <c r="A39" s="1305"/>
      <c r="B39" s="1306"/>
      <c r="C39" s="1297"/>
      <c r="D39" s="100">
        <v>2026</v>
      </c>
      <c r="E39" s="102">
        <f t="shared" si="9"/>
        <v>0</v>
      </c>
      <c r="F39" s="102">
        <f t="shared" ref="F39:I39" si="11">F46+F53</f>
        <v>0</v>
      </c>
      <c r="G39" s="102">
        <f t="shared" si="11"/>
        <v>0</v>
      </c>
      <c r="H39" s="102">
        <f t="shared" si="11"/>
        <v>0</v>
      </c>
      <c r="I39" s="102">
        <f t="shared" si="11"/>
        <v>0</v>
      </c>
      <c r="J39" s="1307"/>
      <c r="K39" s="1307"/>
      <c r="L39" s="1301"/>
    </row>
    <row r="40" spans="1:12">
      <c r="A40" s="1305" t="s">
        <v>247</v>
      </c>
      <c r="B40" s="1306" t="s">
        <v>248</v>
      </c>
      <c r="C40" s="1305" t="s">
        <v>249</v>
      </c>
      <c r="D40" s="100" t="s">
        <v>3</v>
      </c>
      <c r="E40" s="102">
        <f t="shared" si="9"/>
        <v>0</v>
      </c>
      <c r="F40" s="102">
        <f>SUM(F41:F46)</f>
        <v>0</v>
      </c>
      <c r="G40" s="102">
        <f>SUM(G41:G46)</f>
        <v>0</v>
      </c>
      <c r="H40" s="102">
        <f>SUM(H41:H46)</f>
        <v>0</v>
      </c>
      <c r="I40" s="102">
        <f>SUM(I41:I46)</f>
        <v>0</v>
      </c>
      <c r="J40" s="1307" t="s">
        <v>250</v>
      </c>
      <c r="K40" s="1307" t="s">
        <v>241</v>
      </c>
    </row>
    <row r="41" spans="1:12">
      <c r="A41" s="1305"/>
      <c r="B41" s="1306"/>
      <c r="C41" s="1305"/>
      <c r="D41" s="100">
        <v>2021</v>
      </c>
      <c r="E41" s="102">
        <f t="shared" si="9"/>
        <v>0</v>
      </c>
      <c r="F41" s="102">
        <v>0</v>
      </c>
      <c r="G41" s="102">
        <v>0</v>
      </c>
      <c r="H41" s="102">
        <v>0</v>
      </c>
      <c r="I41" s="102">
        <v>0</v>
      </c>
      <c r="J41" s="1307"/>
      <c r="K41" s="1307"/>
    </row>
    <row r="42" spans="1:12">
      <c r="A42" s="1305"/>
      <c r="B42" s="1306"/>
      <c r="C42" s="1305"/>
      <c r="D42" s="100">
        <v>2022</v>
      </c>
      <c r="E42" s="102">
        <f t="shared" si="9"/>
        <v>0</v>
      </c>
      <c r="F42" s="102">
        <v>0</v>
      </c>
      <c r="G42" s="102">
        <v>0</v>
      </c>
      <c r="H42" s="102">
        <v>0</v>
      </c>
      <c r="I42" s="102">
        <v>0</v>
      </c>
      <c r="J42" s="1307"/>
      <c r="K42" s="1307"/>
    </row>
    <row r="43" spans="1:12">
      <c r="A43" s="1305"/>
      <c r="B43" s="1306"/>
      <c r="C43" s="1305"/>
      <c r="D43" s="100">
        <v>2023</v>
      </c>
      <c r="E43" s="102">
        <f t="shared" si="9"/>
        <v>0</v>
      </c>
      <c r="F43" s="102">
        <v>0</v>
      </c>
      <c r="G43" s="102">
        <v>0</v>
      </c>
      <c r="H43" s="102">
        <v>0</v>
      </c>
      <c r="I43" s="102">
        <v>0</v>
      </c>
      <c r="J43" s="1307"/>
      <c r="K43" s="1307"/>
    </row>
    <row r="44" spans="1:12">
      <c r="A44" s="1305"/>
      <c r="B44" s="1306"/>
      <c r="C44" s="1305"/>
      <c r="D44" s="100">
        <v>2024</v>
      </c>
      <c r="E44" s="102">
        <f t="shared" si="9"/>
        <v>0</v>
      </c>
      <c r="F44" s="102">
        <v>0</v>
      </c>
      <c r="G44" s="102">
        <v>0</v>
      </c>
      <c r="H44" s="102">
        <v>0</v>
      </c>
      <c r="I44" s="102">
        <v>0</v>
      </c>
      <c r="J44" s="1307"/>
      <c r="K44" s="1307"/>
    </row>
    <row r="45" spans="1:12">
      <c r="A45" s="1305"/>
      <c r="B45" s="1306"/>
      <c r="C45" s="1305"/>
      <c r="D45" s="100">
        <v>2025</v>
      </c>
      <c r="E45" s="102">
        <v>0</v>
      </c>
      <c r="F45" s="102">
        <v>0</v>
      </c>
      <c r="G45" s="102">
        <v>0</v>
      </c>
      <c r="H45" s="102">
        <v>0</v>
      </c>
      <c r="I45" s="102">
        <v>0</v>
      </c>
      <c r="J45" s="1307"/>
      <c r="K45" s="1307"/>
    </row>
    <row r="46" spans="1:12">
      <c r="A46" s="1305"/>
      <c r="B46" s="1306"/>
      <c r="C46" s="1305"/>
      <c r="D46" s="100">
        <v>2026</v>
      </c>
      <c r="E46" s="102">
        <f t="shared" si="9"/>
        <v>0</v>
      </c>
      <c r="F46" s="102">
        <v>0</v>
      </c>
      <c r="G46" s="102">
        <v>0</v>
      </c>
      <c r="H46" s="102">
        <v>0</v>
      </c>
      <c r="I46" s="102">
        <v>0</v>
      </c>
      <c r="J46" s="1307"/>
      <c r="K46" s="1307"/>
    </row>
    <row r="47" spans="1:12">
      <c r="A47" s="1305" t="s">
        <v>251</v>
      </c>
      <c r="B47" s="1306" t="s">
        <v>252</v>
      </c>
      <c r="C47" s="1305" t="s">
        <v>249</v>
      </c>
      <c r="D47" s="100" t="s">
        <v>3</v>
      </c>
      <c r="E47" s="102">
        <f>SUM(E48:E53)</f>
        <v>3054.4259999999999</v>
      </c>
      <c r="F47" s="102">
        <f>SUM(F48:F53)</f>
        <v>3054.4259999999999</v>
      </c>
      <c r="G47" s="102">
        <f>SUM(G48:G53)</f>
        <v>0</v>
      </c>
      <c r="H47" s="102">
        <f>SUM(H48:H53)</f>
        <v>0</v>
      </c>
      <c r="I47" s="102">
        <f>SUM(I48:I53)</f>
        <v>0</v>
      </c>
      <c r="J47" s="1307" t="s">
        <v>253</v>
      </c>
      <c r="K47" s="1307" t="s">
        <v>254</v>
      </c>
      <c r="L47" s="1301"/>
    </row>
    <row r="48" spans="1:12">
      <c r="A48" s="1305"/>
      <c r="B48" s="1306"/>
      <c r="C48" s="1305"/>
      <c r="D48" s="100">
        <v>2021</v>
      </c>
      <c r="E48" s="102">
        <f t="shared" ref="E48:E127" si="12">SUM(F48:I48)</f>
        <v>3054.4259999999999</v>
      </c>
      <c r="F48" s="102">
        <v>3054.4259999999999</v>
      </c>
      <c r="G48" s="102">
        <v>0</v>
      </c>
      <c r="H48" s="102">
        <v>0</v>
      </c>
      <c r="I48" s="102">
        <v>0</v>
      </c>
      <c r="J48" s="1307"/>
      <c r="K48" s="1307"/>
      <c r="L48" s="1301"/>
    </row>
    <row r="49" spans="1:14">
      <c r="A49" s="1305"/>
      <c r="B49" s="1306"/>
      <c r="C49" s="1305"/>
      <c r="D49" s="100">
        <v>2022</v>
      </c>
      <c r="E49" s="102">
        <f t="shared" si="12"/>
        <v>0</v>
      </c>
      <c r="F49" s="102">
        <v>0</v>
      </c>
      <c r="G49" s="102">
        <v>0</v>
      </c>
      <c r="H49" s="102">
        <v>0</v>
      </c>
      <c r="I49" s="102">
        <v>0</v>
      </c>
      <c r="J49" s="1307"/>
      <c r="K49" s="1307"/>
      <c r="L49" s="1301"/>
    </row>
    <row r="50" spans="1:14">
      <c r="A50" s="1305"/>
      <c r="B50" s="1306"/>
      <c r="C50" s="1305"/>
      <c r="D50" s="100">
        <v>2023</v>
      </c>
      <c r="E50" s="102">
        <f t="shared" si="12"/>
        <v>0</v>
      </c>
      <c r="F50" s="102">
        <v>0</v>
      </c>
      <c r="G50" s="102">
        <v>0</v>
      </c>
      <c r="H50" s="102">
        <v>0</v>
      </c>
      <c r="I50" s="102">
        <v>0</v>
      </c>
      <c r="J50" s="1307"/>
      <c r="K50" s="1307"/>
      <c r="L50" s="1301"/>
    </row>
    <row r="51" spans="1:14">
      <c r="A51" s="1305"/>
      <c r="B51" s="1306"/>
      <c r="C51" s="1305"/>
      <c r="D51" s="100">
        <v>2024</v>
      </c>
      <c r="E51" s="102">
        <f t="shared" si="12"/>
        <v>0</v>
      </c>
      <c r="F51" s="102">
        <v>0</v>
      </c>
      <c r="G51" s="102">
        <v>0</v>
      </c>
      <c r="H51" s="102">
        <v>0</v>
      </c>
      <c r="I51" s="102">
        <v>0</v>
      </c>
      <c r="J51" s="1307"/>
      <c r="K51" s="1307"/>
      <c r="L51" s="1301"/>
    </row>
    <row r="52" spans="1:14">
      <c r="A52" s="1305"/>
      <c r="B52" s="1306"/>
      <c r="C52" s="1305"/>
      <c r="D52" s="100">
        <v>2025</v>
      </c>
      <c r="E52" s="102">
        <v>0</v>
      </c>
      <c r="F52" s="102">
        <v>0</v>
      </c>
      <c r="G52" s="102">
        <v>0</v>
      </c>
      <c r="H52" s="102">
        <v>0</v>
      </c>
      <c r="I52" s="102">
        <v>0</v>
      </c>
      <c r="J52" s="1307"/>
      <c r="K52" s="1307"/>
      <c r="L52" s="1301"/>
    </row>
    <row r="53" spans="1:14">
      <c r="A53" s="1305"/>
      <c r="B53" s="1306"/>
      <c r="C53" s="1305"/>
      <c r="D53" s="100">
        <v>2026</v>
      </c>
      <c r="E53" s="102">
        <f t="shared" si="12"/>
        <v>0</v>
      </c>
      <c r="F53" s="102">
        <v>0</v>
      </c>
      <c r="G53" s="102">
        <v>0</v>
      </c>
      <c r="H53" s="102">
        <v>0</v>
      </c>
      <c r="I53" s="102">
        <v>0</v>
      </c>
      <c r="J53" s="1307"/>
      <c r="K53" s="1307"/>
      <c r="L53" s="1301"/>
    </row>
    <row r="54" spans="1:14">
      <c r="A54" s="1316" t="s">
        <v>255</v>
      </c>
      <c r="B54" s="1306" t="s">
        <v>256</v>
      </c>
      <c r="C54" s="1295" t="s">
        <v>235</v>
      </c>
      <c r="D54" s="100" t="s">
        <v>3</v>
      </c>
      <c r="E54" s="102">
        <f>SUM(E55:E60)</f>
        <v>0</v>
      </c>
      <c r="F54" s="102">
        <f>SUM(F55:F60)</f>
        <v>0</v>
      </c>
      <c r="G54" s="102">
        <f>SUM(G55:G60)</f>
        <v>0</v>
      </c>
      <c r="H54" s="102">
        <f>SUM(H55:H60)</f>
        <v>0</v>
      </c>
      <c r="I54" s="102">
        <f>SUM(I55:I60)</f>
        <v>0</v>
      </c>
      <c r="J54" s="1307" t="s">
        <v>257</v>
      </c>
      <c r="K54" s="1307" t="s">
        <v>92</v>
      </c>
      <c r="L54" s="1301"/>
    </row>
    <row r="55" spans="1:14">
      <c r="A55" s="1316"/>
      <c r="B55" s="1306"/>
      <c r="C55" s="1296"/>
      <c r="D55" s="100">
        <v>2021</v>
      </c>
      <c r="E55" s="102">
        <f t="shared" ref="E55:E60" si="13">SUM(F55:I55)</f>
        <v>0</v>
      </c>
      <c r="F55" s="102">
        <v>0</v>
      </c>
      <c r="G55" s="102">
        <v>0</v>
      </c>
      <c r="H55" s="102">
        <v>0</v>
      </c>
      <c r="I55" s="102">
        <v>0</v>
      </c>
      <c r="J55" s="1307"/>
      <c r="K55" s="1307"/>
      <c r="L55" s="1301"/>
    </row>
    <row r="56" spans="1:14">
      <c r="A56" s="1316"/>
      <c r="B56" s="1306"/>
      <c r="C56" s="1296"/>
      <c r="D56" s="100">
        <v>2022</v>
      </c>
      <c r="E56" s="102">
        <f t="shared" si="13"/>
        <v>0</v>
      </c>
      <c r="F56" s="102">
        <v>0</v>
      </c>
      <c r="G56" s="102">
        <v>0</v>
      </c>
      <c r="H56" s="102">
        <v>0</v>
      </c>
      <c r="I56" s="102">
        <v>0</v>
      </c>
      <c r="J56" s="1307"/>
      <c r="K56" s="1307"/>
      <c r="L56" s="1301"/>
    </row>
    <row r="57" spans="1:14">
      <c r="A57" s="1316"/>
      <c r="B57" s="1306"/>
      <c r="C57" s="1296"/>
      <c r="D57" s="100">
        <v>2023</v>
      </c>
      <c r="E57" s="102">
        <f t="shared" si="13"/>
        <v>0</v>
      </c>
      <c r="F57" s="102">
        <v>0</v>
      </c>
      <c r="G57" s="102">
        <v>0</v>
      </c>
      <c r="H57" s="102">
        <v>0</v>
      </c>
      <c r="I57" s="102">
        <v>0</v>
      </c>
      <c r="J57" s="1307"/>
      <c r="K57" s="1307"/>
      <c r="L57" s="1301"/>
    </row>
    <row r="58" spans="1:14">
      <c r="A58" s="1316"/>
      <c r="B58" s="1306"/>
      <c r="C58" s="1296"/>
      <c r="D58" s="100">
        <v>2024</v>
      </c>
      <c r="E58" s="102">
        <f t="shared" si="13"/>
        <v>0</v>
      </c>
      <c r="F58" s="102">
        <f>2368-2368</f>
        <v>0</v>
      </c>
      <c r="G58" s="102">
        <v>0</v>
      </c>
      <c r="H58" s="102">
        <v>0</v>
      </c>
      <c r="I58" s="102">
        <v>0</v>
      </c>
      <c r="J58" s="1307"/>
      <c r="K58" s="1307"/>
      <c r="L58" s="1301"/>
      <c r="N58" s="99">
        <f>SUBTOTAL(9,F58,F72,F86,F93,F100,F107,F127,F148,F155,F162,F176,F225,F232,F246,F253,F365,F323,F372,F379,F386,F393,F400,G400,F578,F837,G837,F900,F942)</f>
        <v>2088176.6412899997</v>
      </c>
    </row>
    <row r="59" spans="1:14">
      <c r="A59" s="1316"/>
      <c r="B59" s="1306"/>
      <c r="C59" s="1296"/>
      <c r="D59" s="100">
        <v>2025</v>
      </c>
      <c r="E59" s="102">
        <v>0</v>
      </c>
      <c r="F59" s="102">
        <v>0</v>
      </c>
      <c r="G59" s="102">
        <v>0</v>
      </c>
      <c r="H59" s="102">
        <v>0</v>
      </c>
      <c r="I59" s="102">
        <v>0</v>
      </c>
      <c r="J59" s="1307"/>
      <c r="K59" s="1307"/>
      <c r="L59" s="1301"/>
    </row>
    <row r="60" spans="1:14">
      <c r="A60" s="1316"/>
      <c r="B60" s="1306"/>
      <c r="C60" s="1297"/>
      <c r="D60" s="100">
        <v>2026</v>
      </c>
      <c r="E60" s="102">
        <f t="shared" si="13"/>
        <v>0</v>
      </c>
      <c r="F60" s="102">
        <v>0</v>
      </c>
      <c r="G60" s="102">
        <v>0</v>
      </c>
      <c r="H60" s="102">
        <v>0</v>
      </c>
      <c r="I60" s="102">
        <v>0</v>
      </c>
      <c r="J60" s="1307"/>
      <c r="K60" s="1307"/>
      <c r="L60" s="1301"/>
    </row>
    <row r="61" spans="1:14" ht="27.75" customHeight="1">
      <c r="A61" s="1295" t="s">
        <v>170</v>
      </c>
      <c r="B61" s="1308" t="s">
        <v>258</v>
      </c>
      <c r="C61" s="1295" t="s">
        <v>235</v>
      </c>
      <c r="D61" s="100" t="s">
        <v>3</v>
      </c>
      <c r="E61" s="102">
        <f t="shared" si="12"/>
        <v>1630137.1802299998</v>
      </c>
      <c r="F61" s="102">
        <f>SUM(F62:F67)</f>
        <v>1572404.4260899997</v>
      </c>
      <c r="G61" s="102">
        <f t="shared" ref="G61:I61" si="14">SUM(G62:G67)</f>
        <v>0</v>
      </c>
      <c r="H61" s="102">
        <f t="shared" si="14"/>
        <v>57732.754140000005</v>
      </c>
      <c r="I61" s="102">
        <f t="shared" si="14"/>
        <v>0</v>
      </c>
      <c r="J61" s="1295" t="s">
        <v>259</v>
      </c>
      <c r="K61" s="1295" t="s">
        <v>241</v>
      </c>
      <c r="N61" s="1331" t="s">
        <v>256</v>
      </c>
    </row>
    <row r="62" spans="1:14" ht="27.75" customHeight="1">
      <c r="A62" s="1296"/>
      <c r="B62" s="1309"/>
      <c r="C62" s="1296"/>
      <c r="D62" s="100">
        <v>2021</v>
      </c>
      <c r="E62" s="102">
        <f t="shared" si="12"/>
        <v>108436.894</v>
      </c>
      <c r="F62" s="102">
        <f>SUM(F69+F76+F83+F90+F97+F104+F111+F124+F131+F138+F159)</f>
        <v>108436.894</v>
      </c>
      <c r="G62" s="102">
        <f t="shared" ref="G62:I63" si="15">SUM(G69+G76+G83+G90+G97+G104+G111+G124+G131+G138)</f>
        <v>0</v>
      </c>
      <c r="H62" s="102">
        <f t="shared" si="15"/>
        <v>0</v>
      </c>
      <c r="I62" s="102">
        <f t="shared" si="15"/>
        <v>0</v>
      </c>
      <c r="J62" s="1296"/>
      <c r="K62" s="1296"/>
      <c r="N62" s="1331"/>
    </row>
    <row r="63" spans="1:14" ht="27.75" customHeight="1">
      <c r="A63" s="1296"/>
      <c r="B63" s="1309"/>
      <c r="C63" s="1296"/>
      <c r="D63" s="100">
        <v>2022</v>
      </c>
      <c r="E63" s="102">
        <f t="shared" si="12"/>
        <v>274226.68966000003</v>
      </c>
      <c r="F63" s="102">
        <f>SUM(F70+F77+F84+F91+F98+F105+F112+F125+F132+F139+F160)</f>
        <v>274226.68966000003</v>
      </c>
      <c r="G63" s="102">
        <f t="shared" si="15"/>
        <v>0</v>
      </c>
      <c r="H63" s="102">
        <f t="shared" si="15"/>
        <v>0</v>
      </c>
      <c r="I63" s="102">
        <f t="shared" si="15"/>
        <v>0</v>
      </c>
      <c r="J63" s="1296"/>
      <c r="K63" s="1296"/>
      <c r="N63" s="1331"/>
    </row>
    <row r="64" spans="1:14" ht="27.75" customHeight="1">
      <c r="A64" s="1296"/>
      <c r="B64" s="1309"/>
      <c r="C64" s="1296"/>
      <c r="D64" s="100">
        <v>2023</v>
      </c>
      <c r="E64" s="102">
        <f t="shared" si="12"/>
        <v>286735.94302999997</v>
      </c>
      <c r="F64" s="102">
        <f>SUM(F71+F78+F85+F92+F99+F106+F113+F126+F133+F140+F161+F147+F154+F168)</f>
        <v>274250.15168999997</v>
      </c>
      <c r="G64" s="102">
        <f>SUM(G71+G78+G85+G92+G99+G106+G113+G126+G133+G140+G161+G147+G154)</f>
        <v>0</v>
      </c>
      <c r="H64" s="102">
        <f>SUM(H71+H78+H85+H92+H99+H106+H113+H126+H133+H140+H161+H147+H154)</f>
        <v>12485.79134</v>
      </c>
      <c r="I64" s="102">
        <f>SUM(I71+I78+I85+I92+I99+I106+I113+I126+I133+I140)</f>
        <v>0</v>
      </c>
      <c r="J64" s="1296"/>
      <c r="K64" s="1296"/>
      <c r="N64" s="1331"/>
    </row>
    <row r="65" spans="1:14" ht="27.75" customHeight="1">
      <c r="A65" s="1296"/>
      <c r="B65" s="1309"/>
      <c r="C65" s="1296"/>
      <c r="D65" s="108">
        <v>2024</v>
      </c>
      <c r="E65" s="167">
        <f t="shared" si="12"/>
        <v>479941.05637999997</v>
      </c>
      <c r="F65" s="109">
        <f>SUM(F72+F79+F86+F93+F100+F107+F114+F127+F134+F141+F162+F148+F155)</f>
        <v>434694.09357999999</v>
      </c>
      <c r="G65" s="109">
        <f>SUM(G72+G79+G86+G93+G100+G107+G114+G127+G134+G141)</f>
        <v>0</v>
      </c>
      <c r="H65" s="109">
        <f>SUM(H148,H155)</f>
        <v>45246.962800000001</v>
      </c>
      <c r="I65" s="109">
        <f>SUM(I72+I79+I86+I93+I100+I107+I114+I127+I134+I141)</f>
        <v>0</v>
      </c>
      <c r="J65" s="1296"/>
      <c r="K65" s="1296"/>
      <c r="N65" s="1331"/>
    </row>
    <row r="66" spans="1:14" ht="27.75" customHeight="1">
      <c r="A66" s="1296"/>
      <c r="B66" s="1309"/>
      <c r="C66" s="1296"/>
      <c r="D66" s="100">
        <v>2025</v>
      </c>
      <c r="E66" s="102">
        <f t="shared" si="12"/>
        <v>240398.29858</v>
      </c>
      <c r="F66" s="102">
        <f>SUM(F73+F81+F87+F94+F101+F108+F116+F128+F136+F143+F163+F149+F156)</f>
        <v>240398.29858</v>
      </c>
      <c r="G66" s="102">
        <f>SUM(G73+G81+G87+G94+G101+G108+G116+G128+G136+G143)</f>
        <v>0</v>
      </c>
      <c r="H66" s="102">
        <f>SUM(H73+H81+H87+H94+H101+H108+H116+H128+H136+H143)</f>
        <v>0</v>
      </c>
      <c r="I66" s="102">
        <f>SUM(I73+I81+I87+I94+I101+I108+I116+I128+I136+I143)</f>
        <v>0</v>
      </c>
      <c r="J66" s="1296"/>
      <c r="K66" s="1296"/>
      <c r="N66" s="1331"/>
    </row>
    <row r="67" spans="1:14" ht="17.25" customHeight="1">
      <c r="A67" s="1297"/>
      <c r="B67" s="1310"/>
      <c r="C67" s="1297"/>
      <c r="D67" s="100">
        <v>2026</v>
      </c>
      <c r="E67" s="102">
        <f>SUM(F67:I67)</f>
        <v>240398.29858</v>
      </c>
      <c r="F67" s="102">
        <f>SUM(F74,F88,F95,F102,F109,F129,F150,F157,F164)</f>
        <v>240398.29858</v>
      </c>
      <c r="G67" s="102">
        <f t="shared" ref="G67:I67" si="16">SUM(G74,G88,G95,G102,G109,G129,G150,G157,G164)</f>
        <v>0</v>
      </c>
      <c r="H67" s="102">
        <f t="shared" si="16"/>
        <v>0</v>
      </c>
      <c r="I67" s="102">
        <f t="shared" si="16"/>
        <v>0</v>
      </c>
      <c r="J67" s="1297"/>
      <c r="K67" s="1297"/>
      <c r="N67" s="1331"/>
    </row>
    <row r="68" spans="1:14" ht="15" customHeight="1">
      <c r="A68" s="1295" t="s">
        <v>260</v>
      </c>
      <c r="B68" s="1308" t="s">
        <v>261</v>
      </c>
      <c r="C68" s="1295" t="s">
        <v>235</v>
      </c>
      <c r="D68" s="100" t="s">
        <v>3</v>
      </c>
      <c r="E68" s="102">
        <f t="shared" si="12"/>
        <v>274200</v>
      </c>
      <c r="F68" s="102">
        <f>SUM(F69:F74)</f>
        <v>274200</v>
      </c>
      <c r="G68" s="102">
        <f>SUM(G69:G73)</f>
        <v>0</v>
      </c>
      <c r="H68" s="102">
        <f>SUM(H69:H73)</f>
        <v>0</v>
      </c>
      <c r="I68" s="102">
        <f>SUM(I69:I73)</f>
        <v>0</v>
      </c>
      <c r="J68" s="1295" t="s">
        <v>262</v>
      </c>
      <c r="K68" s="1295" t="s">
        <v>65</v>
      </c>
    </row>
    <row r="69" spans="1:14">
      <c r="A69" s="1296"/>
      <c r="B69" s="1309"/>
      <c r="C69" s="1296"/>
      <c r="D69" s="100">
        <v>2021</v>
      </c>
      <c r="E69" s="102">
        <f t="shared" si="12"/>
        <v>43000</v>
      </c>
      <c r="F69" s="102">
        <v>43000</v>
      </c>
      <c r="G69" s="102">
        <v>0</v>
      </c>
      <c r="H69" s="102">
        <v>0</v>
      </c>
      <c r="I69" s="102">
        <v>0</v>
      </c>
      <c r="J69" s="1296"/>
      <c r="K69" s="1296"/>
    </row>
    <row r="70" spans="1:14">
      <c r="A70" s="1296"/>
      <c r="B70" s="1309"/>
      <c r="C70" s="1296"/>
      <c r="D70" s="100">
        <v>2022</v>
      </c>
      <c r="E70" s="102">
        <f t="shared" si="12"/>
        <v>45000</v>
      </c>
      <c r="F70" s="102">
        <v>45000</v>
      </c>
      <c r="G70" s="102">
        <v>0</v>
      </c>
      <c r="H70" s="102">
        <v>0</v>
      </c>
      <c r="I70" s="102">
        <v>0</v>
      </c>
      <c r="J70" s="1296"/>
      <c r="K70" s="1296"/>
    </row>
    <row r="71" spans="1:14">
      <c r="A71" s="1296"/>
      <c r="B71" s="1309"/>
      <c r="C71" s="1296"/>
      <c r="D71" s="100">
        <v>2023</v>
      </c>
      <c r="E71" s="102">
        <f t="shared" si="12"/>
        <v>61200</v>
      </c>
      <c r="F71" s="102">
        <f>30000+10000+9000+12200</f>
        <v>61200</v>
      </c>
      <c r="G71" s="102">
        <v>0</v>
      </c>
      <c r="H71" s="102">
        <v>0</v>
      </c>
      <c r="I71" s="102">
        <v>0</v>
      </c>
      <c r="J71" s="1296"/>
      <c r="K71" s="1296"/>
    </row>
    <row r="72" spans="1:14">
      <c r="A72" s="1296"/>
      <c r="B72" s="1309"/>
      <c r="C72" s="1296"/>
      <c r="D72" s="108">
        <v>2024</v>
      </c>
      <c r="E72" s="109">
        <f t="shared" si="12"/>
        <v>65000</v>
      </c>
      <c r="F72" s="109">
        <v>65000</v>
      </c>
      <c r="G72" s="109">
        <v>0</v>
      </c>
      <c r="H72" s="109">
        <v>0</v>
      </c>
      <c r="I72" s="109">
        <v>0</v>
      </c>
      <c r="J72" s="1296"/>
      <c r="K72" s="1296"/>
      <c r="N72" s="104"/>
    </row>
    <row r="73" spans="1:14">
      <c r="A73" s="1296"/>
      <c r="B73" s="1309"/>
      <c r="C73" s="1296"/>
      <c r="D73" s="100">
        <v>2025</v>
      </c>
      <c r="E73" s="102">
        <f t="shared" si="12"/>
        <v>30000</v>
      </c>
      <c r="F73" s="102">
        <v>30000</v>
      </c>
      <c r="G73" s="102">
        <v>0</v>
      </c>
      <c r="H73" s="102">
        <v>0</v>
      </c>
      <c r="I73" s="102">
        <v>0</v>
      </c>
      <c r="J73" s="1296"/>
      <c r="K73" s="1296"/>
    </row>
    <row r="74" spans="1:14">
      <c r="A74" s="1297"/>
      <c r="B74" s="1310"/>
      <c r="C74" s="1297"/>
      <c r="D74" s="100">
        <v>2026</v>
      </c>
      <c r="E74" s="102">
        <f>SUM(F74:I74)</f>
        <v>30000</v>
      </c>
      <c r="F74" s="102">
        <v>30000</v>
      </c>
      <c r="G74" s="102"/>
      <c r="H74" s="102"/>
      <c r="I74" s="102"/>
      <c r="J74" s="1297"/>
      <c r="K74" s="1297"/>
    </row>
    <row r="75" spans="1:14" ht="13.5" customHeight="1" outlineLevel="1">
      <c r="A75" s="1305" t="s">
        <v>263</v>
      </c>
      <c r="B75" s="1306" t="s">
        <v>264</v>
      </c>
      <c r="C75" s="1295">
        <v>2021</v>
      </c>
      <c r="D75" s="100" t="s">
        <v>3</v>
      </c>
      <c r="E75" s="102">
        <f t="shared" si="12"/>
        <v>0</v>
      </c>
      <c r="F75" s="102">
        <f>SUM(F76:F81)</f>
        <v>0</v>
      </c>
      <c r="G75" s="102">
        <f>SUM(G76:G81)</f>
        <v>0</v>
      </c>
      <c r="H75" s="102">
        <f>SUM(H76:H81)</f>
        <v>0</v>
      </c>
      <c r="I75" s="102">
        <f>SUM(I76:I81)</f>
        <v>0</v>
      </c>
      <c r="J75" s="1307" t="s">
        <v>265</v>
      </c>
      <c r="K75" s="1295" t="s">
        <v>65</v>
      </c>
    </row>
    <row r="76" spans="1:14" ht="13.5" customHeight="1" outlineLevel="1">
      <c r="A76" s="1305"/>
      <c r="B76" s="1306"/>
      <c r="C76" s="1296"/>
      <c r="D76" s="100">
        <v>2021</v>
      </c>
      <c r="E76" s="102">
        <f t="shared" si="12"/>
        <v>0</v>
      </c>
      <c r="F76" s="102">
        <v>0</v>
      </c>
      <c r="G76" s="102">
        <v>0</v>
      </c>
      <c r="H76" s="102">
        <v>0</v>
      </c>
      <c r="I76" s="102">
        <v>0</v>
      </c>
      <c r="J76" s="1307"/>
      <c r="K76" s="1296"/>
    </row>
    <row r="77" spans="1:14" ht="13.5" customHeight="1" outlineLevel="1">
      <c r="A77" s="1305"/>
      <c r="B77" s="1306"/>
      <c r="C77" s="1296"/>
      <c r="D77" s="100">
        <v>2022</v>
      </c>
      <c r="E77" s="102">
        <f t="shared" si="12"/>
        <v>0</v>
      </c>
      <c r="F77" s="102">
        <v>0</v>
      </c>
      <c r="G77" s="102">
        <v>0</v>
      </c>
      <c r="H77" s="102">
        <v>0</v>
      </c>
      <c r="I77" s="102">
        <v>0</v>
      </c>
      <c r="J77" s="1307"/>
      <c r="K77" s="1296"/>
    </row>
    <row r="78" spans="1:14" ht="13.5" customHeight="1" outlineLevel="1">
      <c r="A78" s="1305"/>
      <c r="B78" s="1306"/>
      <c r="C78" s="1296"/>
      <c r="D78" s="100">
        <v>2023</v>
      </c>
      <c r="E78" s="102">
        <f t="shared" si="12"/>
        <v>0</v>
      </c>
      <c r="F78" s="102">
        <v>0</v>
      </c>
      <c r="G78" s="102">
        <v>0</v>
      </c>
      <c r="H78" s="102">
        <v>0</v>
      </c>
      <c r="I78" s="102">
        <v>0</v>
      </c>
      <c r="J78" s="1307"/>
      <c r="K78" s="1296"/>
    </row>
    <row r="79" spans="1:14" ht="13.5" customHeight="1" outlineLevel="1">
      <c r="A79" s="1305"/>
      <c r="B79" s="1306"/>
      <c r="C79" s="1296"/>
      <c r="D79" s="100">
        <v>2024</v>
      </c>
      <c r="E79" s="102">
        <f t="shared" si="12"/>
        <v>0</v>
      </c>
      <c r="F79" s="102">
        <v>0</v>
      </c>
      <c r="G79" s="102">
        <v>0</v>
      </c>
      <c r="H79" s="102">
        <v>0</v>
      </c>
      <c r="I79" s="102">
        <v>0</v>
      </c>
      <c r="J79" s="1307"/>
      <c r="K79" s="1296"/>
    </row>
    <row r="80" spans="1:14" ht="13.5" customHeight="1" outlineLevel="1">
      <c r="A80" s="1305"/>
      <c r="B80" s="1306"/>
      <c r="C80" s="1296"/>
      <c r="D80" s="100">
        <v>2025</v>
      </c>
      <c r="E80" s="102">
        <v>0</v>
      </c>
      <c r="F80" s="102">
        <v>0</v>
      </c>
      <c r="G80" s="102">
        <v>0</v>
      </c>
      <c r="H80" s="102">
        <v>0</v>
      </c>
      <c r="I80" s="102">
        <v>0</v>
      </c>
      <c r="J80" s="1307"/>
      <c r="K80" s="1296"/>
    </row>
    <row r="81" spans="1:13" ht="13.5" customHeight="1" outlineLevel="1">
      <c r="A81" s="1305"/>
      <c r="B81" s="1306"/>
      <c r="C81" s="1297"/>
      <c r="D81" s="100">
        <v>2026</v>
      </c>
      <c r="E81" s="102">
        <f t="shared" si="12"/>
        <v>0</v>
      </c>
      <c r="F81" s="102">
        <v>0</v>
      </c>
      <c r="G81" s="102">
        <v>0</v>
      </c>
      <c r="H81" s="102">
        <v>0</v>
      </c>
      <c r="I81" s="102">
        <v>0</v>
      </c>
      <c r="J81" s="1307"/>
      <c r="K81" s="1297"/>
    </row>
    <row r="82" spans="1:13" ht="13.5" customHeight="1" outlineLevel="1">
      <c r="A82" s="1295" t="s">
        <v>266</v>
      </c>
      <c r="B82" s="1308" t="s">
        <v>267</v>
      </c>
      <c r="C82" s="1295" t="s">
        <v>235</v>
      </c>
      <c r="D82" s="100" t="s">
        <v>3</v>
      </c>
      <c r="E82" s="102">
        <f t="shared" si="12"/>
        <v>257993.769</v>
      </c>
      <c r="F82" s="102">
        <f>SUM(F83:F88)</f>
        <v>257993.769</v>
      </c>
      <c r="G82" s="102">
        <f>SUM(G83:G87)</f>
        <v>0</v>
      </c>
      <c r="H82" s="102">
        <f>SUM(H83:H87)</f>
        <v>0</v>
      </c>
      <c r="I82" s="102">
        <f>SUM(I83:I87)</f>
        <v>0</v>
      </c>
      <c r="J82" s="1295" t="s">
        <v>169</v>
      </c>
      <c r="K82" s="1295" t="s">
        <v>65</v>
      </c>
    </row>
    <row r="83" spans="1:13" ht="13.5" customHeight="1" outlineLevel="1">
      <c r="A83" s="1296"/>
      <c r="B83" s="1309"/>
      <c r="C83" s="1296"/>
      <c r="D83" s="100">
        <v>2021</v>
      </c>
      <c r="E83" s="102">
        <f t="shared" si="12"/>
        <v>33993.769</v>
      </c>
      <c r="F83" s="102">
        <v>33993.769</v>
      </c>
      <c r="G83" s="102">
        <v>0</v>
      </c>
      <c r="H83" s="102">
        <v>0</v>
      </c>
      <c r="I83" s="102">
        <v>0</v>
      </c>
      <c r="J83" s="1296"/>
      <c r="K83" s="1296"/>
    </row>
    <row r="84" spans="1:13" ht="13.5" customHeight="1" outlineLevel="1">
      <c r="A84" s="1296"/>
      <c r="B84" s="1309"/>
      <c r="C84" s="1296"/>
      <c r="D84" s="100">
        <v>2022</v>
      </c>
      <c r="E84" s="102">
        <f t="shared" si="12"/>
        <v>40000</v>
      </c>
      <c r="F84" s="102">
        <v>40000</v>
      </c>
      <c r="G84" s="102">
        <v>0</v>
      </c>
      <c r="H84" s="102">
        <v>0</v>
      </c>
      <c r="I84" s="102">
        <v>0</v>
      </c>
      <c r="J84" s="1296"/>
      <c r="K84" s="1296"/>
    </row>
    <row r="85" spans="1:13" ht="13.5" customHeight="1" outlineLevel="1">
      <c r="A85" s="1296"/>
      <c r="B85" s="1309"/>
      <c r="C85" s="1296"/>
      <c r="D85" s="100">
        <v>2023</v>
      </c>
      <c r="E85" s="102">
        <f t="shared" si="12"/>
        <v>49000</v>
      </c>
      <c r="F85" s="102">
        <f>40000+9000</f>
        <v>49000</v>
      </c>
      <c r="G85" s="102">
        <v>0</v>
      </c>
      <c r="H85" s="102">
        <v>0</v>
      </c>
      <c r="I85" s="102">
        <v>0</v>
      </c>
      <c r="J85" s="1296"/>
      <c r="K85" s="1296"/>
    </row>
    <row r="86" spans="1:13" ht="13.5" customHeight="1" outlineLevel="1">
      <c r="A86" s="1296"/>
      <c r="B86" s="1309"/>
      <c r="C86" s="1296"/>
      <c r="D86" s="108">
        <v>2024</v>
      </c>
      <c r="E86" s="109">
        <f t="shared" si="12"/>
        <v>55000</v>
      </c>
      <c r="F86" s="109">
        <v>55000</v>
      </c>
      <c r="G86" s="109">
        <v>0</v>
      </c>
      <c r="H86" s="109">
        <v>0</v>
      </c>
      <c r="I86" s="109">
        <v>0</v>
      </c>
      <c r="J86" s="1296"/>
      <c r="K86" s="1296"/>
    </row>
    <row r="87" spans="1:13" ht="13.5" customHeight="1" outlineLevel="1">
      <c r="A87" s="1296"/>
      <c r="B87" s="1309"/>
      <c r="C87" s="1296"/>
      <c r="D87" s="100">
        <v>2025</v>
      </c>
      <c r="E87" s="102">
        <f t="shared" si="12"/>
        <v>40000</v>
      </c>
      <c r="F87" s="102">
        <v>40000</v>
      </c>
      <c r="G87" s="102">
        <v>0</v>
      </c>
      <c r="H87" s="102">
        <v>0</v>
      </c>
      <c r="I87" s="102">
        <v>0</v>
      </c>
      <c r="J87" s="1296"/>
      <c r="K87" s="1296"/>
    </row>
    <row r="88" spans="1:13" ht="13.5" customHeight="1" outlineLevel="1">
      <c r="A88" s="1297"/>
      <c r="B88" s="1310"/>
      <c r="C88" s="1297"/>
      <c r="D88" s="100">
        <v>2026</v>
      </c>
      <c r="E88" s="102">
        <f>SUM(F88:I88)</f>
        <v>40000</v>
      </c>
      <c r="F88" s="102">
        <v>40000</v>
      </c>
      <c r="G88" s="102">
        <v>0</v>
      </c>
      <c r="H88" s="102">
        <v>0</v>
      </c>
      <c r="I88" s="102">
        <v>0</v>
      </c>
      <c r="J88" s="1297"/>
      <c r="K88" s="1297"/>
    </row>
    <row r="89" spans="1:13" ht="13.5" customHeight="1" outlineLevel="1">
      <c r="A89" s="1295" t="s">
        <v>268</v>
      </c>
      <c r="B89" s="1308" t="s">
        <v>269</v>
      </c>
      <c r="C89" s="1295" t="s">
        <v>235</v>
      </c>
      <c r="D89" s="100" t="s">
        <v>3</v>
      </c>
      <c r="E89" s="102">
        <f t="shared" si="12"/>
        <v>23634.921689999999</v>
      </c>
      <c r="F89" s="102">
        <f>SUM(F90:F95)</f>
        <v>23634.921689999999</v>
      </c>
      <c r="G89" s="102">
        <f>SUM(G90:G94)</f>
        <v>0</v>
      </c>
      <c r="H89" s="102">
        <f>SUM(H90:H94)</f>
        <v>0</v>
      </c>
      <c r="I89" s="102">
        <f>SUM(I90:I94)</f>
        <v>0</v>
      </c>
      <c r="J89" s="1295" t="s">
        <v>73</v>
      </c>
      <c r="K89" s="1295" t="s">
        <v>65</v>
      </c>
    </row>
    <row r="90" spans="1:13" ht="13.5" customHeight="1" outlineLevel="1">
      <c r="A90" s="1296"/>
      <c r="B90" s="1309"/>
      <c r="C90" s="1296"/>
      <c r="D90" s="100">
        <v>2021</v>
      </c>
      <c r="E90" s="102">
        <f t="shared" si="12"/>
        <v>2000</v>
      </c>
      <c r="F90" s="102">
        <v>2000</v>
      </c>
      <c r="G90" s="102">
        <v>0</v>
      </c>
      <c r="H90" s="102">
        <v>0</v>
      </c>
      <c r="I90" s="102">
        <v>0</v>
      </c>
      <c r="J90" s="1296"/>
      <c r="K90" s="1296"/>
    </row>
    <row r="91" spans="1:13" ht="13.5" customHeight="1" outlineLevel="1">
      <c r="A91" s="1296"/>
      <c r="B91" s="1309"/>
      <c r="C91" s="1296"/>
      <c r="D91" s="100">
        <v>2022</v>
      </c>
      <c r="E91" s="102">
        <f t="shared" si="12"/>
        <v>2900</v>
      </c>
      <c r="F91" s="102">
        <v>2900</v>
      </c>
      <c r="G91" s="102">
        <v>0</v>
      </c>
      <c r="H91" s="102">
        <v>0</v>
      </c>
      <c r="I91" s="102">
        <v>0</v>
      </c>
      <c r="J91" s="1296"/>
      <c r="K91" s="1296"/>
    </row>
    <row r="92" spans="1:13" ht="13.5" customHeight="1" outlineLevel="1">
      <c r="A92" s="1296"/>
      <c r="B92" s="1309"/>
      <c r="C92" s="1296"/>
      <c r="D92" s="100">
        <v>2023</v>
      </c>
      <c r="E92" s="102">
        <f t="shared" si="12"/>
        <v>1934.9216900000004</v>
      </c>
      <c r="F92" s="102">
        <f>5600-3148.56931-134.432-300-82.077</f>
        <v>1934.9216900000004</v>
      </c>
      <c r="G92" s="102">
        <v>0</v>
      </c>
      <c r="H92" s="102">
        <v>0</v>
      </c>
      <c r="I92" s="102">
        <v>0</v>
      </c>
      <c r="J92" s="1296"/>
      <c r="K92" s="1296"/>
      <c r="M92" s="99" t="s">
        <v>270</v>
      </c>
    </row>
    <row r="93" spans="1:13" ht="13.5" customHeight="1" outlineLevel="1">
      <c r="A93" s="1296"/>
      <c r="B93" s="1309"/>
      <c r="C93" s="1296"/>
      <c r="D93" s="108">
        <v>2024</v>
      </c>
      <c r="E93" s="109">
        <f t="shared" si="12"/>
        <v>5600</v>
      </c>
      <c r="F93" s="109">
        <v>5600</v>
      </c>
      <c r="G93" s="109">
        <v>0</v>
      </c>
      <c r="H93" s="109">
        <v>0</v>
      </c>
      <c r="I93" s="109">
        <v>0</v>
      </c>
      <c r="J93" s="1296"/>
      <c r="K93" s="1296"/>
    </row>
    <row r="94" spans="1:13" ht="13.5" customHeight="1" outlineLevel="1">
      <c r="A94" s="1296"/>
      <c r="B94" s="1309"/>
      <c r="C94" s="1296"/>
      <c r="D94" s="100">
        <v>2025</v>
      </c>
      <c r="E94" s="102">
        <f t="shared" si="12"/>
        <v>5600</v>
      </c>
      <c r="F94" s="102">
        <v>5600</v>
      </c>
      <c r="G94" s="102">
        <v>0</v>
      </c>
      <c r="H94" s="102">
        <v>0</v>
      </c>
      <c r="I94" s="102">
        <v>0</v>
      </c>
      <c r="J94" s="1296"/>
      <c r="K94" s="1296"/>
    </row>
    <row r="95" spans="1:13" ht="13.5" customHeight="1" outlineLevel="1">
      <c r="A95" s="1297"/>
      <c r="B95" s="1310"/>
      <c r="C95" s="1297"/>
      <c r="D95" s="100">
        <v>2026</v>
      </c>
      <c r="E95" s="102">
        <f>SUM(F95:I95)</f>
        <v>5600</v>
      </c>
      <c r="F95" s="102">
        <v>5600</v>
      </c>
      <c r="G95" s="102">
        <v>0</v>
      </c>
      <c r="H95" s="102">
        <v>0</v>
      </c>
      <c r="I95" s="102">
        <v>0</v>
      </c>
      <c r="J95" s="1297"/>
      <c r="K95" s="1297"/>
    </row>
    <row r="96" spans="1:13" ht="13.5" customHeight="1" outlineLevel="1">
      <c r="A96" s="1295" t="s">
        <v>271</v>
      </c>
      <c r="B96" s="1308" t="s">
        <v>168</v>
      </c>
      <c r="C96" s="1295" t="s">
        <v>235</v>
      </c>
      <c r="D96" s="100" t="s">
        <v>3</v>
      </c>
      <c r="E96" s="102">
        <f t="shared" si="12"/>
        <v>445766.48374</v>
      </c>
      <c r="F96" s="102">
        <f>SUM(F97:F102)</f>
        <v>445766.48374</v>
      </c>
      <c r="G96" s="102">
        <f>SUM(G97:G101)</f>
        <v>0</v>
      </c>
      <c r="H96" s="102">
        <f>SUM(H97:H101)</f>
        <v>0</v>
      </c>
      <c r="I96" s="102">
        <f>SUM(I97:I101)</f>
        <v>0</v>
      </c>
      <c r="J96" s="1295" t="s">
        <v>74</v>
      </c>
      <c r="K96" s="1295" t="s">
        <v>241</v>
      </c>
    </row>
    <row r="97" spans="1:11" ht="13.5" customHeight="1" outlineLevel="1">
      <c r="A97" s="1296"/>
      <c r="B97" s="1309"/>
      <c r="C97" s="1296"/>
      <c r="D97" s="100">
        <v>2021</v>
      </c>
      <c r="E97" s="102">
        <f t="shared" si="12"/>
        <v>29443.125</v>
      </c>
      <c r="F97" s="102">
        <f>29443125/1000</f>
        <v>29443.125</v>
      </c>
      <c r="G97" s="102">
        <v>0</v>
      </c>
      <c r="H97" s="102">
        <v>0</v>
      </c>
      <c r="I97" s="102">
        <v>0</v>
      </c>
      <c r="J97" s="1296"/>
      <c r="K97" s="1296"/>
    </row>
    <row r="98" spans="1:11" ht="13.5" customHeight="1" outlineLevel="1">
      <c r="A98" s="1296"/>
      <c r="B98" s="1309"/>
      <c r="C98" s="1296"/>
      <c r="D98" s="100">
        <v>2022</v>
      </c>
      <c r="E98" s="102">
        <f t="shared" si="12"/>
        <v>99747.438999999998</v>
      </c>
      <c r="F98" s="102">
        <v>99747.438999999998</v>
      </c>
      <c r="G98" s="102">
        <v>0</v>
      </c>
      <c r="H98" s="102">
        <v>0</v>
      </c>
      <c r="I98" s="102">
        <v>0</v>
      </c>
      <c r="J98" s="1296"/>
      <c r="K98" s="1296"/>
    </row>
    <row r="99" spans="1:11" ht="13.5" customHeight="1" outlineLevel="1">
      <c r="A99" s="1296"/>
      <c r="B99" s="1309"/>
      <c r="C99" s="1296"/>
      <c r="D99" s="100">
        <v>2023</v>
      </c>
      <c r="E99" s="102">
        <f t="shared" si="12"/>
        <v>74885.229000000007</v>
      </c>
      <c r="F99" s="102">
        <f>56948.035+1000+16937.194</f>
        <v>74885.229000000007</v>
      </c>
      <c r="G99" s="102">
        <v>0</v>
      </c>
      <c r="H99" s="102">
        <v>0</v>
      </c>
      <c r="I99" s="102">
        <v>0</v>
      </c>
      <c r="J99" s="1296"/>
      <c r="K99" s="1296"/>
    </row>
    <row r="100" spans="1:11" ht="13.5" customHeight="1" outlineLevel="1">
      <c r="A100" s="1296"/>
      <c r="B100" s="1309"/>
      <c r="C100" s="1296"/>
      <c r="D100" s="108">
        <v>2024</v>
      </c>
      <c r="E100" s="109">
        <f t="shared" si="12"/>
        <v>120094.09358</v>
      </c>
      <c r="F100" s="109">
        <f>115788.59358+1937.5+2368</f>
        <v>120094.09358</v>
      </c>
      <c r="G100" s="109">
        <v>0</v>
      </c>
      <c r="H100" s="109">
        <v>0</v>
      </c>
      <c r="I100" s="109">
        <v>0</v>
      </c>
      <c r="J100" s="1296"/>
      <c r="K100" s="1296"/>
    </row>
    <row r="101" spans="1:11" ht="13.5" customHeight="1" outlineLevel="1">
      <c r="A101" s="1296"/>
      <c r="B101" s="1309"/>
      <c r="C101" s="1296"/>
      <c r="D101" s="100">
        <v>2025</v>
      </c>
      <c r="E101" s="102">
        <f t="shared" si="12"/>
        <v>60798.298580000002</v>
      </c>
      <c r="F101" s="102">
        <v>60798.298580000002</v>
      </c>
      <c r="G101" s="102">
        <v>0</v>
      </c>
      <c r="H101" s="102">
        <v>0</v>
      </c>
      <c r="I101" s="102">
        <v>0</v>
      </c>
      <c r="J101" s="1296"/>
      <c r="K101" s="1296"/>
    </row>
    <row r="102" spans="1:11" ht="13.5" customHeight="1" outlineLevel="1">
      <c r="A102" s="1297"/>
      <c r="B102" s="1310"/>
      <c r="C102" s="1297"/>
      <c r="D102" s="100">
        <v>2026</v>
      </c>
      <c r="E102" s="102">
        <f>SUM(F102:I102)</f>
        <v>60798.298580000002</v>
      </c>
      <c r="F102" s="102">
        <v>60798.298580000002</v>
      </c>
      <c r="G102" s="102">
        <v>0</v>
      </c>
      <c r="H102" s="102">
        <v>0</v>
      </c>
      <c r="I102" s="102">
        <v>0</v>
      </c>
      <c r="J102" s="1297"/>
      <c r="K102" s="1297"/>
    </row>
    <row r="103" spans="1:11" ht="13.5" customHeight="1" outlineLevel="1">
      <c r="A103" s="1295" t="s">
        <v>109</v>
      </c>
      <c r="B103" s="1308" t="s">
        <v>107</v>
      </c>
      <c r="C103" s="1295" t="s">
        <v>272</v>
      </c>
      <c r="D103" s="100" t="s">
        <v>3</v>
      </c>
      <c r="E103" s="102">
        <f t="shared" si="12"/>
        <v>100000</v>
      </c>
      <c r="F103" s="102">
        <f>SUM(F104:F109)</f>
        <v>100000</v>
      </c>
      <c r="G103" s="102">
        <f>SUM(G104:G108)</f>
        <v>0</v>
      </c>
      <c r="H103" s="102">
        <f>SUM(H104:H108)</f>
        <v>0</v>
      </c>
      <c r="I103" s="102">
        <f>SUM(I104:I108)</f>
        <v>0</v>
      </c>
      <c r="J103" s="1319" t="s">
        <v>273</v>
      </c>
      <c r="K103" s="1295" t="s">
        <v>65</v>
      </c>
    </row>
    <row r="104" spans="1:11" ht="13.5" customHeight="1" outlineLevel="1">
      <c r="A104" s="1296"/>
      <c r="B104" s="1309"/>
      <c r="C104" s="1296"/>
      <c r="D104" s="100">
        <v>2021</v>
      </c>
      <c r="E104" s="102">
        <f t="shared" si="12"/>
        <v>0</v>
      </c>
      <c r="F104" s="102">
        <v>0</v>
      </c>
      <c r="G104" s="102">
        <v>0</v>
      </c>
      <c r="H104" s="102">
        <v>0</v>
      </c>
      <c r="I104" s="102">
        <v>0</v>
      </c>
      <c r="J104" s="1320"/>
      <c r="K104" s="1296"/>
    </row>
    <row r="105" spans="1:11" ht="13.5" customHeight="1" outlineLevel="1">
      <c r="A105" s="1296"/>
      <c r="B105" s="1309"/>
      <c r="C105" s="1296"/>
      <c r="D105" s="100">
        <v>2022</v>
      </c>
      <c r="E105" s="102">
        <f t="shared" si="12"/>
        <v>20000</v>
      </c>
      <c r="F105" s="102">
        <v>20000</v>
      </c>
      <c r="G105" s="102">
        <v>0</v>
      </c>
      <c r="H105" s="102">
        <v>0</v>
      </c>
      <c r="I105" s="102">
        <v>0</v>
      </c>
      <c r="J105" s="1320"/>
      <c r="K105" s="1296"/>
    </row>
    <row r="106" spans="1:11" ht="13.5" customHeight="1" outlineLevel="1">
      <c r="A106" s="1296"/>
      <c r="B106" s="1309"/>
      <c r="C106" s="1296"/>
      <c r="D106" s="100">
        <v>2023</v>
      </c>
      <c r="E106" s="102">
        <f t="shared" si="12"/>
        <v>20000</v>
      </c>
      <c r="F106" s="102">
        <v>20000</v>
      </c>
      <c r="G106" s="102">
        <v>0</v>
      </c>
      <c r="H106" s="102">
        <v>0</v>
      </c>
      <c r="I106" s="102">
        <v>0</v>
      </c>
      <c r="J106" s="1320"/>
      <c r="K106" s="1296"/>
    </row>
    <row r="107" spans="1:11" ht="13.5" customHeight="1" outlineLevel="1">
      <c r="A107" s="1296"/>
      <c r="B107" s="1309"/>
      <c r="C107" s="1296"/>
      <c r="D107" s="108">
        <v>2024</v>
      </c>
      <c r="E107" s="109">
        <f t="shared" si="12"/>
        <v>20000</v>
      </c>
      <c r="F107" s="109">
        <v>20000</v>
      </c>
      <c r="G107" s="109">
        <v>0</v>
      </c>
      <c r="H107" s="109">
        <v>0</v>
      </c>
      <c r="I107" s="109">
        <v>0</v>
      </c>
      <c r="J107" s="1320"/>
      <c r="K107" s="1296"/>
    </row>
    <row r="108" spans="1:11" ht="13.5" customHeight="1" outlineLevel="1">
      <c r="A108" s="1296"/>
      <c r="B108" s="1309"/>
      <c r="C108" s="1296"/>
      <c r="D108" s="100">
        <v>2025</v>
      </c>
      <c r="E108" s="102">
        <f t="shared" si="12"/>
        <v>20000</v>
      </c>
      <c r="F108" s="102">
        <v>20000</v>
      </c>
      <c r="G108" s="102">
        <v>0</v>
      </c>
      <c r="H108" s="102">
        <v>0</v>
      </c>
      <c r="I108" s="102">
        <v>0</v>
      </c>
      <c r="J108" s="1320"/>
      <c r="K108" s="1296"/>
    </row>
    <row r="109" spans="1:11" ht="13.5" customHeight="1" outlineLevel="1">
      <c r="A109" s="1297"/>
      <c r="B109" s="1310"/>
      <c r="C109" s="1297"/>
      <c r="D109" s="100">
        <v>2026</v>
      </c>
      <c r="E109" s="102">
        <f>SUM(F109:I109)</f>
        <v>20000</v>
      </c>
      <c r="F109" s="102">
        <v>20000</v>
      </c>
      <c r="G109" s="102">
        <v>0</v>
      </c>
      <c r="H109" s="102">
        <v>0</v>
      </c>
      <c r="I109" s="102">
        <v>0</v>
      </c>
      <c r="J109" s="1321"/>
      <c r="K109" s="1297"/>
    </row>
    <row r="110" spans="1:11" ht="13.5" customHeight="1" outlineLevel="1">
      <c r="A110" s="1305" t="s">
        <v>274</v>
      </c>
      <c r="B110" s="1306" t="s">
        <v>275</v>
      </c>
      <c r="C110" s="1305" t="s">
        <v>235</v>
      </c>
      <c r="D110" s="100" t="s">
        <v>3</v>
      </c>
      <c r="E110" s="102">
        <f t="shared" si="12"/>
        <v>3220</v>
      </c>
      <c r="F110" s="102">
        <f>SUM(F111:F116)</f>
        <v>3220</v>
      </c>
      <c r="G110" s="102">
        <f>SUM(G111:G116)</f>
        <v>0</v>
      </c>
      <c r="H110" s="102">
        <f>SUM(H111:H116)</f>
        <v>0</v>
      </c>
      <c r="I110" s="102">
        <f>SUM(I111:I116)</f>
        <v>0</v>
      </c>
      <c r="J110" s="1307" t="s">
        <v>276</v>
      </c>
      <c r="K110" s="1307" t="s">
        <v>65</v>
      </c>
    </row>
    <row r="111" spans="1:11" ht="13.5" customHeight="1" outlineLevel="1">
      <c r="A111" s="1305"/>
      <c r="B111" s="1306"/>
      <c r="C111" s="1305"/>
      <c r="D111" s="100">
        <v>2021</v>
      </c>
      <c r="E111" s="102">
        <f t="shared" si="12"/>
        <v>0</v>
      </c>
      <c r="F111" s="102">
        <v>0</v>
      </c>
      <c r="G111" s="102">
        <v>0</v>
      </c>
      <c r="H111" s="102">
        <v>0</v>
      </c>
      <c r="I111" s="102">
        <v>0</v>
      </c>
      <c r="J111" s="1307"/>
      <c r="K111" s="1307"/>
    </row>
    <row r="112" spans="1:11" ht="13.5" customHeight="1" outlineLevel="1">
      <c r="A112" s="1305"/>
      <c r="B112" s="1306"/>
      <c r="C112" s="1305"/>
      <c r="D112" s="100">
        <v>2022</v>
      </c>
      <c r="E112" s="102">
        <f t="shared" si="12"/>
        <v>3220</v>
      </c>
      <c r="F112" s="102">
        <f>3360-140</f>
        <v>3220</v>
      </c>
      <c r="G112" s="102">
        <v>0</v>
      </c>
      <c r="H112" s="102">
        <v>0</v>
      </c>
      <c r="I112" s="102">
        <v>0</v>
      </c>
      <c r="J112" s="1307"/>
      <c r="K112" s="1307"/>
    </row>
    <row r="113" spans="1:11" ht="13.5" customHeight="1" outlineLevel="1">
      <c r="A113" s="1305"/>
      <c r="B113" s="1306"/>
      <c r="C113" s="1305"/>
      <c r="D113" s="100">
        <v>2023</v>
      </c>
      <c r="E113" s="102">
        <f t="shared" si="12"/>
        <v>0</v>
      </c>
      <c r="F113" s="102">
        <v>0</v>
      </c>
      <c r="G113" s="102">
        <v>0</v>
      </c>
      <c r="H113" s="102">
        <v>0</v>
      </c>
      <c r="I113" s="102">
        <v>0</v>
      </c>
      <c r="J113" s="1307"/>
      <c r="K113" s="1307"/>
    </row>
    <row r="114" spans="1:11" ht="13.5" customHeight="1" outlineLevel="1">
      <c r="A114" s="1305"/>
      <c r="B114" s="1306"/>
      <c r="C114" s="1305"/>
      <c r="D114" s="100">
        <v>2024</v>
      </c>
      <c r="E114" s="102">
        <f t="shared" si="12"/>
        <v>0</v>
      </c>
      <c r="F114" s="102">
        <v>0</v>
      </c>
      <c r="G114" s="102">
        <v>0</v>
      </c>
      <c r="H114" s="102">
        <v>0</v>
      </c>
      <c r="I114" s="102">
        <v>0</v>
      </c>
      <c r="J114" s="1307"/>
      <c r="K114" s="1307"/>
    </row>
    <row r="115" spans="1:11" ht="13.5" customHeight="1" outlineLevel="1">
      <c r="A115" s="1305"/>
      <c r="B115" s="1306"/>
      <c r="C115" s="1305"/>
      <c r="D115" s="100">
        <v>2025</v>
      </c>
      <c r="E115" s="102">
        <v>0</v>
      </c>
      <c r="F115" s="102">
        <v>0</v>
      </c>
      <c r="G115" s="102">
        <v>0</v>
      </c>
      <c r="H115" s="102">
        <v>0</v>
      </c>
      <c r="I115" s="102">
        <v>0</v>
      </c>
      <c r="J115" s="1307"/>
      <c r="K115" s="1307"/>
    </row>
    <row r="116" spans="1:11" ht="13.5" customHeight="1" outlineLevel="1">
      <c r="A116" s="1305"/>
      <c r="B116" s="1306"/>
      <c r="C116" s="1305"/>
      <c r="D116" s="100">
        <v>2026</v>
      </c>
      <c r="E116" s="102">
        <f t="shared" si="12"/>
        <v>0</v>
      </c>
      <c r="F116" s="102">
        <v>0</v>
      </c>
      <c r="G116" s="102">
        <v>0</v>
      </c>
      <c r="H116" s="102">
        <v>0</v>
      </c>
      <c r="I116" s="102">
        <v>0</v>
      </c>
      <c r="J116" s="1307"/>
      <c r="K116" s="1307"/>
    </row>
    <row r="117" spans="1:11" ht="23.25" customHeight="1" outlineLevel="1">
      <c r="A117" s="1305" t="s">
        <v>277</v>
      </c>
      <c r="B117" s="1306" t="s">
        <v>278</v>
      </c>
      <c r="C117" s="1305" t="s">
        <v>235</v>
      </c>
      <c r="D117" s="100" t="s">
        <v>3</v>
      </c>
      <c r="E117" s="102">
        <f t="shared" si="12"/>
        <v>0</v>
      </c>
      <c r="F117" s="102">
        <f>SUM(F118:F122)</f>
        <v>0</v>
      </c>
      <c r="G117" s="102">
        <f>SUM(G118:G122)</f>
        <v>0</v>
      </c>
      <c r="H117" s="102">
        <f>SUM(H118:H122)</f>
        <v>0</v>
      </c>
      <c r="I117" s="102">
        <f>SUM(I118:I122)</f>
        <v>0</v>
      </c>
      <c r="J117" s="1307" t="s">
        <v>279</v>
      </c>
      <c r="K117" s="1307" t="s">
        <v>65</v>
      </c>
    </row>
    <row r="118" spans="1:11" ht="13.5" customHeight="1" outlineLevel="1">
      <c r="A118" s="1305"/>
      <c r="B118" s="1306"/>
      <c r="C118" s="1305"/>
      <c r="D118" s="100">
        <v>2021</v>
      </c>
      <c r="E118" s="102">
        <f t="shared" si="12"/>
        <v>0</v>
      </c>
      <c r="F118" s="102">
        <v>0</v>
      </c>
      <c r="G118" s="102">
        <v>0</v>
      </c>
      <c r="H118" s="102">
        <v>0</v>
      </c>
      <c r="I118" s="102">
        <v>0</v>
      </c>
      <c r="J118" s="1307"/>
      <c r="K118" s="1307"/>
    </row>
    <row r="119" spans="1:11" ht="13.5" customHeight="1" outlineLevel="1">
      <c r="A119" s="1305"/>
      <c r="B119" s="1306"/>
      <c r="C119" s="1305"/>
      <c r="D119" s="100">
        <v>2022</v>
      </c>
      <c r="E119" s="102">
        <f t="shared" si="12"/>
        <v>0</v>
      </c>
      <c r="F119" s="102">
        <v>0</v>
      </c>
      <c r="G119" s="102">
        <v>0</v>
      </c>
      <c r="H119" s="102">
        <v>0</v>
      </c>
      <c r="I119" s="102">
        <v>0</v>
      </c>
      <c r="J119" s="1307"/>
      <c r="K119" s="1307"/>
    </row>
    <row r="120" spans="1:11" ht="13.5" customHeight="1" outlineLevel="1">
      <c r="A120" s="1305"/>
      <c r="B120" s="1306"/>
      <c r="C120" s="1305"/>
      <c r="D120" s="100">
        <v>2023</v>
      </c>
      <c r="E120" s="102">
        <f t="shared" si="12"/>
        <v>0</v>
      </c>
      <c r="F120" s="102">
        <v>0</v>
      </c>
      <c r="G120" s="102">
        <v>0</v>
      </c>
      <c r="H120" s="102">
        <v>0</v>
      </c>
      <c r="I120" s="102">
        <v>0</v>
      </c>
      <c r="J120" s="1307"/>
      <c r="K120" s="1307"/>
    </row>
    <row r="121" spans="1:11" ht="13.5" customHeight="1" outlineLevel="1">
      <c r="A121" s="1305"/>
      <c r="B121" s="1306"/>
      <c r="C121" s="1305"/>
      <c r="D121" s="100">
        <v>2024</v>
      </c>
      <c r="E121" s="102">
        <f t="shared" si="12"/>
        <v>0</v>
      </c>
      <c r="F121" s="102">
        <v>0</v>
      </c>
      <c r="G121" s="102">
        <v>0</v>
      </c>
      <c r="H121" s="102">
        <v>0</v>
      </c>
      <c r="I121" s="102">
        <v>0</v>
      </c>
      <c r="J121" s="1307"/>
      <c r="K121" s="1307"/>
    </row>
    <row r="122" spans="1:11" ht="13.5" customHeight="1" outlineLevel="1">
      <c r="A122" s="1305"/>
      <c r="B122" s="1306"/>
      <c r="C122" s="1305"/>
      <c r="D122" s="100">
        <v>2025</v>
      </c>
      <c r="E122" s="102">
        <v>0</v>
      </c>
      <c r="F122" s="102">
        <v>0</v>
      </c>
      <c r="G122" s="102">
        <v>0</v>
      </c>
      <c r="H122" s="102">
        <v>0</v>
      </c>
      <c r="I122" s="102">
        <v>0</v>
      </c>
      <c r="J122" s="1307"/>
      <c r="K122" s="1307"/>
    </row>
    <row r="123" spans="1:11" ht="13.5" customHeight="1" outlineLevel="1">
      <c r="A123" s="1295" t="s">
        <v>111</v>
      </c>
      <c r="B123" s="1322" t="s">
        <v>108</v>
      </c>
      <c r="C123" s="1295" t="s">
        <v>272</v>
      </c>
      <c r="D123" s="100" t="s">
        <v>3</v>
      </c>
      <c r="E123" s="102">
        <f t="shared" si="12"/>
        <v>121500</v>
      </c>
      <c r="F123" s="102">
        <f>SUM(F124:F129)</f>
        <v>121500</v>
      </c>
      <c r="G123" s="102">
        <f>SUM(G124:G128)</f>
        <v>0</v>
      </c>
      <c r="H123" s="102">
        <f>SUM(H124:H128)</f>
        <v>0</v>
      </c>
      <c r="I123" s="102">
        <f>SUM(I124:I128)</f>
        <v>0</v>
      </c>
      <c r="J123" s="1325" t="s">
        <v>167</v>
      </c>
      <c r="K123" s="1328" t="s">
        <v>92</v>
      </c>
    </row>
    <row r="124" spans="1:11" ht="13.5" customHeight="1" outlineLevel="1">
      <c r="A124" s="1296"/>
      <c r="B124" s="1323"/>
      <c r="C124" s="1296"/>
      <c r="D124" s="100">
        <v>2021</v>
      </c>
      <c r="E124" s="102">
        <f t="shared" si="12"/>
        <v>0</v>
      </c>
      <c r="F124" s="102">
        <v>0</v>
      </c>
      <c r="G124" s="102">
        <v>0</v>
      </c>
      <c r="H124" s="102">
        <v>0</v>
      </c>
      <c r="I124" s="102">
        <v>0</v>
      </c>
      <c r="J124" s="1326"/>
      <c r="K124" s="1329"/>
    </row>
    <row r="125" spans="1:11" ht="13.5" customHeight="1" outlineLevel="1">
      <c r="A125" s="1296"/>
      <c r="B125" s="1323"/>
      <c r="C125" s="1296"/>
      <c r="D125" s="100">
        <v>2022</v>
      </c>
      <c r="E125" s="102">
        <f t="shared" si="12"/>
        <v>21000</v>
      </c>
      <c r="F125" s="102">
        <v>21000</v>
      </c>
      <c r="G125" s="102">
        <v>0</v>
      </c>
      <c r="H125" s="102">
        <v>0</v>
      </c>
      <c r="I125" s="102">
        <v>0</v>
      </c>
      <c r="J125" s="1326"/>
      <c r="K125" s="1329"/>
    </row>
    <row r="126" spans="1:11" ht="13.5" customHeight="1" outlineLevel="1">
      <c r="A126" s="1296"/>
      <c r="B126" s="1323"/>
      <c r="C126" s="1296"/>
      <c r="D126" s="100">
        <v>2023</v>
      </c>
      <c r="E126" s="102">
        <f t="shared" si="12"/>
        <v>22500</v>
      </c>
      <c r="F126" s="102">
        <f>26000-3500</f>
        <v>22500</v>
      </c>
      <c r="G126" s="102">
        <v>0</v>
      </c>
      <c r="H126" s="102">
        <v>0</v>
      </c>
      <c r="I126" s="102">
        <v>0</v>
      </c>
      <c r="J126" s="1326"/>
      <c r="K126" s="1329"/>
    </row>
    <row r="127" spans="1:11" ht="13.5" customHeight="1" outlineLevel="1">
      <c r="A127" s="1296"/>
      <c r="B127" s="1323"/>
      <c r="C127" s="1296"/>
      <c r="D127" s="108">
        <v>2024</v>
      </c>
      <c r="E127" s="109">
        <f t="shared" si="12"/>
        <v>26000</v>
      </c>
      <c r="F127" s="109">
        <v>26000</v>
      </c>
      <c r="G127" s="109">
        <v>0</v>
      </c>
      <c r="H127" s="109">
        <v>0</v>
      </c>
      <c r="I127" s="109">
        <v>0</v>
      </c>
      <c r="J127" s="1326"/>
      <c r="K127" s="1329"/>
    </row>
    <row r="128" spans="1:11" ht="13.5" customHeight="1" outlineLevel="1">
      <c r="A128" s="1296"/>
      <c r="B128" s="1323"/>
      <c r="C128" s="1296"/>
      <c r="D128" s="100">
        <v>2025</v>
      </c>
      <c r="E128" s="102">
        <f t="shared" ref="E128:H145" si="17">SUM(F128:I128)</f>
        <v>26000</v>
      </c>
      <c r="F128" s="102">
        <v>26000</v>
      </c>
      <c r="G128" s="102">
        <v>0</v>
      </c>
      <c r="H128" s="102">
        <v>0</v>
      </c>
      <c r="I128" s="102">
        <v>0</v>
      </c>
      <c r="J128" s="1326"/>
      <c r="K128" s="1329"/>
    </row>
    <row r="129" spans="1:11" ht="13.5" customHeight="1" outlineLevel="1">
      <c r="A129" s="1297"/>
      <c r="B129" s="1324"/>
      <c r="C129" s="1297"/>
      <c r="D129" s="100"/>
      <c r="E129" s="102">
        <f>SUM(F129:I129)</f>
        <v>26000</v>
      </c>
      <c r="F129" s="102">
        <v>26000</v>
      </c>
      <c r="G129" s="102"/>
      <c r="H129" s="102"/>
      <c r="I129" s="102"/>
      <c r="J129" s="1327"/>
      <c r="K129" s="1330"/>
    </row>
    <row r="130" spans="1:11" ht="18" customHeight="1" outlineLevel="1">
      <c r="A130" s="1305" t="s">
        <v>280</v>
      </c>
      <c r="B130" s="1306" t="s">
        <v>281</v>
      </c>
      <c r="C130" s="1295" t="s">
        <v>282</v>
      </c>
      <c r="D130" s="100" t="s">
        <v>3</v>
      </c>
      <c r="E130" s="102">
        <f t="shared" si="17"/>
        <v>9000</v>
      </c>
      <c r="F130" s="102">
        <f>SUM(F131:F136)</f>
        <v>9000</v>
      </c>
      <c r="G130" s="102">
        <f>SUM(G131:G136)</f>
        <v>0</v>
      </c>
      <c r="H130" s="102">
        <f>SUM(H131:H136)</f>
        <v>0</v>
      </c>
      <c r="I130" s="102">
        <f>SUM(I131:I136)</f>
        <v>0</v>
      </c>
      <c r="J130" s="1307" t="s">
        <v>283</v>
      </c>
      <c r="K130" s="1307" t="s">
        <v>92</v>
      </c>
    </row>
    <row r="131" spans="1:11" ht="22.5" customHeight="1" outlineLevel="1">
      <c r="A131" s="1305"/>
      <c r="B131" s="1306"/>
      <c r="C131" s="1296"/>
      <c r="D131" s="100">
        <v>2021</v>
      </c>
      <c r="E131" s="102">
        <f t="shared" si="17"/>
        <v>0</v>
      </c>
      <c r="F131" s="102">
        <v>0</v>
      </c>
      <c r="G131" s="102">
        <v>0</v>
      </c>
      <c r="H131" s="102">
        <v>0</v>
      </c>
      <c r="I131" s="102">
        <v>0</v>
      </c>
      <c r="J131" s="1307"/>
      <c r="K131" s="1307"/>
    </row>
    <row r="132" spans="1:11" ht="26.25" customHeight="1" outlineLevel="1">
      <c r="A132" s="1305"/>
      <c r="B132" s="1306"/>
      <c r="C132" s="1296"/>
      <c r="D132" s="100">
        <v>2022</v>
      </c>
      <c r="E132" s="102">
        <f t="shared" si="17"/>
        <v>9000</v>
      </c>
      <c r="F132" s="102">
        <v>9000</v>
      </c>
      <c r="G132" s="102">
        <v>0</v>
      </c>
      <c r="H132" s="102">
        <v>0</v>
      </c>
      <c r="I132" s="102">
        <v>0</v>
      </c>
      <c r="J132" s="1307"/>
      <c r="K132" s="1307"/>
    </row>
    <row r="133" spans="1:11" ht="32.25" customHeight="1" outlineLevel="1">
      <c r="A133" s="1305"/>
      <c r="B133" s="1306"/>
      <c r="C133" s="1296"/>
      <c r="D133" s="100">
        <v>2023</v>
      </c>
      <c r="E133" s="102">
        <f t="shared" si="17"/>
        <v>0</v>
      </c>
      <c r="F133" s="102">
        <v>0</v>
      </c>
      <c r="G133" s="102">
        <v>0</v>
      </c>
      <c r="H133" s="102">
        <v>0</v>
      </c>
      <c r="I133" s="102">
        <v>0</v>
      </c>
      <c r="J133" s="1307"/>
      <c r="K133" s="1307"/>
    </row>
    <row r="134" spans="1:11" ht="22.5" customHeight="1" outlineLevel="1">
      <c r="A134" s="1305"/>
      <c r="B134" s="1306"/>
      <c r="C134" s="1296"/>
      <c r="D134" s="100">
        <v>2024</v>
      </c>
      <c r="E134" s="102">
        <f t="shared" si="17"/>
        <v>0</v>
      </c>
      <c r="F134" s="102">
        <v>0</v>
      </c>
      <c r="G134" s="102">
        <v>0</v>
      </c>
      <c r="H134" s="102">
        <v>0</v>
      </c>
      <c r="I134" s="102">
        <v>0</v>
      </c>
      <c r="J134" s="1307"/>
      <c r="K134" s="1307"/>
    </row>
    <row r="135" spans="1:11" ht="22.5" customHeight="1" outlineLevel="1">
      <c r="A135" s="1305"/>
      <c r="B135" s="1306"/>
      <c r="C135" s="1296"/>
      <c r="D135" s="100">
        <v>2025</v>
      </c>
      <c r="E135" s="102">
        <v>0</v>
      </c>
      <c r="F135" s="102">
        <v>0</v>
      </c>
      <c r="G135" s="102">
        <v>0</v>
      </c>
      <c r="H135" s="102">
        <v>0</v>
      </c>
      <c r="I135" s="102">
        <v>0</v>
      </c>
      <c r="J135" s="1307"/>
      <c r="K135" s="1307"/>
    </row>
    <row r="136" spans="1:11" ht="21" customHeight="1" outlineLevel="1">
      <c r="A136" s="1305"/>
      <c r="B136" s="1306"/>
      <c r="C136" s="1297"/>
      <c r="D136" s="100">
        <v>2026</v>
      </c>
      <c r="E136" s="102">
        <f t="shared" si="17"/>
        <v>0</v>
      </c>
      <c r="F136" s="102">
        <v>0</v>
      </c>
      <c r="G136" s="102">
        <v>0</v>
      </c>
      <c r="H136" s="102">
        <v>0</v>
      </c>
      <c r="I136" s="102">
        <v>0</v>
      </c>
      <c r="J136" s="1307"/>
      <c r="K136" s="1307"/>
    </row>
    <row r="137" spans="1:11" ht="15.75" customHeight="1" outlineLevel="1">
      <c r="A137" s="1305" t="s">
        <v>284</v>
      </c>
      <c r="B137" s="1306" t="s">
        <v>285</v>
      </c>
      <c r="C137" s="1295">
        <v>2022</v>
      </c>
      <c r="D137" s="100" t="s">
        <v>3</v>
      </c>
      <c r="E137" s="102">
        <f>SUM(F137:I137)</f>
        <v>33359.250659999998</v>
      </c>
      <c r="F137" s="102">
        <f>SUM(F138:F143)</f>
        <v>33359.250659999998</v>
      </c>
      <c r="G137" s="102">
        <f>SUM(G138:G143)</f>
        <v>0</v>
      </c>
      <c r="H137" s="102">
        <f>SUM(H138:H143)</f>
        <v>0</v>
      </c>
      <c r="I137" s="102">
        <f>SUM(I138:I143)</f>
        <v>0</v>
      </c>
      <c r="J137" s="1307" t="s">
        <v>283</v>
      </c>
      <c r="K137" s="1307" t="s">
        <v>92</v>
      </c>
    </row>
    <row r="138" spans="1:11" ht="15.75" customHeight="1" outlineLevel="1">
      <c r="A138" s="1305"/>
      <c r="B138" s="1306"/>
      <c r="C138" s="1296"/>
      <c r="D138" s="100">
        <v>2021</v>
      </c>
      <c r="E138" s="102">
        <f t="shared" si="17"/>
        <v>0</v>
      </c>
      <c r="F138" s="102">
        <v>0</v>
      </c>
      <c r="G138" s="102">
        <v>0</v>
      </c>
      <c r="H138" s="102">
        <v>0</v>
      </c>
      <c r="I138" s="102">
        <v>0</v>
      </c>
      <c r="J138" s="1307"/>
      <c r="K138" s="1307"/>
    </row>
    <row r="139" spans="1:11" ht="15.75" customHeight="1" outlineLevel="1">
      <c r="A139" s="1305"/>
      <c r="B139" s="1306"/>
      <c r="C139" s="1296"/>
      <c r="D139" s="100">
        <v>2022</v>
      </c>
      <c r="E139" s="102">
        <f t="shared" si="17"/>
        <v>33359.250659999998</v>
      </c>
      <c r="F139" s="102">
        <f>33194.388+164.86266</f>
        <v>33359.250659999998</v>
      </c>
      <c r="G139" s="102">
        <v>0</v>
      </c>
      <c r="H139" s="102">
        <v>0</v>
      </c>
      <c r="I139" s="102">
        <v>0</v>
      </c>
      <c r="J139" s="1307"/>
      <c r="K139" s="1307"/>
    </row>
    <row r="140" spans="1:11" ht="15.75" customHeight="1" outlineLevel="1">
      <c r="A140" s="1305"/>
      <c r="B140" s="1306"/>
      <c r="C140" s="1296"/>
      <c r="D140" s="100">
        <v>2023</v>
      </c>
      <c r="E140" s="102">
        <f t="shared" si="17"/>
        <v>0</v>
      </c>
      <c r="F140" s="102">
        <f t="shared" si="17"/>
        <v>0</v>
      </c>
      <c r="G140" s="102">
        <f t="shared" si="17"/>
        <v>0</v>
      </c>
      <c r="H140" s="102">
        <f t="shared" si="17"/>
        <v>0</v>
      </c>
      <c r="I140" s="102">
        <v>0</v>
      </c>
      <c r="J140" s="1307"/>
      <c r="K140" s="1307"/>
    </row>
    <row r="141" spans="1:11" ht="15.75" customHeight="1" outlineLevel="1">
      <c r="A141" s="1305"/>
      <c r="B141" s="1306"/>
      <c r="C141" s="1296"/>
      <c r="D141" s="100">
        <v>2024</v>
      </c>
      <c r="E141" s="102">
        <f t="shared" si="17"/>
        <v>0</v>
      </c>
      <c r="F141" s="102">
        <f t="shared" si="17"/>
        <v>0</v>
      </c>
      <c r="G141" s="102">
        <f t="shared" si="17"/>
        <v>0</v>
      </c>
      <c r="H141" s="102">
        <f t="shared" si="17"/>
        <v>0</v>
      </c>
      <c r="I141" s="102">
        <v>0</v>
      </c>
      <c r="J141" s="1307"/>
      <c r="K141" s="1307"/>
    </row>
    <row r="142" spans="1:11" ht="15.75" customHeight="1" outlineLevel="1">
      <c r="A142" s="1305"/>
      <c r="B142" s="1306"/>
      <c r="C142" s="1296"/>
      <c r="D142" s="100">
        <v>2025</v>
      </c>
      <c r="E142" s="102">
        <v>0</v>
      </c>
      <c r="F142" s="102">
        <v>0</v>
      </c>
      <c r="G142" s="102">
        <v>0</v>
      </c>
      <c r="H142" s="102">
        <v>0</v>
      </c>
      <c r="I142" s="102">
        <v>0</v>
      </c>
      <c r="J142" s="1307"/>
      <c r="K142" s="1307"/>
    </row>
    <row r="143" spans="1:11" ht="15.75" customHeight="1" outlineLevel="1">
      <c r="A143" s="1305"/>
      <c r="B143" s="1306"/>
      <c r="C143" s="1297"/>
      <c r="D143" s="100">
        <v>2026</v>
      </c>
      <c r="E143" s="102">
        <f t="shared" si="17"/>
        <v>0</v>
      </c>
      <c r="F143" s="102">
        <f t="shared" si="17"/>
        <v>0</v>
      </c>
      <c r="G143" s="102">
        <f t="shared" si="17"/>
        <v>0</v>
      </c>
      <c r="H143" s="102">
        <f t="shared" si="17"/>
        <v>0</v>
      </c>
      <c r="I143" s="102">
        <v>0</v>
      </c>
      <c r="J143" s="1307"/>
      <c r="K143" s="1307"/>
    </row>
    <row r="144" spans="1:11" ht="15.75" customHeight="1" outlineLevel="1">
      <c r="A144" s="1295" t="s">
        <v>166</v>
      </c>
      <c r="B144" s="1308" t="s">
        <v>165</v>
      </c>
      <c r="C144" s="1295" t="s">
        <v>286</v>
      </c>
      <c r="D144" s="100" t="s">
        <v>3</v>
      </c>
      <c r="E144" s="102">
        <f t="shared" si="17"/>
        <v>42849.06712</v>
      </c>
      <c r="F144" s="102">
        <f>SUM(F145:F150)</f>
        <v>36000</v>
      </c>
      <c r="G144" s="102">
        <f>SUM(G145:G149)</f>
        <v>0</v>
      </c>
      <c r="H144" s="102">
        <f>SUM(H145:H149)</f>
        <v>6849.0671199999997</v>
      </c>
      <c r="I144" s="102">
        <f>SUM(I145:I149)</f>
        <v>0</v>
      </c>
      <c r="J144" s="1298" t="s">
        <v>287</v>
      </c>
      <c r="K144" s="1295" t="s">
        <v>92</v>
      </c>
    </row>
    <row r="145" spans="1:11" ht="15.75" customHeight="1" outlineLevel="1">
      <c r="A145" s="1296"/>
      <c r="B145" s="1309"/>
      <c r="C145" s="1296"/>
      <c r="D145" s="100">
        <v>2021</v>
      </c>
      <c r="E145" s="102">
        <f t="shared" si="17"/>
        <v>0</v>
      </c>
      <c r="F145" s="102">
        <v>0</v>
      </c>
      <c r="G145" s="102">
        <v>0</v>
      </c>
      <c r="H145" s="102">
        <v>0</v>
      </c>
      <c r="I145" s="102">
        <v>0</v>
      </c>
      <c r="J145" s="1299"/>
      <c r="K145" s="1296"/>
    </row>
    <row r="146" spans="1:11" ht="15.75" customHeight="1" outlineLevel="1">
      <c r="A146" s="1296"/>
      <c r="B146" s="1309"/>
      <c r="C146" s="1296"/>
      <c r="D146" s="100">
        <v>2022</v>
      </c>
      <c r="E146" s="102">
        <f t="shared" ref="E146:E226" si="18">SUM(F146:I146)</f>
        <v>0</v>
      </c>
      <c r="F146" s="102">
        <v>0</v>
      </c>
      <c r="G146" s="102">
        <v>0</v>
      </c>
      <c r="H146" s="102">
        <v>0</v>
      </c>
      <c r="I146" s="102">
        <v>0</v>
      </c>
      <c r="J146" s="1299"/>
      <c r="K146" s="1296"/>
    </row>
    <row r="147" spans="1:11" ht="15.75" customHeight="1" outlineLevel="1">
      <c r="A147" s="1296"/>
      <c r="B147" s="1309"/>
      <c r="C147" s="1296"/>
      <c r="D147" s="100">
        <v>2023</v>
      </c>
      <c r="E147" s="102">
        <f t="shared" si="18"/>
        <v>14210.526320000001</v>
      </c>
      <c r="F147" s="102">
        <v>9000</v>
      </c>
      <c r="G147" s="102">
        <v>0</v>
      </c>
      <c r="H147" s="102">
        <v>5210.5263199999999</v>
      </c>
      <c r="I147" s="102">
        <v>0</v>
      </c>
      <c r="J147" s="1299"/>
      <c r="K147" s="1296"/>
    </row>
    <row r="148" spans="1:11" ht="15.75" customHeight="1" outlineLevel="1">
      <c r="A148" s="1296"/>
      <c r="B148" s="1309"/>
      <c r="C148" s="1296"/>
      <c r="D148" s="108">
        <v>2024</v>
      </c>
      <c r="E148" s="109">
        <f t="shared" si="18"/>
        <v>10638.540800000001</v>
      </c>
      <c r="F148" s="109">
        <v>9000</v>
      </c>
      <c r="G148" s="109">
        <v>0</v>
      </c>
      <c r="H148" s="109">
        <v>1638.5408</v>
      </c>
      <c r="I148" s="109">
        <v>0</v>
      </c>
      <c r="J148" s="1299"/>
      <c r="K148" s="1296"/>
    </row>
    <row r="149" spans="1:11" ht="15.75" customHeight="1" outlineLevel="1">
      <c r="A149" s="1296"/>
      <c r="B149" s="1309"/>
      <c r="C149" s="1296"/>
      <c r="D149" s="100">
        <v>2025</v>
      </c>
      <c r="E149" s="102">
        <f t="shared" si="18"/>
        <v>9000</v>
      </c>
      <c r="F149" s="102">
        <v>9000</v>
      </c>
      <c r="G149" s="102">
        <v>0</v>
      </c>
      <c r="H149" s="102">
        <v>0</v>
      </c>
      <c r="I149" s="102">
        <v>0</v>
      </c>
      <c r="J149" s="1299"/>
      <c r="K149" s="1296"/>
    </row>
    <row r="150" spans="1:11" ht="15.75" customHeight="1" outlineLevel="1">
      <c r="A150" s="1297"/>
      <c r="B150" s="1310"/>
      <c r="C150" s="1297"/>
      <c r="D150" s="100">
        <v>2026</v>
      </c>
      <c r="E150" s="102">
        <f>SUM(F150:I150)</f>
        <v>9000</v>
      </c>
      <c r="F150" s="102">
        <v>9000</v>
      </c>
      <c r="G150" s="102">
        <v>0</v>
      </c>
      <c r="H150" s="102">
        <v>0</v>
      </c>
      <c r="I150" s="102"/>
      <c r="J150" s="1300"/>
      <c r="K150" s="1297"/>
    </row>
    <row r="151" spans="1:11" ht="15.75" customHeight="1" outlineLevel="1">
      <c r="A151" s="1295" t="s">
        <v>164</v>
      </c>
      <c r="B151" s="1308" t="s">
        <v>163</v>
      </c>
      <c r="C151" s="1295" t="s">
        <v>286</v>
      </c>
      <c r="D151" s="100" t="s">
        <v>3</v>
      </c>
      <c r="E151" s="102">
        <f t="shared" si="18"/>
        <v>275883.68702000001</v>
      </c>
      <c r="F151" s="102">
        <f>SUM(F152:F157)</f>
        <v>225000</v>
      </c>
      <c r="G151" s="102">
        <f>SUM(G152:G156)</f>
        <v>0</v>
      </c>
      <c r="H151" s="102">
        <f>SUM(H152:H156)</f>
        <v>50883.687019999998</v>
      </c>
      <c r="I151" s="102">
        <f>SUM(I152:I156)</f>
        <v>0</v>
      </c>
      <c r="J151" s="1298" t="s">
        <v>288</v>
      </c>
      <c r="K151" s="1295" t="s">
        <v>92</v>
      </c>
    </row>
    <row r="152" spans="1:11" ht="15.75" customHeight="1" outlineLevel="1">
      <c r="A152" s="1296"/>
      <c r="B152" s="1309"/>
      <c r="C152" s="1296"/>
      <c r="D152" s="100">
        <v>2021</v>
      </c>
      <c r="E152" s="102">
        <f t="shared" si="18"/>
        <v>0</v>
      </c>
      <c r="F152" s="102">
        <v>0</v>
      </c>
      <c r="G152" s="102">
        <f t="shared" ref="G152:H156" si="19">SUM(H152:K152)</f>
        <v>0</v>
      </c>
      <c r="H152" s="102">
        <f t="shared" si="19"/>
        <v>0</v>
      </c>
      <c r="I152" s="102">
        <v>0</v>
      </c>
      <c r="J152" s="1299"/>
      <c r="K152" s="1296"/>
    </row>
    <row r="153" spans="1:11" ht="15.75" customHeight="1" outlineLevel="1">
      <c r="A153" s="1296"/>
      <c r="B153" s="1309"/>
      <c r="C153" s="1296"/>
      <c r="D153" s="100">
        <v>2022</v>
      </c>
      <c r="E153" s="102">
        <f t="shared" si="18"/>
        <v>0</v>
      </c>
      <c r="F153" s="102">
        <v>0</v>
      </c>
      <c r="G153" s="102">
        <f t="shared" si="19"/>
        <v>0</v>
      </c>
      <c r="H153" s="102">
        <f t="shared" si="19"/>
        <v>0</v>
      </c>
      <c r="I153" s="102">
        <v>0</v>
      </c>
      <c r="J153" s="1299"/>
      <c r="K153" s="1296"/>
    </row>
    <row r="154" spans="1:11" ht="15.75" customHeight="1" outlineLevel="1">
      <c r="A154" s="1296"/>
      <c r="B154" s="1309"/>
      <c r="C154" s="1296"/>
      <c r="D154" s="100">
        <v>2023</v>
      </c>
      <c r="E154" s="102">
        <f t="shared" si="18"/>
        <v>42275.265019999999</v>
      </c>
      <c r="F154" s="102">
        <v>35000</v>
      </c>
      <c r="G154" s="102"/>
      <c r="H154" s="102">
        <v>7275.2650199999998</v>
      </c>
      <c r="I154" s="102">
        <v>0</v>
      </c>
      <c r="J154" s="1299"/>
      <c r="K154" s="1296"/>
    </row>
    <row r="155" spans="1:11" ht="15.75" customHeight="1" outlineLevel="1">
      <c r="A155" s="1296"/>
      <c r="B155" s="1309"/>
      <c r="C155" s="1296"/>
      <c r="D155" s="108">
        <v>2024</v>
      </c>
      <c r="E155" s="109">
        <f t="shared" si="18"/>
        <v>163608.42199999999</v>
      </c>
      <c r="F155" s="109">
        <v>120000</v>
      </c>
      <c r="G155" s="109">
        <v>0</v>
      </c>
      <c r="H155" s="109">
        <v>43608.421999999999</v>
      </c>
      <c r="I155" s="109">
        <v>0</v>
      </c>
      <c r="J155" s="1299"/>
      <c r="K155" s="1296"/>
    </row>
    <row r="156" spans="1:11" ht="15.75" customHeight="1" outlineLevel="1">
      <c r="A156" s="1296"/>
      <c r="B156" s="1309"/>
      <c r="C156" s="1296"/>
      <c r="D156" s="100">
        <v>2025</v>
      </c>
      <c r="E156" s="102">
        <f t="shared" si="18"/>
        <v>35000</v>
      </c>
      <c r="F156" s="102">
        <v>35000</v>
      </c>
      <c r="G156" s="102">
        <f t="shared" si="19"/>
        <v>0</v>
      </c>
      <c r="H156" s="102">
        <f t="shared" si="19"/>
        <v>0</v>
      </c>
      <c r="I156" s="102">
        <v>0</v>
      </c>
      <c r="J156" s="1299"/>
      <c r="K156" s="1296"/>
    </row>
    <row r="157" spans="1:11" ht="15.75" customHeight="1" outlineLevel="1">
      <c r="A157" s="1297"/>
      <c r="B157" s="1310"/>
      <c r="C157" s="1297"/>
      <c r="D157" s="100">
        <v>2026</v>
      </c>
      <c r="E157" s="102">
        <f>SUM(F157:I157)</f>
        <v>35000</v>
      </c>
      <c r="F157" s="102">
        <v>35000</v>
      </c>
      <c r="G157" s="102">
        <v>0</v>
      </c>
      <c r="H157" s="102">
        <v>0</v>
      </c>
      <c r="I157" s="102">
        <v>0</v>
      </c>
      <c r="J157" s="1300"/>
      <c r="K157" s="1297"/>
    </row>
    <row r="158" spans="1:11" ht="15.75" customHeight="1" outlineLevel="1">
      <c r="A158" s="1295" t="s">
        <v>162</v>
      </c>
      <c r="B158" s="1308" t="s">
        <v>161</v>
      </c>
      <c r="C158" s="1295" t="s">
        <v>286</v>
      </c>
      <c r="D158" s="100" t="s">
        <v>3</v>
      </c>
      <c r="E158" s="102">
        <f t="shared" si="18"/>
        <v>42730.001000000004</v>
      </c>
      <c r="F158" s="102">
        <f>SUM(F159:F164)</f>
        <v>42730.001000000004</v>
      </c>
      <c r="G158" s="102">
        <f t="shared" ref="G158:H172" si="20">SUM(G159:G163)</f>
        <v>0</v>
      </c>
      <c r="H158" s="102">
        <f t="shared" si="20"/>
        <v>0</v>
      </c>
      <c r="I158" s="102">
        <f>SUM(I159:I163)</f>
        <v>0</v>
      </c>
      <c r="J158" s="1295" t="s">
        <v>160</v>
      </c>
      <c r="K158" s="1295" t="s">
        <v>65</v>
      </c>
    </row>
    <row r="159" spans="1:11" ht="15.75" customHeight="1" outlineLevel="1">
      <c r="A159" s="1296"/>
      <c r="B159" s="1309"/>
      <c r="C159" s="1296"/>
      <c r="D159" s="100">
        <v>2021</v>
      </c>
      <c r="E159" s="102">
        <f t="shared" si="18"/>
        <v>0</v>
      </c>
      <c r="F159" s="102">
        <v>0</v>
      </c>
      <c r="G159" s="102">
        <v>0</v>
      </c>
      <c r="H159" s="102">
        <v>0</v>
      </c>
      <c r="I159" s="102">
        <v>0</v>
      </c>
      <c r="J159" s="1296"/>
      <c r="K159" s="1296"/>
    </row>
    <row r="160" spans="1:11" ht="15.75" customHeight="1" outlineLevel="1">
      <c r="A160" s="1296"/>
      <c r="B160" s="1309"/>
      <c r="C160" s="1296"/>
      <c r="D160" s="100">
        <v>2022</v>
      </c>
      <c r="E160" s="102">
        <f t="shared" si="18"/>
        <v>0</v>
      </c>
      <c r="F160" s="102">
        <v>0</v>
      </c>
      <c r="G160" s="102">
        <v>0</v>
      </c>
      <c r="H160" s="102">
        <v>0</v>
      </c>
      <c r="I160" s="102">
        <v>0</v>
      </c>
      <c r="J160" s="1296"/>
      <c r="K160" s="1296"/>
    </row>
    <row r="161" spans="1:11" ht="15.75" customHeight="1" outlineLevel="1">
      <c r="A161" s="1296"/>
      <c r="B161" s="1309"/>
      <c r="C161" s="1296"/>
      <c r="D161" s="100">
        <v>2023</v>
      </c>
      <c r="E161" s="102">
        <f t="shared" si="18"/>
        <v>730.00100000000009</v>
      </c>
      <c r="F161" s="102">
        <f>14000-5000-8105.321-164.678</f>
        <v>730.00100000000009</v>
      </c>
      <c r="G161" s="102">
        <v>0</v>
      </c>
      <c r="H161" s="102">
        <v>0</v>
      </c>
      <c r="I161" s="102">
        <v>0</v>
      </c>
      <c r="J161" s="1296"/>
      <c r="K161" s="1296"/>
    </row>
    <row r="162" spans="1:11" ht="15.75" customHeight="1" outlineLevel="1">
      <c r="A162" s="1296"/>
      <c r="B162" s="1309"/>
      <c r="C162" s="1296"/>
      <c r="D162" s="108">
        <v>2024</v>
      </c>
      <c r="E162" s="109">
        <f t="shared" si="18"/>
        <v>14000</v>
      </c>
      <c r="F162" s="109">
        <v>14000</v>
      </c>
      <c r="G162" s="109">
        <v>0</v>
      </c>
      <c r="H162" s="109">
        <v>0</v>
      </c>
      <c r="I162" s="109">
        <v>0</v>
      </c>
      <c r="J162" s="1296"/>
      <c r="K162" s="1296"/>
    </row>
    <row r="163" spans="1:11" ht="15.75" customHeight="1" outlineLevel="1">
      <c r="A163" s="1296"/>
      <c r="B163" s="1309"/>
      <c r="C163" s="1296"/>
      <c r="D163" s="100">
        <v>2025</v>
      </c>
      <c r="E163" s="102">
        <f t="shared" si="18"/>
        <v>14000</v>
      </c>
      <c r="F163" s="102">
        <v>14000</v>
      </c>
      <c r="G163" s="102">
        <v>0</v>
      </c>
      <c r="H163" s="102">
        <v>0</v>
      </c>
      <c r="I163" s="102">
        <v>0</v>
      </c>
      <c r="J163" s="1296"/>
      <c r="K163" s="1296"/>
    </row>
    <row r="164" spans="1:11" ht="15.75" customHeight="1" outlineLevel="1">
      <c r="A164" s="1297"/>
      <c r="B164" s="1310"/>
      <c r="C164" s="1297"/>
      <c r="D164" s="100">
        <v>2026</v>
      </c>
      <c r="E164" s="102">
        <f>SUM(F164:I164)</f>
        <v>14000</v>
      </c>
      <c r="F164" s="102">
        <v>14000</v>
      </c>
      <c r="G164" s="102">
        <v>0</v>
      </c>
      <c r="H164" s="102">
        <v>0</v>
      </c>
      <c r="I164" s="102">
        <v>0</v>
      </c>
      <c r="J164" s="1297"/>
      <c r="K164" s="1297"/>
    </row>
    <row r="165" spans="1:11" ht="15.75" customHeight="1" outlineLevel="1">
      <c r="A165" s="1305" t="s">
        <v>289</v>
      </c>
      <c r="B165" s="1306" t="s">
        <v>290</v>
      </c>
      <c r="C165" s="1295" t="s">
        <v>291</v>
      </c>
      <c r="D165" s="100" t="s">
        <v>3</v>
      </c>
      <c r="E165" s="102">
        <f>SUM(E166:E171)</f>
        <v>0</v>
      </c>
      <c r="F165" s="102">
        <v>0</v>
      </c>
      <c r="G165" s="102">
        <v>0</v>
      </c>
      <c r="H165" s="102">
        <v>0</v>
      </c>
      <c r="I165" s="102">
        <v>0</v>
      </c>
      <c r="J165" s="1295" t="s">
        <v>292</v>
      </c>
      <c r="K165" s="1295" t="s">
        <v>65</v>
      </c>
    </row>
    <row r="166" spans="1:11" ht="15.75" customHeight="1" outlineLevel="1">
      <c r="A166" s="1305"/>
      <c r="B166" s="1306"/>
      <c r="C166" s="1296"/>
      <c r="D166" s="100">
        <v>2021</v>
      </c>
      <c r="E166" s="102">
        <f>SUM(F166:I166)</f>
        <v>0</v>
      </c>
      <c r="F166" s="102">
        <v>0</v>
      </c>
      <c r="G166" s="102">
        <v>0</v>
      </c>
      <c r="H166" s="102">
        <v>0</v>
      </c>
      <c r="I166" s="102">
        <v>0</v>
      </c>
      <c r="J166" s="1296"/>
      <c r="K166" s="1296"/>
    </row>
    <row r="167" spans="1:11" ht="15.75" customHeight="1" outlineLevel="1">
      <c r="A167" s="1305"/>
      <c r="B167" s="1306"/>
      <c r="C167" s="1296"/>
      <c r="D167" s="100">
        <v>2022</v>
      </c>
      <c r="E167" s="102">
        <f>SUM(F167:I167)</f>
        <v>0</v>
      </c>
      <c r="F167" s="102">
        <v>0</v>
      </c>
      <c r="G167" s="102">
        <v>0</v>
      </c>
      <c r="H167" s="102">
        <v>0</v>
      </c>
      <c r="I167" s="102">
        <v>0</v>
      </c>
      <c r="J167" s="1296"/>
      <c r="K167" s="1296"/>
    </row>
    <row r="168" spans="1:11" ht="15.75" customHeight="1" outlineLevel="1">
      <c r="A168" s="1305"/>
      <c r="B168" s="1306"/>
      <c r="C168" s="1296"/>
      <c r="D168" s="100">
        <v>2023</v>
      </c>
      <c r="E168" s="102">
        <f>SUM(F168:I168)</f>
        <v>0</v>
      </c>
      <c r="F168" s="102">
        <v>0</v>
      </c>
      <c r="G168" s="102">
        <v>0</v>
      </c>
      <c r="H168" s="102"/>
      <c r="I168" s="102">
        <v>0</v>
      </c>
      <c r="J168" s="1296"/>
      <c r="K168" s="1296"/>
    </row>
    <row r="169" spans="1:11" ht="15.75" customHeight="1" outlineLevel="1">
      <c r="A169" s="1305"/>
      <c r="B169" s="1306"/>
      <c r="C169" s="1296"/>
      <c r="D169" s="100">
        <v>2024</v>
      </c>
      <c r="E169" s="102">
        <f>SUM(F169:I169)</f>
        <v>0</v>
      </c>
      <c r="F169" s="102">
        <v>0</v>
      </c>
      <c r="G169" s="102">
        <v>0</v>
      </c>
      <c r="H169" s="102">
        <v>0</v>
      </c>
      <c r="I169" s="102">
        <v>0</v>
      </c>
      <c r="J169" s="1296"/>
      <c r="K169" s="1296"/>
    </row>
    <row r="170" spans="1:11" ht="15.75" customHeight="1" outlineLevel="1">
      <c r="A170" s="1305"/>
      <c r="B170" s="1306"/>
      <c r="C170" s="1296"/>
      <c r="D170" s="100">
        <v>2025</v>
      </c>
      <c r="E170" s="102">
        <v>0</v>
      </c>
      <c r="F170" s="102">
        <v>0</v>
      </c>
      <c r="G170" s="102">
        <v>0</v>
      </c>
      <c r="H170" s="102">
        <v>0</v>
      </c>
      <c r="I170" s="102">
        <v>0</v>
      </c>
      <c r="J170" s="1296"/>
      <c r="K170" s="1296"/>
    </row>
    <row r="171" spans="1:11" ht="15.75" customHeight="1" outlineLevel="1">
      <c r="A171" s="1305"/>
      <c r="B171" s="1306"/>
      <c r="C171" s="1297"/>
      <c r="D171" s="100">
        <v>2026</v>
      </c>
      <c r="E171" s="102">
        <f>SUM(F171:I171)</f>
        <v>0</v>
      </c>
      <c r="F171" s="102">
        <v>0</v>
      </c>
      <c r="G171" s="102">
        <v>0</v>
      </c>
      <c r="H171" s="102">
        <v>0</v>
      </c>
      <c r="I171" s="102">
        <v>0</v>
      </c>
      <c r="J171" s="1297"/>
      <c r="K171" s="1297"/>
    </row>
    <row r="172" spans="1:11" ht="15" customHeight="1" outlineLevel="1">
      <c r="A172" s="1295" t="s">
        <v>293</v>
      </c>
      <c r="B172" s="1295" t="s">
        <v>55</v>
      </c>
      <c r="C172" s="1295" t="s">
        <v>235</v>
      </c>
      <c r="D172" s="100" t="s">
        <v>3</v>
      </c>
      <c r="E172" s="102">
        <f t="shared" si="18"/>
        <v>77554.284749999992</v>
      </c>
      <c r="F172" s="102">
        <f>SUM(F173:F178)</f>
        <v>53870.977269999996</v>
      </c>
      <c r="G172" s="102">
        <f t="shared" si="20"/>
        <v>23683.307479999996</v>
      </c>
      <c r="H172" s="102">
        <f>SUM(H173:H177)</f>
        <v>0</v>
      </c>
      <c r="I172" s="102">
        <f>SUM(I173:I177)</f>
        <v>0</v>
      </c>
      <c r="J172" s="1295" t="s">
        <v>294</v>
      </c>
      <c r="K172" s="1295" t="s">
        <v>295</v>
      </c>
    </row>
    <row r="173" spans="1:11" outlineLevel="1">
      <c r="A173" s="1296"/>
      <c r="B173" s="1296"/>
      <c r="C173" s="1296"/>
      <c r="D173" s="100">
        <v>2021</v>
      </c>
      <c r="E173" s="102">
        <f t="shared" si="18"/>
        <v>27116.562749999997</v>
      </c>
      <c r="F173" s="102">
        <f t="shared" ref="F173:I176" si="21">F187+F201+F180+F194</f>
        <v>6916.3637500000004</v>
      </c>
      <c r="G173" s="102">
        <f t="shared" si="21"/>
        <v>20200.198999999997</v>
      </c>
      <c r="H173" s="102">
        <f t="shared" si="21"/>
        <v>0</v>
      </c>
      <c r="I173" s="102">
        <f t="shared" si="21"/>
        <v>0</v>
      </c>
      <c r="J173" s="1296"/>
      <c r="K173" s="1296"/>
    </row>
    <row r="174" spans="1:11" outlineLevel="1">
      <c r="A174" s="1296"/>
      <c r="B174" s="1296"/>
      <c r="C174" s="1296"/>
      <c r="D174" s="100">
        <v>2022</v>
      </c>
      <c r="E174" s="102">
        <f t="shared" si="18"/>
        <v>9977.7219999999998</v>
      </c>
      <c r="F174" s="102">
        <f t="shared" si="21"/>
        <v>7610.2449999999999</v>
      </c>
      <c r="G174" s="102">
        <f t="shared" si="21"/>
        <v>2367.4769999999999</v>
      </c>
      <c r="H174" s="102">
        <f t="shared" si="21"/>
        <v>0</v>
      </c>
      <c r="I174" s="102">
        <f t="shared" si="21"/>
        <v>0</v>
      </c>
      <c r="J174" s="1296"/>
      <c r="K174" s="1296"/>
    </row>
    <row r="175" spans="1:11" outlineLevel="1">
      <c r="A175" s="1296"/>
      <c r="B175" s="1296"/>
      <c r="C175" s="1296"/>
      <c r="D175" s="100">
        <v>2023</v>
      </c>
      <c r="E175" s="102">
        <f t="shared" si="18"/>
        <v>10141.799999999999</v>
      </c>
      <c r="F175" s="102">
        <f t="shared" si="21"/>
        <v>9026.1685199999993</v>
      </c>
      <c r="G175" s="102">
        <f t="shared" si="21"/>
        <v>1115.63148</v>
      </c>
      <c r="H175" s="102">
        <f t="shared" si="21"/>
        <v>0</v>
      </c>
      <c r="I175" s="102">
        <f t="shared" si="21"/>
        <v>0</v>
      </c>
      <c r="J175" s="1296"/>
      <c r="K175" s="1296"/>
    </row>
    <row r="176" spans="1:11" outlineLevel="1">
      <c r="A176" s="1296"/>
      <c r="B176" s="1296"/>
      <c r="C176" s="1296"/>
      <c r="D176" s="168">
        <v>2024</v>
      </c>
      <c r="E176" s="167">
        <f t="shared" si="18"/>
        <v>16000</v>
      </c>
      <c r="F176" s="167">
        <f t="shared" si="21"/>
        <v>16000</v>
      </c>
      <c r="G176" s="167">
        <f t="shared" si="21"/>
        <v>0</v>
      </c>
      <c r="H176" s="167">
        <f t="shared" si="21"/>
        <v>0</v>
      </c>
      <c r="I176" s="167">
        <f t="shared" si="21"/>
        <v>0</v>
      </c>
      <c r="J176" s="1296"/>
      <c r="K176" s="1296"/>
    </row>
    <row r="177" spans="1:12" outlineLevel="1">
      <c r="A177" s="1296"/>
      <c r="B177" s="1296"/>
      <c r="C177" s="1296"/>
      <c r="D177" s="100">
        <v>2025</v>
      </c>
      <c r="E177" s="102">
        <f t="shared" si="18"/>
        <v>7159.1</v>
      </c>
      <c r="F177" s="102">
        <f>F191+F206+F185+F198</f>
        <v>7159.1</v>
      </c>
      <c r="G177" s="102">
        <f>G191+G206+G185+G198</f>
        <v>0</v>
      </c>
      <c r="H177" s="102">
        <f>H191+H206+H185+H198</f>
        <v>0</v>
      </c>
      <c r="I177" s="102">
        <f>I191+I206+I185+I198</f>
        <v>0</v>
      </c>
      <c r="J177" s="1296"/>
      <c r="K177" s="1296"/>
    </row>
    <row r="178" spans="1:12" outlineLevel="1">
      <c r="A178" s="1297"/>
      <c r="B178" s="1297"/>
      <c r="C178" s="1297"/>
      <c r="D178" s="100">
        <v>2026</v>
      </c>
      <c r="E178" s="102">
        <f>SUM(F178:I178)</f>
        <v>7159.1</v>
      </c>
      <c r="F178" s="102">
        <f>SUM(F192,F199)</f>
        <v>7159.1</v>
      </c>
      <c r="G178" s="102">
        <f t="shared" ref="G178:I178" si="22">SUM(G192,G199)</f>
        <v>0</v>
      </c>
      <c r="H178" s="102">
        <f t="shared" si="22"/>
        <v>0</v>
      </c>
      <c r="I178" s="102">
        <f t="shared" si="22"/>
        <v>0</v>
      </c>
      <c r="J178" s="1297"/>
      <c r="K178" s="1297"/>
    </row>
    <row r="179" spans="1:12" outlineLevel="1">
      <c r="A179" s="1305" t="s">
        <v>296</v>
      </c>
      <c r="B179" s="1306" t="s">
        <v>58</v>
      </c>
      <c r="C179" s="1295" t="s">
        <v>297</v>
      </c>
      <c r="D179" s="100" t="s">
        <v>3</v>
      </c>
      <c r="E179" s="102">
        <f t="shared" si="18"/>
        <v>5045.5297499999997</v>
      </c>
      <c r="F179" s="102">
        <f>SUM(F180:F185)</f>
        <v>302.73126999999999</v>
      </c>
      <c r="G179" s="102">
        <f>SUM(G180:G185)</f>
        <v>4742.7984799999995</v>
      </c>
      <c r="H179" s="102">
        <f>SUM(H180:H185)</f>
        <v>0</v>
      </c>
      <c r="I179" s="102">
        <f>SUM(I180:I185)</f>
        <v>0</v>
      </c>
      <c r="J179" s="1295" t="s">
        <v>298</v>
      </c>
      <c r="K179" s="1305" t="s">
        <v>299</v>
      </c>
    </row>
    <row r="180" spans="1:12" outlineLevel="1">
      <c r="A180" s="1305"/>
      <c r="B180" s="1306"/>
      <c r="C180" s="1296"/>
      <c r="D180" s="100">
        <v>2021</v>
      </c>
      <c r="E180" s="102">
        <f t="shared" si="18"/>
        <v>1340.09575</v>
      </c>
      <c r="F180" s="102">
        <v>80.405749999999998</v>
      </c>
      <c r="G180" s="102">
        <v>1259.69</v>
      </c>
      <c r="H180" s="102">
        <v>0</v>
      </c>
      <c r="I180" s="102">
        <v>0</v>
      </c>
      <c r="J180" s="1296"/>
      <c r="K180" s="1305"/>
    </row>
    <row r="181" spans="1:12" outlineLevel="1">
      <c r="A181" s="1305"/>
      <c r="B181" s="1306"/>
      <c r="C181" s="1296"/>
      <c r="D181" s="100">
        <v>2022</v>
      </c>
      <c r="E181" s="102">
        <f t="shared" si="18"/>
        <v>2518.5919999999996</v>
      </c>
      <c r="F181" s="102">
        <v>151.11500000000001</v>
      </c>
      <c r="G181" s="102">
        <v>2367.4769999999999</v>
      </c>
      <c r="H181" s="102">
        <v>0</v>
      </c>
      <c r="I181" s="102">
        <v>0</v>
      </c>
      <c r="J181" s="1296"/>
      <c r="K181" s="1305"/>
    </row>
    <row r="182" spans="1:12" outlineLevel="1">
      <c r="A182" s="1305"/>
      <c r="B182" s="1306"/>
      <c r="C182" s="1296"/>
      <c r="D182" s="100">
        <v>2023</v>
      </c>
      <c r="E182" s="102">
        <f t="shared" si="18"/>
        <v>1186.8420000000001</v>
      </c>
      <c r="F182" s="102">
        <v>71.210520000000002</v>
      </c>
      <c r="G182" s="102">
        <v>1115.63148</v>
      </c>
      <c r="H182" s="102">
        <v>0</v>
      </c>
      <c r="I182" s="102">
        <v>0</v>
      </c>
      <c r="J182" s="1296"/>
      <c r="K182" s="1305"/>
    </row>
    <row r="183" spans="1:12" outlineLevel="1">
      <c r="A183" s="1305"/>
      <c r="B183" s="1306"/>
      <c r="C183" s="1296"/>
      <c r="D183" s="100">
        <v>2024</v>
      </c>
      <c r="E183" s="102">
        <f t="shared" si="18"/>
        <v>0</v>
      </c>
      <c r="F183" s="102">
        <v>0</v>
      </c>
      <c r="G183" s="102">
        <v>0</v>
      </c>
      <c r="H183" s="102">
        <v>0</v>
      </c>
      <c r="I183" s="102">
        <v>0</v>
      </c>
      <c r="J183" s="1296"/>
      <c r="K183" s="1305"/>
    </row>
    <row r="184" spans="1:12" outlineLevel="1">
      <c r="A184" s="1305"/>
      <c r="B184" s="1306"/>
      <c r="C184" s="1296"/>
      <c r="D184" s="100">
        <v>2025</v>
      </c>
      <c r="E184" s="102">
        <v>0</v>
      </c>
      <c r="F184" s="102">
        <v>0</v>
      </c>
      <c r="G184" s="102">
        <v>0</v>
      </c>
      <c r="H184" s="102">
        <v>0</v>
      </c>
      <c r="I184" s="102">
        <v>0</v>
      </c>
      <c r="J184" s="1296"/>
      <c r="K184" s="1305"/>
    </row>
    <row r="185" spans="1:12" outlineLevel="1">
      <c r="A185" s="1305"/>
      <c r="B185" s="1306"/>
      <c r="C185" s="1297"/>
      <c r="D185" s="100">
        <v>2026</v>
      </c>
      <c r="E185" s="102">
        <f t="shared" si="18"/>
        <v>0</v>
      </c>
      <c r="F185" s="102">
        <v>0</v>
      </c>
      <c r="G185" s="102">
        <v>0</v>
      </c>
      <c r="H185" s="102">
        <v>0</v>
      </c>
      <c r="I185" s="102">
        <v>0</v>
      </c>
      <c r="J185" s="1297"/>
      <c r="K185" s="1305"/>
    </row>
    <row r="186" spans="1:12" ht="15" customHeight="1" outlineLevel="1">
      <c r="A186" s="1295" t="s">
        <v>300</v>
      </c>
      <c r="B186" s="1308" t="s">
        <v>301</v>
      </c>
      <c r="C186" s="1295" t="s">
        <v>235</v>
      </c>
      <c r="D186" s="100" t="s">
        <v>3</v>
      </c>
      <c r="E186" s="102">
        <f t="shared" si="18"/>
        <v>22562.968999999997</v>
      </c>
      <c r="F186" s="102">
        <f>SUM(F187:F192)</f>
        <v>22562.968999999997</v>
      </c>
      <c r="G186" s="102">
        <f>SUM(G187:G191)</f>
        <v>0</v>
      </c>
      <c r="H186" s="102">
        <f>SUM(H187:H191)</f>
        <v>0</v>
      </c>
      <c r="I186" s="102">
        <f>SUM(I187:I191)</f>
        <v>0</v>
      </c>
      <c r="J186" s="1295" t="s">
        <v>302</v>
      </c>
      <c r="K186" s="1295" t="s">
        <v>65</v>
      </c>
      <c r="L186" s="1301"/>
    </row>
    <row r="187" spans="1:12" outlineLevel="1">
      <c r="A187" s="1296"/>
      <c r="B187" s="1309"/>
      <c r="C187" s="1296"/>
      <c r="D187" s="100">
        <v>2021</v>
      </c>
      <c r="E187" s="102">
        <f t="shared" si="18"/>
        <v>1631.52</v>
      </c>
      <c r="F187" s="102">
        <v>1631.52</v>
      </c>
      <c r="G187" s="102">
        <v>0</v>
      </c>
      <c r="H187" s="102">
        <v>0</v>
      </c>
      <c r="I187" s="102">
        <v>0</v>
      </c>
      <c r="J187" s="1296"/>
      <c r="K187" s="1296"/>
      <c r="L187" s="1301"/>
    </row>
    <row r="188" spans="1:12" outlineLevel="1">
      <c r="A188" s="1296"/>
      <c r="B188" s="1309"/>
      <c r="C188" s="1296"/>
      <c r="D188" s="100">
        <v>2022</v>
      </c>
      <c r="E188" s="102">
        <f t="shared" si="18"/>
        <v>3459.13</v>
      </c>
      <c r="F188" s="102">
        <v>3459.13</v>
      </c>
      <c r="G188" s="102">
        <v>0</v>
      </c>
      <c r="H188" s="102">
        <v>0</v>
      </c>
      <c r="I188" s="102">
        <v>0</v>
      </c>
      <c r="J188" s="1296"/>
      <c r="K188" s="1296"/>
      <c r="L188" s="1301"/>
    </row>
    <row r="189" spans="1:12" outlineLevel="1">
      <c r="A189" s="1296"/>
      <c r="B189" s="1309"/>
      <c r="C189" s="1296"/>
      <c r="D189" s="100">
        <v>2023</v>
      </c>
      <c r="E189" s="102">
        <f t="shared" si="18"/>
        <v>3154.1189999999997</v>
      </c>
      <c r="F189" s="102">
        <f>3159.1-4.981</f>
        <v>3154.1189999999997</v>
      </c>
      <c r="G189" s="102">
        <v>0</v>
      </c>
      <c r="H189" s="102">
        <v>0</v>
      </c>
      <c r="I189" s="102">
        <v>0</v>
      </c>
      <c r="J189" s="1296"/>
      <c r="K189" s="1296"/>
      <c r="L189" s="1301"/>
    </row>
    <row r="190" spans="1:12" outlineLevel="1">
      <c r="A190" s="1296"/>
      <c r="B190" s="1309"/>
      <c r="C190" s="1296"/>
      <c r="D190" s="108">
        <v>2024</v>
      </c>
      <c r="E190" s="109">
        <f t="shared" si="18"/>
        <v>8000</v>
      </c>
      <c r="F190" s="109">
        <v>8000</v>
      </c>
      <c r="G190" s="109">
        <v>0</v>
      </c>
      <c r="H190" s="109">
        <v>0</v>
      </c>
      <c r="I190" s="109">
        <v>0</v>
      </c>
      <c r="J190" s="1296"/>
      <c r="K190" s="1296"/>
      <c r="L190" s="1301"/>
    </row>
    <row r="191" spans="1:12" outlineLevel="1">
      <c r="A191" s="1296"/>
      <c r="B191" s="1309"/>
      <c r="C191" s="1296"/>
      <c r="D191" s="100">
        <v>2025</v>
      </c>
      <c r="E191" s="102">
        <f t="shared" si="18"/>
        <v>3159.1</v>
      </c>
      <c r="F191" s="102">
        <v>3159.1</v>
      </c>
      <c r="G191" s="102">
        <v>0</v>
      </c>
      <c r="H191" s="102">
        <v>0</v>
      </c>
      <c r="I191" s="102">
        <v>0</v>
      </c>
      <c r="J191" s="1296"/>
      <c r="K191" s="1296"/>
      <c r="L191" s="1301"/>
    </row>
    <row r="192" spans="1:12" outlineLevel="1">
      <c r="A192" s="1297"/>
      <c r="B192" s="1310"/>
      <c r="C192" s="1297"/>
      <c r="D192" s="100">
        <v>2026</v>
      </c>
      <c r="E192" s="102">
        <f>SUM(F192:I192)</f>
        <v>3159.1</v>
      </c>
      <c r="F192" s="102">
        <v>3159.1</v>
      </c>
      <c r="G192" s="102">
        <v>0</v>
      </c>
      <c r="H192" s="102">
        <v>0</v>
      </c>
      <c r="I192" s="102">
        <v>0</v>
      </c>
      <c r="J192" s="1297"/>
      <c r="K192" s="1297"/>
    </row>
    <row r="193" spans="1:12" ht="18" customHeight="1" outlineLevel="1">
      <c r="A193" s="1295" t="s">
        <v>303</v>
      </c>
      <c r="B193" s="1308" t="s">
        <v>158</v>
      </c>
      <c r="C193" s="1295" t="s">
        <v>235</v>
      </c>
      <c r="D193" s="100" t="s">
        <v>3</v>
      </c>
      <c r="E193" s="102">
        <f t="shared" si="18"/>
        <v>29796.309000000001</v>
      </c>
      <c r="F193" s="102">
        <f>SUM(F194:F199)</f>
        <v>29796.309000000001</v>
      </c>
      <c r="G193" s="102">
        <f>SUM(G194:G198)</f>
        <v>0</v>
      </c>
      <c r="H193" s="102">
        <f>SUM(H194:H198)</f>
        <v>0</v>
      </c>
      <c r="I193" s="102">
        <f>SUM(I194:I198)</f>
        <v>0</v>
      </c>
      <c r="J193" s="1295" t="s">
        <v>91</v>
      </c>
      <c r="K193" s="1295" t="s">
        <v>92</v>
      </c>
    </row>
    <row r="194" spans="1:12" ht="18" customHeight="1" outlineLevel="1">
      <c r="A194" s="1296"/>
      <c r="B194" s="1309"/>
      <c r="C194" s="1296"/>
      <c r="D194" s="100">
        <v>2021</v>
      </c>
      <c r="E194" s="102">
        <f t="shared" si="18"/>
        <v>3995.47</v>
      </c>
      <c r="F194" s="102">
        <v>3995.47</v>
      </c>
      <c r="G194" s="102">
        <v>0</v>
      </c>
      <c r="H194" s="102">
        <v>0</v>
      </c>
      <c r="I194" s="102">
        <v>0</v>
      </c>
      <c r="J194" s="1296"/>
      <c r="K194" s="1296"/>
    </row>
    <row r="195" spans="1:12" ht="18" customHeight="1" outlineLevel="1">
      <c r="A195" s="1296"/>
      <c r="B195" s="1309"/>
      <c r="C195" s="1296"/>
      <c r="D195" s="100">
        <v>2022</v>
      </c>
      <c r="E195" s="102">
        <f t="shared" si="18"/>
        <v>4000</v>
      </c>
      <c r="F195" s="102">
        <v>4000</v>
      </c>
      <c r="G195" s="102">
        <v>0</v>
      </c>
      <c r="H195" s="102">
        <v>0</v>
      </c>
      <c r="I195" s="102">
        <v>0</v>
      </c>
      <c r="J195" s="1296"/>
      <c r="K195" s="1296"/>
    </row>
    <row r="196" spans="1:12" ht="18" customHeight="1" outlineLevel="1">
      <c r="A196" s="1296"/>
      <c r="B196" s="1309"/>
      <c r="C196" s="1296"/>
      <c r="D196" s="100">
        <v>2023</v>
      </c>
      <c r="E196" s="102">
        <f t="shared" si="18"/>
        <v>5800.8389999999999</v>
      </c>
      <c r="F196" s="102">
        <f>4000+164.678+1500+136.161</f>
        <v>5800.8389999999999</v>
      </c>
      <c r="G196" s="102">
        <v>0</v>
      </c>
      <c r="H196" s="102">
        <v>0</v>
      </c>
      <c r="I196" s="102">
        <v>0</v>
      </c>
      <c r="J196" s="1296"/>
      <c r="K196" s="1296"/>
    </row>
    <row r="197" spans="1:12" ht="18" customHeight="1" outlineLevel="1">
      <c r="A197" s="1296"/>
      <c r="B197" s="1309"/>
      <c r="C197" s="1296"/>
      <c r="D197" s="108">
        <v>2024</v>
      </c>
      <c r="E197" s="109">
        <f t="shared" si="18"/>
        <v>8000</v>
      </c>
      <c r="F197" s="109">
        <v>8000</v>
      </c>
      <c r="G197" s="109">
        <v>0</v>
      </c>
      <c r="H197" s="109">
        <v>0</v>
      </c>
      <c r="I197" s="109">
        <v>0</v>
      </c>
      <c r="J197" s="1296"/>
      <c r="K197" s="1296"/>
    </row>
    <row r="198" spans="1:12" ht="18" customHeight="1" outlineLevel="1">
      <c r="A198" s="1296"/>
      <c r="B198" s="1309"/>
      <c r="C198" s="1296"/>
      <c r="D198" s="100">
        <v>2025</v>
      </c>
      <c r="E198" s="102">
        <f t="shared" si="18"/>
        <v>4000</v>
      </c>
      <c r="F198" s="102">
        <v>4000</v>
      </c>
      <c r="G198" s="102">
        <v>0</v>
      </c>
      <c r="H198" s="102">
        <v>0</v>
      </c>
      <c r="I198" s="102">
        <v>0</v>
      </c>
      <c r="J198" s="1296"/>
      <c r="K198" s="1296"/>
    </row>
    <row r="199" spans="1:12" ht="18" customHeight="1" outlineLevel="1">
      <c r="A199" s="1297"/>
      <c r="B199" s="1310"/>
      <c r="C199" s="1297"/>
      <c r="D199" s="100">
        <v>2026</v>
      </c>
      <c r="E199" s="102">
        <f>SUM(F199:I199)</f>
        <v>4000</v>
      </c>
      <c r="F199" s="102">
        <v>4000</v>
      </c>
      <c r="G199" s="102">
        <v>0</v>
      </c>
      <c r="H199" s="102">
        <v>0</v>
      </c>
      <c r="I199" s="102">
        <v>0</v>
      </c>
      <c r="J199" s="1297"/>
      <c r="K199" s="1297"/>
    </row>
    <row r="200" spans="1:12" ht="13.5" customHeight="1" outlineLevel="1">
      <c r="A200" s="1305" t="s">
        <v>304</v>
      </c>
      <c r="B200" s="1306" t="s">
        <v>58</v>
      </c>
      <c r="C200" s="1295" t="s">
        <v>235</v>
      </c>
      <c r="D200" s="100" t="s">
        <v>3</v>
      </c>
      <c r="E200" s="102">
        <f t="shared" si="18"/>
        <v>20149.476999999999</v>
      </c>
      <c r="F200" s="102">
        <f>SUM(F201:F206)</f>
        <v>1208.9680000000001</v>
      </c>
      <c r="G200" s="102">
        <f>SUM(G201:G206)</f>
        <v>18940.508999999998</v>
      </c>
      <c r="H200" s="102">
        <f>SUM(H201:H206)</f>
        <v>0</v>
      </c>
      <c r="I200" s="102">
        <f>SUM(I201:I206)</f>
        <v>0</v>
      </c>
      <c r="J200" s="1295" t="s">
        <v>305</v>
      </c>
      <c r="K200" s="1295" t="s">
        <v>92</v>
      </c>
    </row>
    <row r="201" spans="1:12" ht="13.5" customHeight="1" outlineLevel="1">
      <c r="A201" s="1305"/>
      <c r="B201" s="1306"/>
      <c r="C201" s="1296"/>
      <c r="D201" s="100">
        <v>2021</v>
      </c>
      <c r="E201" s="102">
        <f t="shared" si="18"/>
        <v>20149.476999999999</v>
      </c>
      <c r="F201" s="102">
        <v>1208.9680000000001</v>
      </c>
      <c r="G201" s="102">
        <v>18940.508999999998</v>
      </c>
      <c r="H201" s="102">
        <v>0</v>
      </c>
      <c r="I201" s="102">
        <v>0</v>
      </c>
      <c r="J201" s="1296"/>
      <c r="K201" s="1296"/>
    </row>
    <row r="202" spans="1:12" ht="13.5" customHeight="1" outlineLevel="1">
      <c r="A202" s="1305"/>
      <c r="B202" s="1306"/>
      <c r="C202" s="1296"/>
      <c r="D202" s="100">
        <v>2022</v>
      </c>
      <c r="E202" s="102">
        <f t="shared" si="18"/>
        <v>0</v>
      </c>
      <c r="F202" s="102">
        <v>0</v>
      </c>
      <c r="G202" s="102">
        <v>0</v>
      </c>
      <c r="H202" s="102">
        <v>0</v>
      </c>
      <c r="I202" s="102">
        <v>0</v>
      </c>
      <c r="J202" s="1296"/>
      <c r="K202" s="1296"/>
    </row>
    <row r="203" spans="1:12" ht="13.5" customHeight="1" outlineLevel="1">
      <c r="A203" s="1305"/>
      <c r="B203" s="1306"/>
      <c r="C203" s="1296"/>
      <c r="D203" s="100">
        <v>2023</v>
      </c>
      <c r="E203" s="102">
        <f t="shared" si="18"/>
        <v>0</v>
      </c>
      <c r="F203" s="102">
        <v>0</v>
      </c>
      <c r="G203" s="102">
        <v>0</v>
      </c>
      <c r="H203" s="102">
        <v>0</v>
      </c>
      <c r="I203" s="102">
        <v>0</v>
      </c>
      <c r="J203" s="1296"/>
      <c r="K203" s="1296"/>
    </row>
    <row r="204" spans="1:12" ht="13.5" customHeight="1" outlineLevel="1">
      <c r="A204" s="1305"/>
      <c r="B204" s="1306"/>
      <c r="C204" s="1296"/>
      <c r="D204" s="100">
        <v>2024</v>
      </c>
      <c r="E204" s="102">
        <f t="shared" si="18"/>
        <v>0</v>
      </c>
      <c r="F204" s="102">
        <v>0</v>
      </c>
      <c r="G204" s="102">
        <v>0</v>
      </c>
      <c r="H204" s="102">
        <v>0</v>
      </c>
      <c r="I204" s="102">
        <v>0</v>
      </c>
      <c r="J204" s="1296"/>
      <c r="K204" s="1296"/>
    </row>
    <row r="205" spans="1:12" ht="13.5" customHeight="1" outlineLevel="1">
      <c r="A205" s="1305"/>
      <c r="B205" s="1306"/>
      <c r="C205" s="1296"/>
      <c r="D205" s="100">
        <v>2025</v>
      </c>
      <c r="E205" s="102">
        <v>0</v>
      </c>
      <c r="F205" s="102">
        <v>0</v>
      </c>
      <c r="G205" s="102">
        <v>0</v>
      </c>
      <c r="H205" s="102">
        <v>0</v>
      </c>
      <c r="I205" s="102">
        <v>0</v>
      </c>
      <c r="J205" s="1296"/>
      <c r="K205" s="1296"/>
    </row>
    <row r="206" spans="1:12" ht="13.5" customHeight="1" outlineLevel="1">
      <c r="A206" s="1305"/>
      <c r="B206" s="1306"/>
      <c r="C206" s="1297"/>
      <c r="D206" s="100">
        <v>2026</v>
      </c>
      <c r="E206" s="102">
        <f t="shared" si="18"/>
        <v>0</v>
      </c>
      <c r="F206" s="102">
        <v>0</v>
      </c>
      <c r="G206" s="102">
        <v>0</v>
      </c>
      <c r="H206" s="102">
        <v>0</v>
      </c>
      <c r="I206" s="102">
        <v>0</v>
      </c>
      <c r="J206" s="1297"/>
      <c r="K206" s="1297"/>
    </row>
    <row r="207" spans="1:12" ht="15" customHeight="1">
      <c r="A207" s="1295">
        <v>2</v>
      </c>
      <c r="B207" s="1308" t="s">
        <v>112</v>
      </c>
      <c r="C207" s="1295" t="s">
        <v>235</v>
      </c>
      <c r="D207" s="100" t="s">
        <v>3</v>
      </c>
      <c r="E207" s="102">
        <f t="shared" si="18"/>
        <v>6911534.7488799999</v>
      </c>
      <c r="F207" s="102">
        <f>SUM(F208:F213)</f>
        <v>6745002.6186699998</v>
      </c>
      <c r="G207" s="102">
        <f>SUM(G208:G212)</f>
        <v>59624.783369999997</v>
      </c>
      <c r="H207" s="102">
        <f>SUM(H208:H213)</f>
        <v>106907.34684</v>
      </c>
      <c r="I207" s="102">
        <f>SUM(I208:I212)</f>
        <v>0</v>
      </c>
      <c r="J207" s="1319"/>
      <c r="K207" s="1295" t="s">
        <v>295</v>
      </c>
      <c r="L207" s="98" t="s">
        <v>306</v>
      </c>
    </row>
    <row r="208" spans="1:12">
      <c r="A208" s="1296"/>
      <c r="B208" s="1309"/>
      <c r="C208" s="1296"/>
      <c r="D208" s="100">
        <v>2021</v>
      </c>
      <c r="E208" s="102">
        <f t="shared" si="18"/>
        <v>891879.98959000001</v>
      </c>
      <c r="F208" s="102">
        <f t="shared" ref="F208:I212" si="23">F215+F376+F397</f>
        <v>854371.18938</v>
      </c>
      <c r="G208" s="102">
        <f t="shared" si="23"/>
        <v>24191.1</v>
      </c>
      <c r="H208" s="102">
        <f t="shared" si="23"/>
        <v>13317.700210000001</v>
      </c>
      <c r="I208" s="102">
        <f t="shared" si="23"/>
        <v>0</v>
      </c>
      <c r="J208" s="1320"/>
      <c r="K208" s="1296"/>
    </row>
    <row r="209" spans="1:13">
      <c r="A209" s="1296"/>
      <c r="B209" s="1309"/>
      <c r="C209" s="1296"/>
      <c r="D209" s="100">
        <v>2022</v>
      </c>
      <c r="E209" s="102">
        <f t="shared" si="18"/>
        <v>1227311.4540000001</v>
      </c>
      <c r="F209" s="102">
        <f t="shared" si="23"/>
        <v>1191344.9740000002</v>
      </c>
      <c r="G209" s="102">
        <f t="shared" si="23"/>
        <v>16189.3</v>
      </c>
      <c r="H209" s="102">
        <f t="shared" si="23"/>
        <v>19777.18</v>
      </c>
      <c r="I209" s="102">
        <f t="shared" si="23"/>
        <v>0</v>
      </c>
      <c r="J209" s="1320"/>
      <c r="K209" s="1296"/>
    </row>
    <row r="210" spans="1:13">
      <c r="A210" s="1296"/>
      <c r="B210" s="1309"/>
      <c r="C210" s="1296"/>
      <c r="D210" s="100">
        <v>2023</v>
      </c>
      <c r="E210" s="102">
        <f t="shared" si="18"/>
        <v>1113485.83519</v>
      </c>
      <c r="F210" s="102">
        <f t="shared" si="23"/>
        <v>1082614.0218200001</v>
      </c>
      <c r="G210" s="102">
        <f t="shared" si="23"/>
        <v>11094.58337</v>
      </c>
      <c r="H210" s="102">
        <f t="shared" si="23"/>
        <v>19777.23</v>
      </c>
      <c r="I210" s="102">
        <f t="shared" si="23"/>
        <v>0</v>
      </c>
      <c r="J210" s="1320"/>
      <c r="K210" s="1296"/>
    </row>
    <row r="211" spans="1:13">
      <c r="A211" s="1296"/>
      <c r="B211" s="1309"/>
      <c r="C211" s="1296"/>
      <c r="D211" s="168">
        <v>2024</v>
      </c>
      <c r="E211" s="167">
        <f t="shared" si="18"/>
        <v>1430883.7283799998</v>
      </c>
      <c r="F211" s="167">
        <f t="shared" si="23"/>
        <v>1401877.7383799998</v>
      </c>
      <c r="G211" s="167">
        <f t="shared" si="23"/>
        <v>8149.8</v>
      </c>
      <c r="H211" s="167">
        <f t="shared" si="23"/>
        <v>20856.189999999999</v>
      </c>
      <c r="I211" s="167">
        <f t="shared" si="23"/>
        <v>0</v>
      </c>
      <c r="J211" s="1320"/>
      <c r="K211" s="1296"/>
    </row>
    <row r="212" spans="1:13">
      <c r="A212" s="1296"/>
      <c r="B212" s="1309"/>
      <c r="C212" s="1296"/>
      <c r="D212" s="100">
        <v>2025</v>
      </c>
      <c r="E212" s="102">
        <f t="shared" si="18"/>
        <v>1146360.4516799999</v>
      </c>
      <c r="F212" s="102">
        <f t="shared" si="23"/>
        <v>1129770.9283499999</v>
      </c>
      <c r="G212" s="102">
        <f t="shared" si="23"/>
        <v>0</v>
      </c>
      <c r="H212" s="102">
        <f t="shared" si="23"/>
        <v>16589.52333</v>
      </c>
      <c r="I212" s="102">
        <f t="shared" si="23"/>
        <v>0</v>
      </c>
      <c r="J212" s="1320"/>
      <c r="K212" s="1296"/>
    </row>
    <row r="213" spans="1:13">
      <c r="A213" s="1297"/>
      <c r="B213" s="1310"/>
      <c r="C213" s="1297"/>
      <c r="D213" s="100">
        <v>2026</v>
      </c>
      <c r="E213" s="102">
        <f>SUM(F213:I213)</f>
        <v>1101613.2900400001</v>
      </c>
      <c r="F213" s="102">
        <f>SUM(F220,F381)</f>
        <v>1085023.7667400001</v>
      </c>
      <c r="G213" s="102">
        <f>SUM(G220,G381)</f>
        <v>0</v>
      </c>
      <c r="H213" s="102">
        <f>SUM(H220,H381)</f>
        <v>16589.523300000001</v>
      </c>
      <c r="I213" s="102">
        <f>SUM(I220,I381)</f>
        <v>0</v>
      </c>
      <c r="J213" s="1321"/>
      <c r="K213" s="1297"/>
    </row>
    <row r="214" spans="1:13" ht="13.5" customHeight="1" outlineLevel="1">
      <c r="A214" s="1295" t="s">
        <v>307</v>
      </c>
      <c r="B214" s="1308" t="s">
        <v>308</v>
      </c>
      <c r="C214" s="1295" t="s">
        <v>235</v>
      </c>
      <c r="D214" s="100" t="s">
        <v>3</v>
      </c>
      <c r="E214" s="102">
        <f t="shared" si="18"/>
        <v>6469153.3552299999</v>
      </c>
      <c r="F214" s="102">
        <f>SUM(F215:F220)</f>
        <v>6469153.3552299999</v>
      </c>
      <c r="G214" s="102">
        <f>SUM(G215:G219)</f>
        <v>0</v>
      </c>
      <c r="H214" s="102">
        <f>SUM(H215:H219)</f>
        <v>0</v>
      </c>
      <c r="I214" s="102">
        <f>SUM(I215:I219)</f>
        <v>0</v>
      </c>
      <c r="J214" s="1295" t="s">
        <v>157</v>
      </c>
      <c r="K214" s="1295" t="s">
        <v>241</v>
      </c>
      <c r="L214" s="1301"/>
    </row>
    <row r="215" spans="1:13" ht="13.5" customHeight="1" outlineLevel="1">
      <c r="A215" s="1296"/>
      <c r="B215" s="1309"/>
      <c r="C215" s="1296"/>
      <c r="D215" s="100">
        <v>2021</v>
      </c>
      <c r="E215" s="102">
        <f t="shared" si="18"/>
        <v>809865.57669999998</v>
      </c>
      <c r="F215" s="102">
        <f>F222+F229+F236+F243+F250+F257++F264+F271+F278+F285+F292+F299+F306+F313+F320+F327+F334+F341+F355+F348</f>
        <v>809865.57669999998</v>
      </c>
      <c r="G215" s="102">
        <f t="shared" ref="G215:I218" si="24">G222+G229+G236+G243+G250+G257++G264+G271+G278+G285+G292+G299+G306+G313+G320+G327+G334+G341+G355</f>
        <v>0</v>
      </c>
      <c r="H215" s="102">
        <f t="shared" si="24"/>
        <v>0</v>
      </c>
      <c r="I215" s="102">
        <f t="shared" si="24"/>
        <v>0</v>
      </c>
      <c r="J215" s="1296"/>
      <c r="K215" s="1296"/>
      <c r="L215" s="1301"/>
    </row>
    <row r="216" spans="1:13" ht="13.5" customHeight="1" outlineLevel="1">
      <c r="A216" s="1296"/>
      <c r="B216" s="1309"/>
      <c r="C216" s="1296"/>
      <c r="D216" s="100">
        <v>2022</v>
      </c>
      <c r="E216" s="102">
        <f t="shared" si="18"/>
        <v>1140833.8970000001</v>
      </c>
      <c r="F216" s="102">
        <f>F223+F230+F237+F244+F251+F258++F265+F272+F279+F286+F293+F300+F307+F314+F321+F328+F335+F342+F356</f>
        <v>1140833.8970000001</v>
      </c>
      <c r="G216" s="102">
        <f t="shared" si="24"/>
        <v>0</v>
      </c>
      <c r="H216" s="102">
        <f t="shared" si="24"/>
        <v>0</v>
      </c>
      <c r="I216" s="102">
        <f t="shared" si="24"/>
        <v>0</v>
      </c>
      <c r="J216" s="1296"/>
      <c r="K216" s="1296"/>
      <c r="L216" s="1301"/>
    </row>
    <row r="217" spans="1:13" ht="13.5" customHeight="1" outlineLevel="1">
      <c r="A217" s="1296"/>
      <c r="B217" s="1309"/>
      <c r="C217" s="1296"/>
      <c r="D217" s="100">
        <v>2023</v>
      </c>
      <c r="E217" s="102">
        <f t="shared" si="18"/>
        <v>1034105.8569300001</v>
      </c>
      <c r="F217" s="102">
        <f>F224+F231+F238+F245+F252+F259++F266+F273+F280+F287+F294+F301+F308+F315+F322+F329+F336+F343+F357+F364</f>
        <v>1034105.8569300001</v>
      </c>
      <c r="G217" s="102">
        <f t="shared" si="24"/>
        <v>0</v>
      </c>
      <c r="H217" s="102">
        <f t="shared" si="24"/>
        <v>0</v>
      </c>
      <c r="I217" s="102">
        <f t="shared" si="24"/>
        <v>0</v>
      </c>
      <c r="J217" s="1296"/>
      <c r="K217" s="1296"/>
      <c r="L217" s="1301"/>
    </row>
    <row r="218" spans="1:13" ht="13.5" customHeight="1" outlineLevel="1">
      <c r="A218" s="1296"/>
      <c r="B218" s="1309"/>
      <c r="C218" s="1296"/>
      <c r="D218" s="168">
        <v>2024</v>
      </c>
      <c r="E218" s="167">
        <f t="shared" si="18"/>
        <v>1352353.3295099998</v>
      </c>
      <c r="F218" s="167">
        <f>F225+F232+F239+F246+F253+F260++F267+F274+F281+F288+F295+F302+F309+F316+F323+F330+F337+F344+F358+F365+F372</f>
        <v>1352353.3295099998</v>
      </c>
      <c r="G218" s="167">
        <f t="shared" si="24"/>
        <v>0</v>
      </c>
      <c r="H218" s="167">
        <f t="shared" si="24"/>
        <v>0</v>
      </c>
      <c r="I218" s="167">
        <f t="shared" si="24"/>
        <v>0</v>
      </c>
      <c r="J218" s="1296"/>
      <c r="K218" s="1296"/>
      <c r="L218" s="1301"/>
    </row>
    <row r="219" spans="1:13" ht="28.5" customHeight="1" outlineLevel="1">
      <c r="A219" s="1296"/>
      <c r="B219" s="1309"/>
      <c r="C219" s="1296"/>
      <c r="D219" s="100">
        <v>2025</v>
      </c>
      <c r="E219" s="102">
        <f t="shared" si="18"/>
        <v>1088370.9283499999</v>
      </c>
      <c r="F219" s="102">
        <f>F226+F233+F240+F247+F254+F262++F269+F276+F283+F290+F297+F304+F311+F318+F324+F332+F339+F346+F360+F294</f>
        <v>1088370.9283499999</v>
      </c>
      <c r="G219" s="102">
        <f>G226+G233+G240+G247+G254+G262++G269+G276+G283+G290+G297+G304+G311+G318+G324+G332+G339+G346+G360</f>
        <v>0</v>
      </c>
      <c r="H219" s="102">
        <f>H226+H233+H240+H247+H254+H262++H269+H276+H283+H290+H297+H304+H311+H318+H324+H332+H339+H346+H360</f>
        <v>0</v>
      </c>
      <c r="I219" s="102">
        <f>I226+I233+I240+I247+I254+I262++I269+I276+I283+I290+I297+I304+I311+I318+I324+I332+I339+I346+I360</f>
        <v>0</v>
      </c>
      <c r="J219" s="1296"/>
      <c r="K219" s="1296"/>
      <c r="L219" s="1301"/>
    </row>
    <row r="220" spans="1:13" ht="28.5" customHeight="1" outlineLevel="1">
      <c r="A220" s="1297"/>
      <c r="B220" s="1310"/>
      <c r="C220" s="1297"/>
      <c r="D220" s="100">
        <v>2026</v>
      </c>
      <c r="E220" s="102">
        <f>SUM(F220:I220)</f>
        <v>1043623.7667400001</v>
      </c>
      <c r="F220" s="102">
        <f>SUM(F227,F234,F241,F248,F255,F325)</f>
        <v>1043623.7667400001</v>
      </c>
      <c r="G220" s="102">
        <f t="shared" ref="G220:I220" si="25">SUM(G227,G234,G241,G248,G255,G325)</f>
        <v>0</v>
      </c>
      <c r="H220" s="102">
        <f t="shared" si="25"/>
        <v>0</v>
      </c>
      <c r="I220" s="102">
        <f t="shared" si="25"/>
        <v>0</v>
      </c>
      <c r="J220" s="1297"/>
      <c r="K220" s="1297"/>
    </row>
    <row r="221" spans="1:13" ht="13.5" customHeight="1" outlineLevel="1">
      <c r="A221" s="1295" t="s">
        <v>309</v>
      </c>
      <c r="B221" s="1308" t="s">
        <v>14</v>
      </c>
      <c r="C221" s="1295" t="s">
        <v>235</v>
      </c>
      <c r="D221" s="100" t="s">
        <v>3</v>
      </c>
      <c r="E221" s="102">
        <f t="shared" si="18"/>
        <v>15007.20577</v>
      </c>
      <c r="F221" s="102">
        <f>SUM(F222:F227)</f>
        <v>15007.20577</v>
      </c>
      <c r="G221" s="102">
        <f>SUM(G222:G226)</f>
        <v>0</v>
      </c>
      <c r="H221" s="102">
        <f>SUM(H222:H226)</f>
        <v>0</v>
      </c>
      <c r="I221" s="102">
        <f>SUM(I222:I226)</f>
        <v>0</v>
      </c>
      <c r="J221" s="1295" t="s">
        <v>156</v>
      </c>
      <c r="K221" s="1295" t="s">
        <v>65</v>
      </c>
      <c r="L221" s="1301"/>
    </row>
    <row r="222" spans="1:13" ht="13.5" customHeight="1" outlineLevel="1">
      <c r="A222" s="1296"/>
      <c r="B222" s="1309"/>
      <c r="C222" s="1296"/>
      <c r="D222" s="100">
        <v>2021</v>
      </c>
      <c r="E222" s="102">
        <f t="shared" si="18"/>
        <v>2106.6577000000002</v>
      </c>
      <c r="F222" s="102">
        <f>2106.6577</f>
        <v>2106.6577000000002</v>
      </c>
      <c r="G222" s="102">
        <v>0</v>
      </c>
      <c r="H222" s="102">
        <v>0</v>
      </c>
      <c r="I222" s="102">
        <v>0</v>
      </c>
      <c r="J222" s="1296"/>
      <c r="K222" s="1296"/>
      <c r="L222" s="1301"/>
    </row>
    <row r="223" spans="1:13" ht="13.5" customHeight="1" outlineLevel="1">
      <c r="A223" s="1296"/>
      <c r="B223" s="1309"/>
      <c r="C223" s="1296"/>
      <c r="D223" s="100">
        <v>2022</v>
      </c>
      <c r="E223" s="102">
        <f t="shared" si="18"/>
        <v>5343.0770000000002</v>
      </c>
      <c r="F223" s="102">
        <f>5912.957-569.88</f>
        <v>5343.0770000000002</v>
      </c>
      <c r="G223" s="102">
        <v>0</v>
      </c>
      <c r="H223" s="102">
        <v>0</v>
      </c>
      <c r="I223" s="102">
        <v>0</v>
      </c>
      <c r="J223" s="1296"/>
      <c r="K223" s="1296"/>
      <c r="L223" s="1301"/>
    </row>
    <row r="224" spans="1:13" ht="13.5" customHeight="1" outlineLevel="1">
      <c r="A224" s="1296"/>
      <c r="B224" s="1309"/>
      <c r="C224" s="1296"/>
      <c r="D224" s="100">
        <v>2023</v>
      </c>
      <c r="E224" s="102">
        <f t="shared" si="18"/>
        <v>1237.58797</v>
      </c>
      <c r="F224" s="102">
        <f>2106.657+(30930.97/1000)-900</f>
        <v>1237.58797</v>
      </c>
      <c r="G224" s="102">
        <v>0</v>
      </c>
      <c r="H224" s="102">
        <v>0</v>
      </c>
      <c r="I224" s="102">
        <v>0</v>
      </c>
      <c r="J224" s="1296"/>
      <c r="K224" s="1296"/>
      <c r="L224" s="1301"/>
      <c r="M224" s="99" t="s">
        <v>310</v>
      </c>
    </row>
    <row r="225" spans="1:12" ht="13.5" customHeight="1" outlineLevel="1">
      <c r="A225" s="1296"/>
      <c r="B225" s="1309"/>
      <c r="C225" s="1296"/>
      <c r="D225" s="108">
        <v>2024</v>
      </c>
      <c r="E225" s="109">
        <f t="shared" si="18"/>
        <v>2106.6577000000002</v>
      </c>
      <c r="F225" s="109">
        <v>2106.6577000000002</v>
      </c>
      <c r="G225" s="109">
        <v>0</v>
      </c>
      <c r="H225" s="109">
        <v>0</v>
      </c>
      <c r="I225" s="109">
        <v>0</v>
      </c>
      <c r="J225" s="1296"/>
      <c r="K225" s="1296"/>
      <c r="L225" s="1301"/>
    </row>
    <row r="226" spans="1:12" ht="13.5" customHeight="1" outlineLevel="1">
      <c r="A226" s="1296"/>
      <c r="B226" s="1309"/>
      <c r="C226" s="1296"/>
      <c r="D226" s="100">
        <v>2025</v>
      </c>
      <c r="E226" s="102">
        <f t="shared" si="18"/>
        <v>2106.5677000000001</v>
      </c>
      <c r="F226" s="102">
        <v>2106.5677000000001</v>
      </c>
      <c r="G226" s="102">
        <f>+G233+G240+G247+G276</f>
        <v>0</v>
      </c>
      <c r="H226" s="102">
        <v>0</v>
      </c>
      <c r="I226" s="102">
        <v>0</v>
      </c>
      <c r="J226" s="1296"/>
      <c r="K226" s="1296"/>
      <c r="L226" s="1301"/>
    </row>
    <row r="227" spans="1:12" ht="13.5" customHeight="1" outlineLevel="1">
      <c r="A227" s="1297"/>
      <c r="B227" s="1310"/>
      <c r="C227" s="1297"/>
      <c r="D227" s="100">
        <v>2026</v>
      </c>
      <c r="E227" s="102">
        <f>SUM(F227:I227)</f>
        <v>2106.6577000000002</v>
      </c>
      <c r="F227" s="102">
        <v>2106.6577000000002</v>
      </c>
      <c r="G227" s="102">
        <v>0</v>
      </c>
      <c r="H227" s="102">
        <v>0</v>
      </c>
      <c r="I227" s="102">
        <v>0</v>
      </c>
      <c r="J227" s="1297"/>
      <c r="K227" s="1297"/>
    </row>
    <row r="228" spans="1:12" ht="26.25" customHeight="1" outlineLevel="1">
      <c r="A228" s="1295" t="s">
        <v>311</v>
      </c>
      <c r="B228" s="1308" t="s">
        <v>114</v>
      </c>
      <c r="C228" s="1295" t="s">
        <v>235</v>
      </c>
      <c r="D228" s="100" t="s">
        <v>3</v>
      </c>
      <c r="E228" s="102">
        <f t="shared" ref="E228:E301" si="26">SUM(F228:I228)</f>
        <v>276767.99965999997</v>
      </c>
      <c r="F228" s="102">
        <f>SUM(F229:F234)</f>
        <v>276767.99965999997</v>
      </c>
      <c r="G228" s="102">
        <f>SUM(G229:G233)</f>
        <v>0</v>
      </c>
      <c r="H228" s="102">
        <f>SUM(H229:H233)</f>
        <v>0</v>
      </c>
      <c r="I228" s="102">
        <f>SUM(I229:I233)</f>
        <v>0</v>
      </c>
      <c r="J228" s="1295" t="s">
        <v>90</v>
      </c>
      <c r="K228" s="1295" t="s">
        <v>65</v>
      </c>
    </row>
    <row r="229" spans="1:12" ht="22.5" customHeight="1" outlineLevel="1">
      <c r="A229" s="1296"/>
      <c r="B229" s="1309"/>
      <c r="C229" s="1296"/>
      <c r="D229" s="100">
        <v>2021</v>
      </c>
      <c r="E229" s="102">
        <f t="shared" si="26"/>
        <v>456</v>
      </c>
      <c r="F229" s="102">
        <v>456</v>
      </c>
      <c r="G229" s="102">
        <v>0</v>
      </c>
      <c r="H229" s="102">
        <v>0</v>
      </c>
      <c r="I229" s="102">
        <v>0</v>
      </c>
      <c r="J229" s="1296"/>
      <c r="K229" s="1296"/>
    </row>
    <row r="230" spans="1:12" ht="21.75" customHeight="1" outlineLevel="1">
      <c r="A230" s="1296"/>
      <c r="B230" s="1309"/>
      <c r="C230" s="1296"/>
      <c r="D230" s="100">
        <v>2022</v>
      </c>
      <c r="E230" s="102">
        <f t="shared" si="26"/>
        <v>52700</v>
      </c>
      <c r="F230" s="102">
        <v>52700</v>
      </c>
      <c r="G230" s="102">
        <v>0</v>
      </c>
      <c r="H230" s="102">
        <v>0</v>
      </c>
      <c r="I230" s="102">
        <v>0</v>
      </c>
      <c r="J230" s="1296"/>
      <c r="K230" s="1296"/>
    </row>
    <row r="231" spans="1:12" ht="24" customHeight="1" outlineLevel="1">
      <c r="A231" s="1296"/>
      <c r="B231" s="1309"/>
      <c r="C231" s="1296"/>
      <c r="D231" s="100">
        <v>2023</v>
      </c>
      <c r="E231" s="102">
        <f t="shared" si="26"/>
        <v>67599.999660000001</v>
      </c>
      <c r="F231" s="102">
        <f>52004+7490.67866+8105.321</f>
        <v>67599.999660000001</v>
      </c>
      <c r="G231" s="102">
        <v>0</v>
      </c>
      <c r="H231" s="102">
        <v>0</v>
      </c>
      <c r="I231" s="102">
        <v>0</v>
      </c>
      <c r="J231" s="1296"/>
      <c r="K231" s="1296"/>
    </row>
    <row r="232" spans="1:12" ht="24.75" customHeight="1" outlineLevel="1">
      <c r="A232" s="1296"/>
      <c r="B232" s="1309"/>
      <c r="C232" s="1296"/>
      <c r="D232" s="108">
        <v>2024</v>
      </c>
      <c r="E232" s="109">
        <f t="shared" si="26"/>
        <v>52004</v>
      </c>
      <c r="F232" s="109">
        <v>52004</v>
      </c>
      <c r="G232" s="109">
        <v>0</v>
      </c>
      <c r="H232" s="109">
        <v>0</v>
      </c>
      <c r="I232" s="109">
        <v>0</v>
      </c>
      <c r="J232" s="1296"/>
      <c r="K232" s="1296"/>
    </row>
    <row r="233" spans="1:12" ht="24" customHeight="1" outlineLevel="1">
      <c r="A233" s="1296"/>
      <c r="B233" s="1309"/>
      <c r="C233" s="1296"/>
      <c r="D233" s="100">
        <v>2025</v>
      </c>
      <c r="E233" s="102">
        <f t="shared" si="26"/>
        <v>52004</v>
      </c>
      <c r="F233" s="102">
        <v>52004</v>
      </c>
      <c r="G233" s="102">
        <v>0</v>
      </c>
      <c r="H233" s="102">
        <v>0</v>
      </c>
      <c r="I233" s="102">
        <v>0</v>
      </c>
      <c r="J233" s="1296"/>
      <c r="K233" s="1296"/>
    </row>
    <row r="234" spans="1:12" ht="24" customHeight="1" outlineLevel="1">
      <c r="A234" s="1297"/>
      <c r="B234" s="1310"/>
      <c r="C234" s="1297"/>
      <c r="D234" s="100">
        <v>2026</v>
      </c>
      <c r="E234" s="102">
        <f>SUM(F234:I234)</f>
        <v>52004</v>
      </c>
      <c r="F234" s="102">
        <v>52004</v>
      </c>
      <c r="G234" s="102">
        <v>0</v>
      </c>
      <c r="H234" s="102">
        <v>0</v>
      </c>
      <c r="I234" s="102">
        <v>0</v>
      </c>
      <c r="J234" s="1297"/>
      <c r="K234" s="1297"/>
    </row>
    <row r="235" spans="1:12" ht="15.75" customHeight="1" outlineLevel="1">
      <c r="A235" s="1295" t="s">
        <v>312</v>
      </c>
      <c r="B235" s="1308" t="s">
        <v>313</v>
      </c>
      <c r="C235" s="1295" t="s">
        <v>235</v>
      </c>
      <c r="D235" s="100" t="s">
        <v>3</v>
      </c>
      <c r="E235" s="102">
        <f t="shared" si="26"/>
        <v>136.72999999999999</v>
      </c>
      <c r="F235" s="102">
        <f>SUM(F236:F240)</f>
        <v>136.72999999999999</v>
      </c>
      <c r="G235" s="102">
        <f>SUM(G236:G240)</f>
        <v>0</v>
      </c>
      <c r="H235" s="102">
        <f>SUM(H236:H240)</f>
        <v>0</v>
      </c>
      <c r="I235" s="102">
        <f>SUM(I236:I240)</f>
        <v>0</v>
      </c>
      <c r="J235" s="1295" t="s">
        <v>314</v>
      </c>
      <c r="K235" s="1295" t="s">
        <v>65</v>
      </c>
    </row>
    <row r="236" spans="1:12" ht="15.75" customHeight="1" outlineLevel="1">
      <c r="A236" s="1296"/>
      <c r="B236" s="1309"/>
      <c r="C236" s="1296"/>
      <c r="D236" s="100">
        <v>2021</v>
      </c>
      <c r="E236" s="102">
        <f t="shared" si="26"/>
        <v>27.77</v>
      </c>
      <c r="F236" s="102">
        <f>27770/1000</f>
        <v>27.77</v>
      </c>
      <c r="G236" s="102">
        <v>0</v>
      </c>
      <c r="H236" s="102">
        <v>0</v>
      </c>
      <c r="I236" s="102">
        <v>0</v>
      </c>
      <c r="J236" s="1296"/>
      <c r="K236" s="1296"/>
    </row>
    <row r="237" spans="1:12" ht="15.75" customHeight="1" outlineLevel="1">
      <c r="A237" s="1296"/>
      <c r="B237" s="1309"/>
      <c r="C237" s="1296"/>
      <c r="D237" s="100">
        <v>2022</v>
      </c>
      <c r="E237" s="102">
        <f t="shared" si="26"/>
        <v>0</v>
      </c>
      <c r="F237" s="102">
        <v>0</v>
      </c>
      <c r="G237" s="102">
        <v>0</v>
      </c>
      <c r="H237" s="102">
        <v>0</v>
      </c>
      <c r="I237" s="102">
        <v>0</v>
      </c>
      <c r="J237" s="1296"/>
      <c r="K237" s="1296"/>
    </row>
    <row r="238" spans="1:12" ht="15.75" customHeight="1" outlineLevel="1">
      <c r="A238" s="1296"/>
      <c r="B238" s="1309"/>
      <c r="C238" s="1296"/>
      <c r="D238" s="100">
        <v>2023</v>
      </c>
      <c r="E238" s="102">
        <f t="shared" si="26"/>
        <v>32.07</v>
      </c>
      <c r="F238" s="102">
        <v>32.07</v>
      </c>
      <c r="G238" s="102">
        <v>0</v>
      </c>
      <c r="H238" s="102">
        <v>0</v>
      </c>
      <c r="I238" s="102">
        <v>0</v>
      </c>
      <c r="J238" s="1296"/>
      <c r="K238" s="1296"/>
    </row>
    <row r="239" spans="1:12" ht="15.75" customHeight="1" outlineLevel="1">
      <c r="A239" s="1296"/>
      <c r="B239" s="1309"/>
      <c r="C239" s="1296"/>
      <c r="D239" s="108">
        <v>2024</v>
      </c>
      <c r="E239" s="109">
        <f t="shared" si="26"/>
        <v>44.82</v>
      </c>
      <c r="F239" s="109">
        <v>44.82</v>
      </c>
      <c r="G239" s="109">
        <v>0</v>
      </c>
      <c r="H239" s="109">
        <v>0</v>
      </c>
      <c r="I239" s="109">
        <v>0</v>
      </c>
      <c r="J239" s="1296"/>
      <c r="K239" s="1296"/>
    </row>
    <row r="240" spans="1:12" ht="15.75" customHeight="1" outlineLevel="1">
      <c r="A240" s="1296"/>
      <c r="B240" s="1309"/>
      <c r="C240" s="1296"/>
      <c r="D240" s="100">
        <v>2025</v>
      </c>
      <c r="E240" s="102">
        <f t="shared" si="26"/>
        <v>32.07</v>
      </c>
      <c r="F240" s="102">
        <v>32.07</v>
      </c>
      <c r="G240" s="102">
        <v>0</v>
      </c>
      <c r="H240" s="102">
        <v>0</v>
      </c>
      <c r="I240" s="102">
        <v>0</v>
      </c>
      <c r="J240" s="1296"/>
      <c r="K240" s="1296"/>
    </row>
    <row r="241" spans="1:11" ht="15.75" customHeight="1" outlineLevel="1">
      <c r="A241" s="1297"/>
      <c r="B241" s="1310"/>
      <c r="C241" s="1297"/>
      <c r="D241" s="100">
        <v>2026</v>
      </c>
      <c r="E241" s="102">
        <f>SUM(F241:I241)</f>
        <v>32.07</v>
      </c>
      <c r="F241" s="102">
        <v>32.07</v>
      </c>
      <c r="G241" s="102">
        <v>0</v>
      </c>
      <c r="H241" s="102">
        <v>0</v>
      </c>
      <c r="I241" s="102">
        <v>0</v>
      </c>
      <c r="J241" s="1297"/>
      <c r="K241" s="1297"/>
    </row>
    <row r="242" spans="1:11" ht="13.5" customHeight="1" outlineLevel="1">
      <c r="A242" s="1295" t="s">
        <v>315</v>
      </c>
      <c r="B242" s="1308" t="s">
        <v>9</v>
      </c>
      <c r="C242" s="1295" t="s">
        <v>235</v>
      </c>
      <c r="D242" s="100" t="s">
        <v>3</v>
      </c>
      <c r="E242" s="102">
        <f t="shared" si="26"/>
        <v>5706489.5432699993</v>
      </c>
      <c r="F242" s="102">
        <f>SUM(F243:F248)</f>
        <v>5706489.5432699993</v>
      </c>
      <c r="G242" s="102">
        <f>SUM(G243:G247)</f>
        <v>0</v>
      </c>
      <c r="H242" s="102">
        <f>SUM(H243:H247)</f>
        <v>0</v>
      </c>
      <c r="I242" s="102">
        <f>SUM(I243:I247)</f>
        <v>0</v>
      </c>
      <c r="J242" s="1295" t="s">
        <v>316</v>
      </c>
      <c r="K242" s="1319" t="s">
        <v>317</v>
      </c>
    </row>
    <row r="243" spans="1:11" ht="13.5" customHeight="1" outlineLevel="1">
      <c r="A243" s="1296"/>
      <c r="B243" s="1309"/>
      <c r="C243" s="1296"/>
      <c r="D243" s="100">
        <v>2021</v>
      </c>
      <c r="E243" s="102">
        <f t="shared" si="26"/>
        <v>766375.9</v>
      </c>
      <c r="F243" s="102">
        <v>766375.9</v>
      </c>
      <c r="G243" s="102">
        <v>0</v>
      </c>
      <c r="H243" s="102">
        <v>0</v>
      </c>
      <c r="I243" s="102">
        <v>0</v>
      </c>
      <c r="J243" s="1296"/>
      <c r="K243" s="1320"/>
    </row>
    <row r="244" spans="1:11" ht="13.5" customHeight="1" outlineLevel="1">
      <c r="A244" s="1296"/>
      <c r="B244" s="1309"/>
      <c r="C244" s="1296"/>
      <c r="D244" s="100">
        <v>2022</v>
      </c>
      <c r="E244" s="102">
        <f t="shared" si="26"/>
        <v>914197.98699999996</v>
      </c>
      <c r="F244" s="102">
        <f>879682.2+21426+13089.787</f>
        <v>914197.98699999996</v>
      </c>
      <c r="G244" s="102">
        <v>0</v>
      </c>
      <c r="H244" s="102">
        <v>0</v>
      </c>
      <c r="I244" s="102">
        <v>0</v>
      </c>
      <c r="J244" s="1296"/>
      <c r="K244" s="1320"/>
    </row>
    <row r="245" spans="1:11" ht="13.5" customHeight="1" outlineLevel="1">
      <c r="A245" s="1296"/>
      <c r="B245" s="1309"/>
      <c r="C245" s="1296"/>
      <c r="D245" s="100">
        <v>2023</v>
      </c>
      <c r="E245" s="102">
        <f t="shared" si="26"/>
        <v>905061.93929999997</v>
      </c>
      <c r="F245" s="102">
        <f>850537.551+27982.345+11890.5953+14651.448</f>
        <v>905061.93929999997</v>
      </c>
      <c r="G245" s="102">
        <v>0</v>
      </c>
      <c r="H245" s="102">
        <v>0</v>
      </c>
      <c r="I245" s="102">
        <v>0</v>
      </c>
      <c r="J245" s="1296"/>
      <c r="K245" s="1320"/>
    </row>
    <row r="246" spans="1:11" ht="13.5" customHeight="1" outlineLevel="1">
      <c r="A246" s="1296"/>
      <c r="B246" s="1309"/>
      <c r="C246" s="1296"/>
      <c r="D246" s="108">
        <v>2024</v>
      </c>
      <c r="E246" s="109">
        <f t="shared" si="26"/>
        <v>1165558.7260199999</v>
      </c>
      <c r="F246" s="109">
        <v>1165558.7260199999</v>
      </c>
      <c r="G246" s="109">
        <v>0</v>
      </c>
      <c r="H246" s="109">
        <v>0</v>
      </c>
      <c r="I246" s="109">
        <v>0</v>
      </c>
      <c r="J246" s="1296"/>
      <c r="K246" s="1320"/>
    </row>
    <row r="247" spans="1:11" ht="13.5" customHeight="1" outlineLevel="1">
      <c r="A247" s="1296"/>
      <c r="B247" s="1309"/>
      <c r="C247" s="1296"/>
      <c r="D247" s="100">
        <v>2025</v>
      </c>
      <c r="E247" s="102">
        <f t="shared" si="26"/>
        <v>1000021.12128</v>
      </c>
      <c r="F247" s="102">
        <v>1000021.12128</v>
      </c>
      <c r="G247" s="102">
        <v>0</v>
      </c>
      <c r="H247" s="102">
        <v>0</v>
      </c>
      <c r="I247" s="102">
        <v>0</v>
      </c>
      <c r="J247" s="1296"/>
      <c r="K247" s="1320"/>
    </row>
    <row r="248" spans="1:11" ht="13.5" customHeight="1" outlineLevel="1">
      <c r="A248" s="1297"/>
      <c r="B248" s="1310"/>
      <c r="C248" s="1297"/>
      <c r="D248" s="100">
        <v>2026</v>
      </c>
      <c r="E248" s="102">
        <f>SUM(F248:I248)</f>
        <v>955273.86967000004</v>
      </c>
      <c r="F248" s="102">
        <v>955273.86967000004</v>
      </c>
      <c r="G248" s="102">
        <v>0</v>
      </c>
      <c r="H248" s="102">
        <v>0</v>
      </c>
      <c r="I248" s="102">
        <v>0</v>
      </c>
      <c r="J248" s="1297"/>
      <c r="K248" s="1321"/>
    </row>
    <row r="249" spans="1:11" ht="18.75" customHeight="1" outlineLevel="1">
      <c r="A249" s="1295" t="s">
        <v>318</v>
      </c>
      <c r="B249" s="1308" t="s">
        <v>319</v>
      </c>
      <c r="C249" s="1295" t="s">
        <v>235</v>
      </c>
      <c r="D249" s="100" t="s">
        <v>3</v>
      </c>
      <c r="E249" s="102">
        <f t="shared" si="26"/>
        <v>29648.741000000002</v>
      </c>
      <c r="F249" s="102">
        <f>SUM(F250:F255)</f>
        <v>29648.741000000002</v>
      </c>
      <c r="G249" s="102">
        <f>SUM(G250:G254)</f>
        <v>0</v>
      </c>
      <c r="H249" s="102">
        <f>SUM(H250:H254)</f>
        <v>0</v>
      </c>
      <c r="I249" s="102">
        <f>SUM(I250:I254)</f>
        <v>0</v>
      </c>
      <c r="J249" s="1295" t="s">
        <v>320</v>
      </c>
      <c r="K249" s="1295" t="s">
        <v>317</v>
      </c>
    </row>
    <row r="250" spans="1:11" ht="18.75" customHeight="1" outlineLevel="1">
      <c r="A250" s="1296"/>
      <c r="B250" s="1309"/>
      <c r="C250" s="1296"/>
      <c r="D250" s="100">
        <v>2021</v>
      </c>
      <c r="E250" s="102">
        <f t="shared" si="26"/>
        <v>3811.2820000000002</v>
      </c>
      <c r="F250" s="102">
        <v>3811.2820000000002</v>
      </c>
      <c r="G250" s="102">
        <v>0</v>
      </c>
      <c r="H250" s="102">
        <v>0</v>
      </c>
      <c r="I250" s="102">
        <v>0</v>
      </c>
      <c r="J250" s="1296"/>
      <c r="K250" s="1296"/>
    </row>
    <row r="251" spans="1:11" ht="18.75" customHeight="1" outlineLevel="1">
      <c r="A251" s="1296"/>
      <c r="B251" s="1309"/>
      <c r="C251" s="1296"/>
      <c r="D251" s="100">
        <v>2022</v>
      </c>
      <c r="E251" s="102">
        <f t="shared" si="26"/>
        <v>3588.2230000000004</v>
      </c>
      <c r="F251" s="102">
        <f>3561.3+109.88-82.957</f>
        <v>3588.2230000000004</v>
      </c>
      <c r="G251" s="102">
        <v>0</v>
      </c>
      <c r="H251" s="102">
        <v>0</v>
      </c>
      <c r="I251" s="102">
        <v>0</v>
      </c>
      <c r="J251" s="1296"/>
      <c r="K251" s="1296"/>
    </row>
    <row r="252" spans="1:11" ht="18.75" customHeight="1" outlineLevel="1">
      <c r="A252" s="1296"/>
      <c r="B252" s="1309"/>
      <c r="C252" s="1296"/>
      <c r="D252" s="100">
        <v>2023</v>
      </c>
      <c r="E252" s="102">
        <f t="shared" si="26"/>
        <v>6067.2359999999999</v>
      </c>
      <c r="F252" s="102">
        <f>3561.3+2000+118.878+82.077+300+4.981</f>
        <v>6067.2359999999999</v>
      </c>
      <c r="G252" s="102">
        <v>0</v>
      </c>
      <c r="H252" s="102">
        <v>0</v>
      </c>
      <c r="I252" s="102">
        <v>0</v>
      </c>
      <c r="J252" s="1296"/>
      <c r="K252" s="1296"/>
    </row>
    <row r="253" spans="1:11" ht="18.75" customHeight="1" outlineLevel="1">
      <c r="A253" s="1296"/>
      <c r="B253" s="1309"/>
      <c r="C253" s="1296"/>
      <c r="D253" s="108">
        <v>2024</v>
      </c>
      <c r="E253" s="109">
        <f t="shared" si="26"/>
        <v>5394</v>
      </c>
      <c r="F253" s="109">
        <v>5394</v>
      </c>
      <c r="G253" s="109">
        <v>0</v>
      </c>
      <c r="H253" s="109">
        <v>0</v>
      </c>
      <c r="I253" s="109">
        <v>0</v>
      </c>
      <c r="J253" s="1296"/>
      <c r="K253" s="1296"/>
    </row>
    <row r="254" spans="1:11" ht="18.75" customHeight="1" outlineLevel="1">
      <c r="A254" s="1296"/>
      <c r="B254" s="1309"/>
      <c r="C254" s="1296"/>
      <c r="D254" s="100">
        <v>2025</v>
      </c>
      <c r="E254" s="102">
        <f t="shared" si="26"/>
        <v>5394</v>
      </c>
      <c r="F254" s="102">
        <v>5394</v>
      </c>
      <c r="G254" s="102">
        <v>0</v>
      </c>
      <c r="H254" s="102">
        <v>0</v>
      </c>
      <c r="I254" s="102">
        <v>0</v>
      </c>
      <c r="J254" s="1296"/>
      <c r="K254" s="1296"/>
    </row>
    <row r="255" spans="1:11" ht="18.75" customHeight="1" outlineLevel="1">
      <c r="A255" s="1297"/>
      <c r="B255" s="1310"/>
      <c r="C255" s="1297"/>
      <c r="D255" s="100">
        <v>2026</v>
      </c>
      <c r="E255" s="102">
        <f>SUM(F255:I255)</f>
        <v>5394</v>
      </c>
      <c r="F255" s="102">
        <v>5394</v>
      </c>
      <c r="G255" s="102">
        <v>0</v>
      </c>
      <c r="H255" s="102">
        <v>0</v>
      </c>
      <c r="I255" s="102">
        <v>0</v>
      </c>
      <c r="J255" s="1297"/>
      <c r="K255" s="1297"/>
    </row>
    <row r="256" spans="1:11" ht="14.25" customHeight="1" outlineLevel="1">
      <c r="A256" s="1305" t="s">
        <v>321</v>
      </c>
      <c r="B256" s="1306" t="s">
        <v>322</v>
      </c>
      <c r="C256" s="1295" t="s">
        <v>235</v>
      </c>
      <c r="D256" s="100" t="s">
        <v>3</v>
      </c>
      <c r="E256" s="102">
        <f t="shared" si="26"/>
        <v>26988.080000000002</v>
      </c>
      <c r="F256" s="102">
        <f>SUM(F257:F262)</f>
        <v>26988.080000000002</v>
      </c>
      <c r="G256" s="102">
        <f>SUM(G257:G262)</f>
        <v>0</v>
      </c>
      <c r="H256" s="102">
        <f>SUM(H257:H262)</f>
        <v>0</v>
      </c>
      <c r="I256" s="102">
        <f>SUM(I257:I262)</f>
        <v>0</v>
      </c>
      <c r="J256" s="1305" t="s">
        <v>323</v>
      </c>
      <c r="K256" s="1305" t="s">
        <v>324</v>
      </c>
    </row>
    <row r="257" spans="1:11" ht="13.5" customHeight="1" outlineLevel="1">
      <c r="A257" s="1305"/>
      <c r="B257" s="1306"/>
      <c r="C257" s="1296"/>
      <c r="D257" s="100">
        <v>2021</v>
      </c>
      <c r="E257" s="102">
        <f t="shared" si="26"/>
        <v>26988.080000000002</v>
      </c>
      <c r="F257" s="102">
        <v>26988.080000000002</v>
      </c>
      <c r="G257" s="102">
        <v>0</v>
      </c>
      <c r="H257" s="102">
        <v>0</v>
      </c>
      <c r="I257" s="102">
        <v>0</v>
      </c>
      <c r="J257" s="1305"/>
      <c r="K257" s="1305"/>
    </row>
    <row r="258" spans="1:11" ht="13.5" customHeight="1" outlineLevel="1">
      <c r="A258" s="1305"/>
      <c r="B258" s="1306"/>
      <c r="C258" s="1296"/>
      <c r="D258" s="100">
        <v>2022</v>
      </c>
      <c r="E258" s="102">
        <f t="shared" si="26"/>
        <v>0</v>
      </c>
      <c r="F258" s="102">
        <v>0</v>
      </c>
      <c r="G258" s="102">
        <v>0</v>
      </c>
      <c r="H258" s="102">
        <v>0</v>
      </c>
      <c r="I258" s="102">
        <v>0</v>
      </c>
      <c r="J258" s="1305"/>
      <c r="K258" s="1305"/>
    </row>
    <row r="259" spans="1:11" ht="13.5" customHeight="1" outlineLevel="1">
      <c r="A259" s="1305"/>
      <c r="B259" s="1306"/>
      <c r="C259" s="1296"/>
      <c r="D259" s="100">
        <v>2023</v>
      </c>
      <c r="E259" s="102">
        <f t="shared" si="26"/>
        <v>0</v>
      </c>
      <c r="F259" s="102">
        <v>0</v>
      </c>
      <c r="G259" s="102">
        <v>0</v>
      </c>
      <c r="H259" s="102">
        <v>0</v>
      </c>
      <c r="I259" s="102">
        <v>0</v>
      </c>
      <c r="J259" s="1305"/>
      <c r="K259" s="1305"/>
    </row>
    <row r="260" spans="1:11" ht="13.5" customHeight="1" outlineLevel="1">
      <c r="A260" s="1305"/>
      <c r="B260" s="1306"/>
      <c r="C260" s="1296"/>
      <c r="D260" s="100">
        <v>2024</v>
      </c>
      <c r="E260" s="102">
        <f t="shared" si="26"/>
        <v>0</v>
      </c>
      <c r="F260" s="102">
        <v>0</v>
      </c>
      <c r="G260" s="102">
        <v>0</v>
      </c>
      <c r="H260" s="102">
        <v>0</v>
      </c>
      <c r="I260" s="102">
        <v>0</v>
      </c>
      <c r="J260" s="1305"/>
      <c r="K260" s="1305"/>
    </row>
    <row r="261" spans="1:11" ht="13.5" customHeight="1" outlineLevel="1">
      <c r="A261" s="1305"/>
      <c r="B261" s="1306"/>
      <c r="C261" s="1296"/>
      <c r="D261" s="100">
        <v>2025</v>
      </c>
      <c r="E261" s="102">
        <v>0</v>
      </c>
      <c r="F261" s="102">
        <v>0</v>
      </c>
      <c r="G261" s="102">
        <v>0</v>
      </c>
      <c r="H261" s="102">
        <v>0</v>
      </c>
      <c r="I261" s="102">
        <v>0</v>
      </c>
      <c r="J261" s="1305"/>
      <c r="K261" s="1305"/>
    </row>
    <row r="262" spans="1:11" ht="19.5" customHeight="1" outlineLevel="1">
      <c r="A262" s="1305"/>
      <c r="B262" s="1306"/>
      <c r="C262" s="1297"/>
      <c r="D262" s="100">
        <v>2026</v>
      </c>
      <c r="E262" s="102">
        <f t="shared" si="26"/>
        <v>0</v>
      </c>
      <c r="F262" s="102">
        <v>0</v>
      </c>
      <c r="G262" s="102">
        <v>0</v>
      </c>
      <c r="H262" s="102">
        <v>0</v>
      </c>
      <c r="I262" s="102">
        <v>0</v>
      </c>
      <c r="J262" s="1305"/>
      <c r="K262" s="1305"/>
    </row>
    <row r="263" spans="1:11" ht="14.25" customHeight="1" outlineLevel="1">
      <c r="A263" s="1305" t="s">
        <v>325</v>
      </c>
      <c r="B263" s="1306" t="s">
        <v>326</v>
      </c>
      <c r="C263" s="1305" t="s">
        <v>235</v>
      </c>
      <c r="D263" s="100" t="s">
        <v>3</v>
      </c>
      <c r="E263" s="102">
        <f t="shared" si="26"/>
        <v>0</v>
      </c>
      <c r="F263" s="102">
        <f>SUM(F264:F269)</f>
        <v>0</v>
      </c>
      <c r="G263" s="102">
        <f>SUM(G264:G269)</f>
        <v>0</v>
      </c>
      <c r="H263" s="102">
        <f>SUM(H264:H269)</f>
        <v>0</v>
      </c>
      <c r="I263" s="102">
        <f>SUM(I264:I269)</f>
        <v>0</v>
      </c>
      <c r="J263" s="1305" t="s">
        <v>327</v>
      </c>
      <c r="K263" s="1305" t="s">
        <v>328</v>
      </c>
    </row>
    <row r="264" spans="1:11" ht="13.5" customHeight="1" outlineLevel="1">
      <c r="A264" s="1305"/>
      <c r="B264" s="1306"/>
      <c r="C264" s="1305"/>
      <c r="D264" s="100">
        <v>2021</v>
      </c>
      <c r="E264" s="102">
        <f t="shared" si="26"/>
        <v>0</v>
      </c>
      <c r="F264" s="102">
        <v>0</v>
      </c>
      <c r="G264" s="102">
        <v>0</v>
      </c>
      <c r="H264" s="102">
        <v>0</v>
      </c>
      <c r="I264" s="102">
        <v>0</v>
      </c>
      <c r="J264" s="1305"/>
      <c r="K264" s="1305"/>
    </row>
    <row r="265" spans="1:11" ht="13.5" customHeight="1" outlineLevel="1">
      <c r="A265" s="1305"/>
      <c r="B265" s="1306"/>
      <c r="C265" s="1305"/>
      <c r="D265" s="100">
        <v>2022</v>
      </c>
      <c r="E265" s="102">
        <f t="shared" si="26"/>
        <v>0</v>
      </c>
      <c r="F265" s="102">
        <v>0</v>
      </c>
      <c r="G265" s="102">
        <v>0</v>
      </c>
      <c r="H265" s="102">
        <v>0</v>
      </c>
      <c r="I265" s="102">
        <v>0</v>
      </c>
      <c r="J265" s="1305"/>
      <c r="K265" s="1305"/>
    </row>
    <row r="266" spans="1:11" ht="13.5" customHeight="1" outlineLevel="1">
      <c r="A266" s="1305"/>
      <c r="B266" s="1306"/>
      <c r="C266" s="1305"/>
      <c r="D266" s="100">
        <v>2023</v>
      </c>
      <c r="E266" s="102">
        <f t="shared" si="26"/>
        <v>0</v>
      </c>
      <c r="F266" s="102">
        <v>0</v>
      </c>
      <c r="G266" s="102">
        <v>0</v>
      </c>
      <c r="H266" s="102">
        <v>0</v>
      </c>
      <c r="I266" s="102">
        <v>0</v>
      </c>
      <c r="J266" s="1305"/>
      <c r="K266" s="1305"/>
    </row>
    <row r="267" spans="1:11" ht="13.5" customHeight="1" outlineLevel="1">
      <c r="A267" s="1305"/>
      <c r="B267" s="1306"/>
      <c r="C267" s="1305"/>
      <c r="D267" s="100">
        <v>2024</v>
      </c>
      <c r="E267" s="102">
        <f t="shared" si="26"/>
        <v>0</v>
      </c>
      <c r="F267" s="102">
        <v>0</v>
      </c>
      <c r="G267" s="102">
        <v>0</v>
      </c>
      <c r="H267" s="102">
        <v>0</v>
      </c>
      <c r="I267" s="102">
        <v>0</v>
      </c>
      <c r="J267" s="1305"/>
      <c r="K267" s="1305"/>
    </row>
    <row r="268" spans="1:11" ht="13.5" customHeight="1" outlineLevel="1">
      <c r="A268" s="1305"/>
      <c r="B268" s="1306"/>
      <c r="C268" s="1305"/>
      <c r="D268" s="100">
        <v>2025</v>
      </c>
      <c r="E268" s="102">
        <v>0</v>
      </c>
      <c r="F268" s="102">
        <v>0</v>
      </c>
      <c r="G268" s="102">
        <v>0</v>
      </c>
      <c r="H268" s="102">
        <v>0</v>
      </c>
      <c r="I268" s="102">
        <v>0</v>
      </c>
      <c r="J268" s="1305"/>
      <c r="K268" s="1305"/>
    </row>
    <row r="269" spans="1:11" ht="19.5" customHeight="1" outlineLevel="1">
      <c r="A269" s="1305"/>
      <c r="B269" s="1306"/>
      <c r="C269" s="1305"/>
      <c r="D269" s="100">
        <v>2026</v>
      </c>
      <c r="E269" s="102">
        <f t="shared" si="26"/>
        <v>0</v>
      </c>
      <c r="F269" s="102">
        <v>0</v>
      </c>
      <c r="G269" s="102">
        <v>0</v>
      </c>
      <c r="H269" s="102">
        <v>0</v>
      </c>
      <c r="I269" s="102">
        <v>0</v>
      </c>
      <c r="J269" s="1305"/>
      <c r="K269" s="1305"/>
    </row>
    <row r="270" spans="1:11" ht="14.25" customHeight="1" outlineLevel="1">
      <c r="A270" s="1305" t="s">
        <v>329</v>
      </c>
      <c r="B270" s="1306" t="s">
        <v>330</v>
      </c>
      <c r="C270" s="1305" t="s">
        <v>235</v>
      </c>
      <c r="D270" s="100" t="s">
        <v>3</v>
      </c>
      <c r="E270" s="102">
        <f t="shared" si="26"/>
        <v>368.27599999999995</v>
      </c>
      <c r="F270" s="102">
        <f>SUM(F271:F276)</f>
        <v>368.27599999999995</v>
      </c>
      <c r="G270" s="102">
        <f>SUM(G271:G276)</f>
        <v>0</v>
      </c>
      <c r="H270" s="102">
        <f>SUM(H271:H276)</f>
        <v>0</v>
      </c>
      <c r="I270" s="102">
        <f>SUM(I271:I276)</f>
        <v>0</v>
      </c>
      <c r="J270" s="1305" t="s">
        <v>331</v>
      </c>
      <c r="K270" s="1305" t="s">
        <v>332</v>
      </c>
    </row>
    <row r="271" spans="1:11" ht="13.5" customHeight="1" outlineLevel="1">
      <c r="A271" s="1305"/>
      <c r="B271" s="1306"/>
      <c r="C271" s="1305"/>
      <c r="D271" s="100">
        <v>2021</v>
      </c>
      <c r="E271" s="102">
        <f t="shared" si="26"/>
        <v>150.887</v>
      </c>
      <c r="F271" s="102">
        <v>150.887</v>
      </c>
      <c r="G271" s="102">
        <v>0</v>
      </c>
      <c r="H271" s="102">
        <v>0</v>
      </c>
      <c r="I271" s="102">
        <v>0</v>
      </c>
      <c r="J271" s="1305"/>
      <c r="K271" s="1305"/>
    </row>
    <row r="272" spans="1:11" ht="13.5" customHeight="1" outlineLevel="1">
      <c r="A272" s="1305"/>
      <c r="B272" s="1306"/>
      <c r="C272" s="1305"/>
      <c r="D272" s="100">
        <v>2022</v>
      </c>
      <c r="E272" s="102">
        <f t="shared" si="26"/>
        <v>82.956999999999994</v>
      </c>
      <c r="F272" s="102">
        <v>82.956999999999994</v>
      </c>
      <c r="G272" s="102">
        <v>0</v>
      </c>
      <c r="H272" s="102">
        <v>0</v>
      </c>
      <c r="I272" s="102">
        <v>0</v>
      </c>
      <c r="J272" s="1305"/>
      <c r="K272" s="1305"/>
    </row>
    <row r="273" spans="1:13" ht="13.5" customHeight="1" outlineLevel="1">
      <c r="A273" s="1305"/>
      <c r="B273" s="1306"/>
      <c r="C273" s="1305"/>
      <c r="D273" s="100">
        <v>2023</v>
      </c>
      <c r="E273" s="102">
        <f t="shared" si="26"/>
        <v>134.43199999999999</v>
      </c>
      <c r="F273" s="102">
        <v>134.43199999999999</v>
      </c>
      <c r="G273" s="102">
        <v>0</v>
      </c>
      <c r="H273" s="102">
        <v>0</v>
      </c>
      <c r="I273" s="102">
        <v>0</v>
      </c>
      <c r="J273" s="1305"/>
      <c r="K273" s="1305"/>
      <c r="M273" s="99" t="s">
        <v>333</v>
      </c>
    </row>
    <row r="274" spans="1:13" ht="13.5" customHeight="1" outlineLevel="1">
      <c r="A274" s="1305"/>
      <c r="B274" s="1306"/>
      <c r="C274" s="1305"/>
      <c r="D274" s="100">
        <v>2024</v>
      </c>
      <c r="E274" s="102">
        <f t="shared" si="26"/>
        <v>0</v>
      </c>
      <c r="F274" s="102">
        <v>0</v>
      </c>
      <c r="G274" s="102">
        <v>0</v>
      </c>
      <c r="H274" s="102">
        <v>0</v>
      </c>
      <c r="I274" s="102">
        <v>0</v>
      </c>
      <c r="J274" s="1305"/>
      <c r="K274" s="1305"/>
    </row>
    <row r="275" spans="1:13" ht="13.5" customHeight="1" outlineLevel="1">
      <c r="A275" s="1305"/>
      <c r="B275" s="1306"/>
      <c r="C275" s="1305"/>
      <c r="D275" s="100">
        <v>2025</v>
      </c>
      <c r="E275" s="102">
        <v>0</v>
      </c>
      <c r="F275" s="102">
        <v>0</v>
      </c>
      <c r="G275" s="102">
        <v>0</v>
      </c>
      <c r="H275" s="102">
        <v>0</v>
      </c>
      <c r="I275" s="102">
        <v>0</v>
      </c>
      <c r="J275" s="1305"/>
      <c r="K275" s="1305"/>
    </row>
    <row r="276" spans="1:13" ht="19.5" customHeight="1" outlineLevel="1">
      <c r="A276" s="1305"/>
      <c r="B276" s="1306"/>
      <c r="C276" s="1305"/>
      <c r="D276" s="100">
        <v>2026</v>
      </c>
      <c r="E276" s="102">
        <f t="shared" si="26"/>
        <v>0</v>
      </c>
      <c r="F276" s="102">
        <v>0</v>
      </c>
      <c r="G276" s="102">
        <v>0</v>
      </c>
      <c r="H276" s="102">
        <v>0</v>
      </c>
      <c r="I276" s="102">
        <v>0</v>
      </c>
      <c r="J276" s="1305"/>
      <c r="K276" s="1305"/>
    </row>
    <row r="277" spans="1:13" ht="16.5" customHeight="1" outlineLevel="1">
      <c r="A277" s="1305" t="s">
        <v>334</v>
      </c>
      <c r="B277" s="1306" t="s">
        <v>335</v>
      </c>
      <c r="C277" s="1305" t="s">
        <v>235</v>
      </c>
      <c r="D277" s="100" t="s">
        <v>3</v>
      </c>
      <c r="E277" s="102">
        <f t="shared" si="26"/>
        <v>595</v>
      </c>
      <c r="F277" s="102">
        <f>SUM(F278:F283)</f>
        <v>595</v>
      </c>
      <c r="G277" s="102">
        <f>SUM(G278:G283)</f>
        <v>0</v>
      </c>
      <c r="H277" s="102">
        <f>SUM(H278:H283)</f>
        <v>0</v>
      </c>
      <c r="I277" s="102">
        <f>SUM(I278:I283)</f>
        <v>0</v>
      </c>
      <c r="J277" s="1305" t="s">
        <v>336</v>
      </c>
      <c r="K277" s="1305" t="s">
        <v>328</v>
      </c>
    </row>
    <row r="278" spans="1:13" ht="16.5" customHeight="1" outlineLevel="1">
      <c r="A278" s="1305"/>
      <c r="B278" s="1306"/>
      <c r="C278" s="1305"/>
      <c r="D278" s="100">
        <v>2021</v>
      </c>
      <c r="E278" s="102">
        <f t="shared" si="26"/>
        <v>595</v>
      </c>
      <c r="F278" s="102">
        <v>595</v>
      </c>
      <c r="G278" s="102">
        <v>0</v>
      </c>
      <c r="H278" s="102">
        <v>0</v>
      </c>
      <c r="I278" s="102">
        <v>0</v>
      </c>
      <c r="J278" s="1305"/>
      <c r="K278" s="1305"/>
    </row>
    <row r="279" spans="1:13" ht="16.5" customHeight="1" outlineLevel="1">
      <c r="A279" s="1305"/>
      <c r="B279" s="1306"/>
      <c r="C279" s="1305"/>
      <c r="D279" s="100">
        <v>2022</v>
      </c>
      <c r="E279" s="102">
        <f t="shared" si="26"/>
        <v>0</v>
      </c>
      <c r="F279" s="102">
        <v>0</v>
      </c>
      <c r="G279" s="102">
        <v>0</v>
      </c>
      <c r="H279" s="102">
        <v>0</v>
      </c>
      <c r="I279" s="102">
        <v>0</v>
      </c>
      <c r="J279" s="1305"/>
      <c r="K279" s="1305"/>
    </row>
    <row r="280" spans="1:13" ht="16.5" customHeight="1" outlineLevel="1">
      <c r="A280" s="1305"/>
      <c r="B280" s="1306"/>
      <c r="C280" s="1305"/>
      <c r="D280" s="100">
        <v>2023</v>
      </c>
      <c r="E280" s="102">
        <f t="shared" si="26"/>
        <v>0</v>
      </c>
      <c r="F280" s="102">
        <v>0</v>
      </c>
      <c r="G280" s="102">
        <v>0</v>
      </c>
      <c r="H280" s="102">
        <v>0</v>
      </c>
      <c r="I280" s="102">
        <v>0</v>
      </c>
      <c r="J280" s="1305"/>
      <c r="K280" s="1305"/>
    </row>
    <row r="281" spans="1:13" ht="16.5" customHeight="1" outlineLevel="1">
      <c r="A281" s="1305"/>
      <c r="B281" s="1306"/>
      <c r="C281" s="1305"/>
      <c r="D281" s="100">
        <v>2024</v>
      </c>
      <c r="E281" s="102">
        <f t="shared" si="26"/>
        <v>0</v>
      </c>
      <c r="F281" s="102">
        <v>0</v>
      </c>
      <c r="G281" s="102">
        <v>0</v>
      </c>
      <c r="H281" s="102">
        <v>0</v>
      </c>
      <c r="I281" s="102">
        <v>0</v>
      </c>
      <c r="J281" s="1305"/>
      <c r="K281" s="1305"/>
    </row>
    <row r="282" spans="1:13" ht="16.5" customHeight="1" outlineLevel="1">
      <c r="A282" s="1305"/>
      <c r="B282" s="1306"/>
      <c r="C282" s="1305"/>
      <c r="D282" s="100">
        <v>2025</v>
      </c>
      <c r="E282" s="102">
        <v>0</v>
      </c>
      <c r="F282" s="102">
        <v>0</v>
      </c>
      <c r="G282" s="102">
        <v>0</v>
      </c>
      <c r="H282" s="102">
        <v>0</v>
      </c>
      <c r="I282" s="102">
        <v>0</v>
      </c>
      <c r="J282" s="1305"/>
      <c r="K282" s="1305"/>
    </row>
    <row r="283" spans="1:13" ht="16.5" customHeight="1" outlineLevel="1">
      <c r="A283" s="1305"/>
      <c r="B283" s="1306"/>
      <c r="C283" s="1305"/>
      <c r="D283" s="100">
        <v>2026</v>
      </c>
      <c r="E283" s="102">
        <f t="shared" si="26"/>
        <v>0</v>
      </c>
      <c r="F283" s="102">
        <v>0</v>
      </c>
      <c r="G283" s="102">
        <v>0</v>
      </c>
      <c r="H283" s="102">
        <v>0</v>
      </c>
      <c r="I283" s="102">
        <v>0</v>
      </c>
      <c r="J283" s="1305"/>
      <c r="K283" s="1305"/>
    </row>
    <row r="284" spans="1:13" ht="16.5" customHeight="1" outlineLevel="1">
      <c r="A284" s="1305" t="s">
        <v>337</v>
      </c>
      <c r="B284" s="1306" t="s">
        <v>338</v>
      </c>
      <c r="C284" s="1305" t="s">
        <v>235</v>
      </c>
      <c r="D284" s="100" t="s">
        <v>3</v>
      </c>
      <c r="E284" s="102">
        <f t="shared" si="26"/>
        <v>8626</v>
      </c>
      <c r="F284" s="102">
        <f>SUM(F285:F290)</f>
        <v>8626</v>
      </c>
      <c r="G284" s="102">
        <f>SUM(G285:G290)</f>
        <v>0</v>
      </c>
      <c r="H284" s="102">
        <f>SUM(H285:H290)</f>
        <v>0</v>
      </c>
      <c r="I284" s="102">
        <f>SUM(I285:I290)</f>
        <v>0</v>
      </c>
      <c r="J284" s="1305" t="s">
        <v>339</v>
      </c>
      <c r="K284" s="1305" t="s">
        <v>142</v>
      </c>
    </row>
    <row r="285" spans="1:13" ht="16.5" customHeight="1" outlineLevel="1">
      <c r="A285" s="1305"/>
      <c r="B285" s="1306"/>
      <c r="C285" s="1305"/>
      <c r="D285" s="100">
        <v>2021</v>
      </c>
      <c r="E285" s="102">
        <f t="shared" si="26"/>
        <v>8626</v>
      </c>
      <c r="F285" s="102">
        <v>8626</v>
      </c>
      <c r="G285" s="102">
        <v>0</v>
      </c>
      <c r="H285" s="102">
        <v>0</v>
      </c>
      <c r="I285" s="102">
        <v>0</v>
      </c>
      <c r="J285" s="1305"/>
      <c r="K285" s="1305"/>
    </row>
    <row r="286" spans="1:13" ht="16.5" customHeight="1" outlineLevel="1">
      <c r="A286" s="1305"/>
      <c r="B286" s="1306"/>
      <c r="C286" s="1305"/>
      <c r="D286" s="100">
        <v>2022</v>
      </c>
      <c r="E286" s="102">
        <f t="shared" si="26"/>
        <v>0</v>
      </c>
      <c r="F286" s="102">
        <v>0</v>
      </c>
      <c r="G286" s="102">
        <v>0</v>
      </c>
      <c r="H286" s="102">
        <v>0</v>
      </c>
      <c r="I286" s="102">
        <v>0</v>
      </c>
      <c r="J286" s="1305"/>
      <c r="K286" s="1305"/>
    </row>
    <row r="287" spans="1:13" ht="16.5" customHeight="1" outlineLevel="1">
      <c r="A287" s="1305"/>
      <c r="B287" s="1306"/>
      <c r="C287" s="1305"/>
      <c r="D287" s="100">
        <v>2023</v>
      </c>
      <c r="E287" s="102">
        <f t="shared" si="26"/>
        <v>0</v>
      </c>
      <c r="F287" s="102">
        <v>0</v>
      </c>
      <c r="G287" s="102">
        <v>0</v>
      </c>
      <c r="H287" s="102">
        <v>0</v>
      </c>
      <c r="I287" s="102">
        <v>0</v>
      </c>
      <c r="J287" s="1305"/>
      <c r="K287" s="1305"/>
    </row>
    <row r="288" spans="1:13" ht="16.5" customHeight="1" outlineLevel="1">
      <c r="A288" s="1305"/>
      <c r="B288" s="1306"/>
      <c r="C288" s="1305"/>
      <c r="D288" s="100">
        <v>2024</v>
      </c>
      <c r="E288" s="102">
        <f t="shared" si="26"/>
        <v>0</v>
      </c>
      <c r="F288" s="102">
        <v>0</v>
      </c>
      <c r="G288" s="102">
        <v>0</v>
      </c>
      <c r="H288" s="102">
        <v>0</v>
      </c>
      <c r="I288" s="102">
        <v>0</v>
      </c>
      <c r="J288" s="1305"/>
      <c r="K288" s="1305"/>
    </row>
    <row r="289" spans="1:14" ht="16.5" customHeight="1" outlineLevel="1">
      <c r="A289" s="1305"/>
      <c r="B289" s="1306"/>
      <c r="C289" s="1305"/>
      <c r="D289" s="100">
        <v>2025</v>
      </c>
      <c r="E289" s="102">
        <v>0</v>
      </c>
      <c r="F289" s="102">
        <v>0</v>
      </c>
      <c r="G289" s="102">
        <v>0</v>
      </c>
      <c r="H289" s="102">
        <v>0</v>
      </c>
      <c r="I289" s="102">
        <v>0</v>
      </c>
      <c r="J289" s="1305"/>
      <c r="K289" s="1305"/>
    </row>
    <row r="290" spans="1:14" ht="16.5" customHeight="1" outlineLevel="1">
      <c r="A290" s="1305"/>
      <c r="B290" s="1306"/>
      <c r="C290" s="1305"/>
      <c r="D290" s="100">
        <v>2026</v>
      </c>
      <c r="E290" s="102">
        <f t="shared" si="26"/>
        <v>0</v>
      </c>
      <c r="F290" s="102">
        <v>0</v>
      </c>
      <c r="G290" s="102">
        <v>0</v>
      </c>
      <c r="H290" s="102">
        <v>0</v>
      </c>
      <c r="I290" s="102">
        <v>0</v>
      </c>
      <c r="J290" s="1305"/>
      <c r="K290" s="1305"/>
    </row>
    <row r="291" spans="1:14" ht="16.5" customHeight="1" outlineLevel="1">
      <c r="A291" s="1305" t="s">
        <v>115</v>
      </c>
      <c r="B291" s="1315" t="s">
        <v>155</v>
      </c>
      <c r="C291" s="1305" t="s">
        <v>235</v>
      </c>
      <c r="D291" s="100" t="s">
        <v>3</v>
      </c>
      <c r="E291" s="102">
        <f t="shared" si="26"/>
        <v>40849.83</v>
      </c>
      <c r="F291" s="102">
        <f>SUM(F292:F297)</f>
        <v>40849.83</v>
      </c>
      <c r="G291" s="102">
        <f>SUM(G292:G297)</f>
        <v>0</v>
      </c>
      <c r="H291" s="102">
        <f>SUM(H292:H297)</f>
        <v>0</v>
      </c>
      <c r="I291" s="102">
        <f>SUM(I292:I297)</f>
        <v>0</v>
      </c>
      <c r="J291" s="1305" t="s">
        <v>340</v>
      </c>
      <c r="K291" s="1305" t="s">
        <v>341</v>
      </c>
    </row>
    <row r="292" spans="1:14" ht="16.5" customHeight="1" outlineLevel="1">
      <c r="A292" s="1305"/>
      <c r="B292" s="1315"/>
      <c r="C292" s="1305"/>
      <c r="D292" s="100">
        <v>2021</v>
      </c>
      <c r="E292" s="102">
        <f t="shared" si="26"/>
        <v>0</v>
      </c>
      <c r="F292" s="102">
        <v>0</v>
      </c>
      <c r="G292" s="102">
        <v>0</v>
      </c>
      <c r="H292" s="102">
        <v>0</v>
      </c>
      <c r="I292" s="102">
        <v>0</v>
      </c>
      <c r="J292" s="1305"/>
      <c r="K292" s="1305"/>
    </row>
    <row r="293" spans="1:14" ht="16.5" customHeight="1" outlineLevel="1">
      <c r="A293" s="1305"/>
      <c r="B293" s="1315"/>
      <c r="C293" s="1305"/>
      <c r="D293" s="100">
        <v>2022</v>
      </c>
      <c r="E293" s="102">
        <f t="shared" si="26"/>
        <v>35337.442999999999</v>
      </c>
      <c r="F293" s="102">
        <f>22000+1017.443+12000+13089.787+320-13089.787</f>
        <v>35337.442999999999</v>
      </c>
      <c r="G293" s="102">
        <v>0</v>
      </c>
      <c r="H293" s="102">
        <v>0</v>
      </c>
      <c r="I293" s="102">
        <v>0</v>
      </c>
      <c r="J293" s="1305"/>
      <c r="K293" s="1305"/>
    </row>
    <row r="294" spans="1:14" ht="16.5" customHeight="1" outlineLevel="1">
      <c r="A294" s="1305"/>
      <c r="B294" s="1315"/>
      <c r="C294" s="1305"/>
      <c r="D294" s="100">
        <v>2023</v>
      </c>
      <c r="E294" s="102">
        <f t="shared" si="26"/>
        <v>0</v>
      </c>
      <c r="F294" s="102">
        <v>0</v>
      </c>
      <c r="G294" s="102">
        <v>0</v>
      </c>
      <c r="H294" s="102">
        <v>0</v>
      </c>
      <c r="I294" s="102">
        <v>0</v>
      </c>
      <c r="J294" s="1305"/>
      <c r="K294" s="1305"/>
    </row>
    <row r="295" spans="1:14" ht="16.5" customHeight="1" outlineLevel="1">
      <c r="A295" s="1305"/>
      <c r="B295" s="1315"/>
      <c r="C295" s="1305"/>
      <c r="D295" s="108">
        <v>2024</v>
      </c>
      <c r="E295" s="109">
        <v>5512.3869999999997</v>
      </c>
      <c r="F295" s="109">
        <v>5512.3869999999997</v>
      </c>
      <c r="G295" s="109">
        <v>0</v>
      </c>
      <c r="H295" s="109">
        <v>0</v>
      </c>
      <c r="I295" s="109">
        <v>0</v>
      </c>
      <c r="J295" s="1305"/>
      <c r="K295" s="1305"/>
    </row>
    <row r="296" spans="1:14" ht="16.5" customHeight="1" outlineLevel="1">
      <c r="A296" s="1305"/>
      <c r="B296" s="1315"/>
      <c r="C296" s="1305"/>
      <c r="D296" s="100">
        <v>2025</v>
      </c>
      <c r="E296" s="102">
        <v>0</v>
      </c>
      <c r="F296" s="102">
        <v>0</v>
      </c>
      <c r="G296" s="102">
        <v>0</v>
      </c>
      <c r="H296" s="102">
        <v>0</v>
      </c>
      <c r="I296" s="102">
        <v>0</v>
      </c>
      <c r="J296" s="1305"/>
      <c r="K296" s="1305"/>
    </row>
    <row r="297" spans="1:14" ht="16.5" customHeight="1" outlineLevel="1">
      <c r="A297" s="1305"/>
      <c r="B297" s="1315"/>
      <c r="C297" s="1305"/>
      <c r="D297" s="100">
        <v>2026</v>
      </c>
      <c r="E297" s="102">
        <f t="shared" si="26"/>
        <v>0</v>
      </c>
      <c r="F297" s="102">
        <v>0</v>
      </c>
      <c r="G297" s="102">
        <v>0</v>
      </c>
      <c r="H297" s="102">
        <v>0</v>
      </c>
      <c r="I297" s="102">
        <v>0</v>
      </c>
      <c r="J297" s="1305"/>
      <c r="K297" s="1305"/>
    </row>
    <row r="298" spans="1:14" ht="16.5" customHeight="1" outlineLevel="1">
      <c r="A298" s="1305" t="s">
        <v>342</v>
      </c>
      <c r="B298" s="1306" t="s">
        <v>343</v>
      </c>
      <c r="C298" s="1305" t="s">
        <v>235</v>
      </c>
      <c r="D298" s="100" t="s">
        <v>3</v>
      </c>
      <c r="E298" s="102">
        <f t="shared" si="26"/>
        <v>534</v>
      </c>
      <c r="F298" s="102">
        <f>SUM(F299:F304)</f>
        <v>534</v>
      </c>
      <c r="G298" s="102">
        <f>SUM(G299:G304)</f>
        <v>0</v>
      </c>
      <c r="H298" s="102">
        <f>SUM(H299:H304)</f>
        <v>0</v>
      </c>
      <c r="I298" s="102">
        <f>SUM(I299:I304)</f>
        <v>0</v>
      </c>
      <c r="J298" s="1305" t="s">
        <v>344</v>
      </c>
      <c r="K298" s="1305" t="s">
        <v>345</v>
      </c>
    </row>
    <row r="299" spans="1:14" ht="16.5" customHeight="1" outlineLevel="1">
      <c r="A299" s="1305"/>
      <c r="B299" s="1306"/>
      <c r="C299" s="1305"/>
      <c r="D299" s="100">
        <v>2021</v>
      </c>
      <c r="E299" s="102">
        <f t="shared" si="26"/>
        <v>534</v>
      </c>
      <c r="F299" s="102">
        <v>534</v>
      </c>
      <c r="G299" s="102">
        <v>0</v>
      </c>
      <c r="H299" s="102">
        <v>0</v>
      </c>
      <c r="I299" s="102">
        <v>0</v>
      </c>
      <c r="J299" s="1305"/>
      <c r="K299" s="1305"/>
    </row>
    <row r="300" spans="1:14" ht="16.5" customHeight="1" outlineLevel="1">
      <c r="A300" s="1305"/>
      <c r="B300" s="1306"/>
      <c r="C300" s="1305"/>
      <c r="D300" s="100">
        <v>2022</v>
      </c>
      <c r="E300" s="102">
        <f t="shared" si="26"/>
        <v>0</v>
      </c>
      <c r="F300" s="102">
        <v>0</v>
      </c>
      <c r="G300" s="102">
        <v>0</v>
      </c>
      <c r="H300" s="102">
        <v>0</v>
      </c>
      <c r="I300" s="102">
        <v>0</v>
      </c>
      <c r="J300" s="1305"/>
      <c r="K300" s="1305"/>
      <c r="N300" s="99" t="s">
        <v>346</v>
      </c>
    </row>
    <row r="301" spans="1:14" ht="16.5" customHeight="1" outlineLevel="1">
      <c r="A301" s="1305"/>
      <c r="B301" s="1306"/>
      <c r="C301" s="1305"/>
      <c r="D301" s="100">
        <v>2023</v>
      </c>
      <c r="E301" s="102">
        <f t="shared" si="26"/>
        <v>0</v>
      </c>
      <c r="F301" s="102">
        <v>0</v>
      </c>
      <c r="G301" s="102">
        <v>0</v>
      </c>
      <c r="H301" s="102">
        <v>0</v>
      </c>
      <c r="I301" s="102">
        <v>0</v>
      </c>
      <c r="J301" s="1305"/>
      <c r="K301" s="1305"/>
    </row>
    <row r="302" spans="1:14" ht="16.5" customHeight="1" outlineLevel="1">
      <c r="A302" s="1305"/>
      <c r="B302" s="1306"/>
      <c r="C302" s="1305"/>
      <c r="D302" s="100">
        <v>2024</v>
      </c>
      <c r="E302" s="102">
        <f t="shared" ref="E302:E380" si="27">SUM(F302:I302)</f>
        <v>0</v>
      </c>
      <c r="F302" s="102">
        <v>0</v>
      </c>
      <c r="G302" s="102">
        <v>0</v>
      </c>
      <c r="H302" s="102">
        <v>0</v>
      </c>
      <c r="I302" s="102">
        <v>0</v>
      </c>
      <c r="J302" s="1305"/>
      <c r="K302" s="1305"/>
    </row>
    <row r="303" spans="1:14" ht="16.5" customHeight="1" outlineLevel="1">
      <c r="A303" s="1305"/>
      <c r="B303" s="1306"/>
      <c r="C303" s="1305"/>
      <c r="D303" s="100">
        <v>2025</v>
      </c>
      <c r="E303" s="102">
        <v>0</v>
      </c>
      <c r="F303" s="102">
        <v>0</v>
      </c>
      <c r="G303" s="102">
        <v>0</v>
      </c>
      <c r="H303" s="102">
        <v>0</v>
      </c>
      <c r="I303" s="102">
        <v>0</v>
      </c>
      <c r="J303" s="1305"/>
      <c r="K303" s="1305"/>
    </row>
    <row r="304" spans="1:14" ht="16.5" customHeight="1" outlineLevel="1">
      <c r="A304" s="1305"/>
      <c r="B304" s="1306"/>
      <c r="C304" s="1305"/>
      <c r="D304" s="100">
        <v>2026</v>
      </c>
      <c r="E304" s="102">
        <f t="shared" si="27"/>
        <v>0</v>
      </c>
      <c r="F304" s="102">
        <v>0</v>
      </c>
      <c r="G304" s="102">
        <v>0</v>
      </c>
      <c r="H304" s="102">
        <v>0</v>
      </c>
      <c r="I304" s="102">
        <v>0</v>
      </c>
      <c r="J304" s="1305"/>
      <c r="K304" s="1305"/>
    </row>
    <row r="305" spans="1:11" ht="16.5" customHeight="1" outlineLevel="1">
      <c r="A305" s="1305" t="s">
        <v>347</v>
      </c>
      <c r="B305" s="1306" t="s">
        <v>348</v>
      </c>
      <c r="C305" s="1305" t="s">
        <v>235</v>
      </c>
      <c r="D305" s="100" t="s">
        <v>3</v>
      </c>
      <c r="E305" s="102">
        <f t="shared" si="27"/>
        <v>194</v>
      </c>
      <c r="F305" s="102">
        <f>SUM(F306:F311)</f>
        <v>194</v>
      </c>
      <c r="G305" s="102">
        <f>SUM(G306:G311)</f>
        <v>0</v>
      </c>
      <c r="H305" s="102">
        <f>SUM(H306:H311)</f>
        <v>0</v>
      </c>
      <c r="I305" s="102">
        <f>SUM(I306:I311)</f>
        <v>0</v>
      </c>
      <c r="J305" s="1305" t="s">
        <v>349</v>
      </c>
      <c r="K305" s="1305" t="s">
        <v>65</v>
      </c>
    </row>
    <row r="306" spans="1:11" ht="16.5" customHeight="1" outlineLevel="1">
      <c r="A306" s="1305"/>
      <c r="B306" s="1306"/>
      <c r="C306" s="1305"/>
      <c r="D306" s="100">
        <v>2021</v>
      </c>
      <c r="E306" s="102">
        <f t="shared" si="27"/>
        <v>194</v>
      </c>
      <c r="F306" s="102">
        <v>194</v>
      </c>
      <c r="G306" s="102">
        <v>0</v>
      </c>
      <c r="H306" s="102">
        <v>0</v>
      </c>
      <c r="I306" s="102">
        <v>0</v>
      </c>
      <c r="J306" s="1305"/>
      <c r="K306" s="1305"/>
    </row>
    <row r="307" spans="1:11" ht="16.5" customHeight="1" outlineLevel="1">
      <c r="A307" s="1305"/>
      <c r="B307" s="1306"/>
      <c r="C307" s="1305"/>
      <c r="D307" s="100">
        <v>2022</v>
      </c>
      <c r="E307" s="102">
        <f t="shared" si="27"/>
        <v>0</v>
      </c>
      <c r="F307" s="102">
        <v>0</v>
      </c>
      <c r="G307" s="102">
        <v>0</v>
      </c>
      <c r="H307" s="102">
        <v>0</v>
      </c>
      <c r="I307" s="102">
        <v>0</v>
      </c>
      <c r="J307" s="1305"/>
      <c r="K307" s="1305"/>
    </row>
    <row r="308" spans="1:11" ht="16.5" customHeight="1" outlineLevel="1">
      <c r="A308" s="1305"/>
      <c r="B308" s="1306"/>
      <c r="C308" s="1305"/>
      <c r="D308" s="100">
        <v>2023</v>
      </c>
      <c r="E308" s="102">
        <f t="shared" si="27"/>
        <v>0</v>
      </c>
      <c r="F308" s="102">
        <v>0</v>
      </c>
      <c r="G308" s="102">
        <v>0</v>
      </c>
      <c r="H308" s="102">
        <v>0</v>
      </c>
      <c r="I308" s="102">
        <v>0</v>
      </c>
      <c r="J308" s="1305"/>
      <c r="K308" s="1305"/>
    </row>
    <row r="309" spans="1:11" ht="16.5" customHeight="1" outlineLevel="1">
      <c r="A309" s="1305"/>
      <c r="B309" s="1306"/>
      <c r="C309" s="1305"/>
      <c r="D309" s="100">
        <v>2024</v>
      </c>
      <c r="E309" s="102">
        <f t="shared" si="27"/>
        <v>0</v>
      </c>
      <c r="F309" s="102">
        <v>0</v>
      </c>
      <c r="G309" s="102">
        <v>0</v>
      </c>
      <c r="H309" s="102">
        <v>0</v>
      </c>
      <c r="I309" s="102">
        <v>0</v>
      </c>
      <c r="J309" s="1305"/>
      <c r="K309" s="1305"/>
    </row>
    <row r="310" spans="1:11" ht="16.5" customHeight="1" outlineLevel="1">
      <c r="A310" s="1305"/>
      <c r="B310" s="1306"/>
      <c r="C310" s="1305"/>
      <c r="D310" s="100">
        <v>2025</v>
      </c>
      <c r="E310" s="102">
        <v>0</v>
      </c>
      <c r="F310" s="102">
        <v>0</v>
      </c>
      <c r="G310" s="102">
        <v>0</v>
      </c>
      <c r="H310" s="102">
        <v>0</v>
      </c>
      <c r="I310" s="102">
        <v>0</v>
      </c>
      <c r="J310" s="1305"/>
      <c r="K310" s="1305"/>
    </row>
    <row r="311" spans="1:11" ht="16.5" customHeight="1" outlineLevel="1">
      <c r="A311" s="1305"/>
      <c r="B311" s="1306"/>
      <c r="C311" s="1305"/>
      <c r="D311" s="100">
        <v>2026</v>
      </c>
      <c r="E311" s="102">
        <f t="shared" si="27"/>
        <v>0</v>
      </c>
      <c r="F311" s="102">
        <v>0</v>
      </c>
      <c r="G311" s="102">
        <v>0</v>
      </c>
      <c r="H311" s="102">
        <v>0</v>
      </c>
      <c r="I311" s="102">
        <v>0</v>
      </c>
      <c r="J311" s="1305"/>
      <c r="K311" s="1305"/>
    </row>
    <row r="312" spans="1:11" ht="16.5" customHeight="1" outlineLevel="1">
      <c r="A312" s="1305" t="s">
        <v>350</v>
      </c>
      <c r="B312" s="1306" t="s">
        <v>351</v>
      </c>
      <c r="C312" s="1305" t="s">
        <v>272</v>
      </c>
      <c r="D312" s="100" t="s">
        <v>3</v>
      </c>
      <c r="E312" s="102">
        <f t="shared" si="27"/>
        <v>1800</v>
      </c>
      <c r="F312" s="102">
        <f>SUM(F313:F318)</f>
        <v>1800</v>
      </c>
      <c r="G312" s="102">
        <f>SUM(G313:G318)</f>
        <v>0</v>
      </c>
      <c r="H312" s="102">
        <f>SUM(H313:H318)</f>
        <v>0</v>
      </c>
      <c r="I312" s="102">
        <f>SUM(I313:I318)</f>
        <v>0</v>
      </c>
      <c r="J312" s="1305" t="s">
        <v>352</v>
      </c>
      <c r="K312" s="1305" t="s">
        <v>65</v>
      </c>
    </row>
    <row r="313" spans="1:11" ht="16.5" customHeight="1" outlineLevel="1">
      <c r="A313" s="1305"/>
      <c r="B313" s="1306"/>
      <c r="C313" s="1305"/>
      <c r="D313" s="100">
        <v>2021</v>
      </c>
      <c r="E313" s="102">
        <f t="shared" si="27"/>
        <v>0</v>
      </c>
      <c r="F313" s="102">
        <v>0</v>
      </c>
      <c r="G313" s="102">
        <v>0</v>
      </c>
      <c r="H313" s="102">
        <v>0</v>
      </c>
      <c r="I313" s="102">
        <v>0</v>
      </c>
      <c r="J313" s="1305"/>
      <c r="K313" s="1305"/>
    </row>
    <row r="314" spans="1:11" ht="16.5" customHeight="1" outlineLevel="1">
      <c r="A314" s="1305"/>
      <c r="B314" s="1306"/>
      <c r="C314" s="1305"/>
      <c r="D314" s="100">
        <v>2022</v>
      </c>
      <c r="E314" s="102">
        <v>900</v>
      </c>
      <c r="F314" s="102">
        <v>900</v>
      </c>
      <c r="G314" s="102">
        <v>0</v>
      </c>
      <c r="H314" s="102">
        <v>0</v>
      </c>
      <c r="I314" s="102">
        <v>0</v>
      </c>
      <c r="J314" s="1305"/>
      <c r="K314" s="1305"/>
    </row>
    <row r="315" spans="1:11" ht="16.5" customHeight="1" outlineLevel="1">
      <c r="A315" s="1305"/>
      <c r="B315" s="1306"/>
      <c r="C315" s="1305"/>
      <c r="D315" s="100">
        <v>2023</v>
      </c>
      <c r="E315" s="102">
        <f t="shared" si="27"/>
        <v>900</v>
      </c>
      <c r="F315" s="102">
        <v>900</v>
      </c>
      <c r="G315" s="102">
        <v>0</v>
      </c>
      <c r="H315" s="102">
        <v>0</v>
      </c>
      <c r="I315" s="102">
        <v>0</v>
      </c>
      <c r="J315" s="1305"/>
      <c r="K315" s="1305"/>
    </row>
    <row r="316" spans="1:11" ht="16.5" customHeight="1" outlineLevel="1">
      <c r="A316" s="1305"/>
      <c r="B316" s="1306"/>
      <c r="C316" s="1305"/>
      <c r="D316" s="100">
        <v>2024</v>
      </c>
      <c r="E316" s="102">
        <f t="shared" si="27"/>
        <v>0</v>
      </c>
      <c r="F316" s="102">
        <v>0</v>
      </c>
      <c r="G316" s="102">
        <v>0</v>
      </c>
      <c r="H316" s="102">
        <v>0</v>
      </c>
      <c r="I316" s="102">
        <v>0</v>
      </c>
      <c r="J316" s="1305"/>
      <c r="K316" s="1305"/>
    </row>
    <row r="317" spans="1:11" ht="16.5" customHeight="1" outlineLevel="1">
      <c r="A317" s="1305"/>
      <c r="B317" s="1306"/>
      <c r="C317" s="1305"/>
      <c r="D317" s="100">
        <v>2025</v>
      </c>
      <c r="E317" s="102">
        <v>0</v>
      </c>
      <c r="F317" s="102">
        <v>0</v>
      </c>
      <c r="G317" s="102">
        <v>0</v>
      </c>
      <c r="H317" s="102">
        <v>0</v>
      </c>
      <c r="I317" s="102">
        <v>0</v>
      </c>
      <c r="J317" s="1305"/>
      <c r="K317" s="1305"/>
    </row>
    <row r="318" spans="1:11" ht="16.5" customHeight="1" outlineLevel="1">
      <c r="A318" s="1305"/>
      <c r="B318" s="1306"/>
      <c r="C318" s="1305"/>
      <c r="D318" s="100">
        <v>2026</v>
      </c>
      <c r="E318" s="102">
        <f t="shared" si="27"/>
        <v>0</v>
      </c>
      <c r="F318" s="102">
        <v>0</v>
      </c>
      <c r="G318" s="102">
        <v>0</v>
      </c>
      <c r="H318" s="102">
        <v>0</v>
      </c>
      <c r="I318" s="102">
        <v>0</v>
      </c>
      <c r="J318" s="1305"/>
      <c r="K318" s="1305"/>
    </row>
    <row r="319" spans="1:11" ht="16.5" customHeight="1" outlineLevel="1">
      <c r="A319" s="1295" t="s">
        <v>117</v>
      </c>
      <c r="B319" s="1308" t="s">
        <v>118</v>
      </c>
      <c r="C319" s="1295" t="s">
        <v>272</v>
      </c>
      <c r="D319" s="100" t="s">
        <v>3</v>
      </c>
      <c r="E319" s="102">
        <f t="shared" si="27"/>
        <v>156751.31353000001</v>
      </c>
      <c r="F319" s="102">
        <f>SUM(F321:F325)</f>
        <v>156751.31353000001</v>
      </c>
      <c r="G319" s="102">
        <f>SUM(G320:G324)</f>
        <v>0</v>
      </c>
      <c r="H319" s="102">
        <f>SUM(H320:H324)</f>
        <v>0</v>
      </c>
      <c r="I319" s="102">
        <f>SUM(I320:I324)</f>
        <v>0</v>
      </c>
      <c r="J319" s="1295" t="s">
        <v>118</v>
      </c>
      <c r="K319" s="1295" t="s">
        <v>140</v>
      </c>
    </row>
    <row r="320" spans="1:11" ht="16.5" customHeight="1" outlineLevel="1">
      <c r="A320" s="1296"/>
      <c r="B320" s="1309"/>
      <c r="C320" s="1296"/>
      <c r="D320" s="100">
        <v>2021</v>
      </c>
      <c r="E320" s="102">
        <f t="shared" si="27"/>
        <v>0</v>
      </c>
      <c r="F320" s="102">
        <v>0</v>
      </c>
      <c r="G320" s="102">
        <v>0</v>
      </c>
      <c r="H320" s="102">
        <v>0</v>
      </c>
      <c r="I320" s="102">
        <v>0</v>
      </c>
      <c r="J320" s="1296"/>
      <c r="K320" s="1296"/>
    </row>
    <row r="321" spans="1:11" ht="16.5" customHeight="1" outlineLevel="1">
      <c r="A321" s="1296"/>
      <c r="B321" s="1309"/>
      <c r="C321" s="1296"/>
      <c r="D321" s="100">
        <v>2022</v>
      </c>
      <c r="E321" s="102">
        <f t="shared" si="27"/>
        <v>24779.228999999999</v>
      </c>
      <c r="F321" s="102">
        <v>24779.228999999999</v>
      </c>
      <c r="G321" s="102">
        <v>0</v>
      </c>
      <c r="H321" s="102">
        <v>0</v>
      </c>
      <c r="I321" s="102">
        <v>0</v>
      </c>
      <c r="J321" s="1296"/>
      <c r="K321" s="1296"/>
    </row>
    <row r="322" spans="1:11" ht="16.5" customHeight="1" outlineLevel="1">
      <c r="A322" s="1296"/>
      <c r="B322" s="1309"/>
      <c r="C322" s="1296"/>
      <c r="D322" s="100">
        <v>2023</v>
      </c>
      <c r="E322" s="102">
        <f t="shared" si="27"/>
        <v>35051.025000000001</v>
      </c>
      <c r="F322" s="102">
        <f>25184.8+5003.055+4863.17</f>
        <v>35051.025000000001</v>
      </c>
      <c r="G322" s="102">
        <v>0</v>
      </c>
      <c r="H322" s="102">
        <v>0</v>
      </c>
      <c r="I322" s="102">
        <v>0</v>
      </c>
      <c r="J322" s="1296"/>
      <c r="K322" s="1296"/>
    </row>
    <row r="323" spans="1:11" ht="16.5" customHeight="1" outlineLevel="1">
      <c r="A323" s="1296"/>
      <c r="B323" s="1309"/>
      <c r="C323" s="1296"/>
      <c r="D323" s="108">
        <v>2024</v>
      </c>
      <c r="E323" s="109">
        <f t="shared" si="27"/>
        <v>39294.720789999999</v>
      </c>
      <c r="F323" s="109">
        <v>39294.720789999999</v>
      </c>
      <c r="G323" s="109">
        <v>0</v>
      </c>
      <c r="H323" s="109">
        <v>0</v>
      </c>
      <c r="I323" s="109">
        <v>0</v>
      </c>
      <c r="J323" s="1296"/>
      <c r="K323" s="1296"/>
    </row>
    <row r="324" spans="1:11" ht="16.5" customHeight="1" outlineLevel="1">
      <c r="A324" s="1296"/>
      <c r="B324" s="1309"/>
      <c r="C324" s="1296"/>
      <c r="D324" s="100">
        <v>2025</v>
      </c>
      <c r="E324" s="102">
        <f t="shared" si="27"/>
        <v>28813.16937</v>
      </c>
      <c r="F324" s="102">
        <v>28813.16937</v>
      </c>
      <c r="G324" s="102">
        <v>0</v>
      </c>
      <c r="H324" s="102">
        <v>0</v>
      </c>
      <c r="I324" s="102">
        <v>0</v>
      </c>
      <c r="J324" s="1296"/>
      <c r="K324" s="1296"/>
    </row>
    <row r="325" spans="1:11" ht="16.5" customHeight="1" outlineLevel="1">
      <c r="A325" s="1297"/>
      <c r="B325" s="1310"/>
      <c r="C325" s="1297"/>
      <c r="D325" s="100">
        <v>2026</v>
      </c>
      <c r="E325" s="102">
        <f>SUM(F325:I325)</f>
        <v>28813.16937</v>
      </c>
      <c r="F325" s="102">
        <v>28813.16937</v>
      </c>
      <c r="G325" s="102"/>
      <c r="H325" s="102"/>
      <c r="I325" s="102"/>
      <c r="J325" s="1297"/>
      <c r="K325" s="1297"/>
    </row>
    <row r="326" spans="1:11" ht="16.5" customHeight="1" outlineLevel="1">
      <c r="A326" s="1305" t="s">
        <v>353</v>
      </c>
      <c r="B326" s="1306" t="s">
        <v>354</v>
      </c>
      <c r="C326" s="1295">
        <v>2022</v>
      </c>
      <c r="D326" s="100" t="s">
        <v>3</v>
      </c>
      <c r="E326" s="102">
        <f t="shared" si="27"/>
        <v>0</v>
      </c>
      <c r="F326" s="102">
        <f>SUM(F327:F332)</f>
        <v>0</v>
      </c>
      <c r="G326" s="102">
        <f>SUM(G327:G332)</f>
        <v>0</v>
      </c>
      <c r="H326" s="102">
        <f>SUM(H327:H332)</f>
        <v>0</v>
      </c>
      <c r="I326" s="102">
        <f>SUM(I327:I332)</f>
        <v>0</v>
      </c>
      <c r="J326" s="1305" t="s">
        <v>355</v>
      </c>
      <c r="K326" s="1305" t="s">
        <v>356</v>
      </c>
    </row>
    <row r="327" spans="1:11" ht="16.5" customHeight="1" outlineLevel="1">
      <c r="A327" s="1305"/>
      <c r="B327" s="1306"/>
      <c r="C327" s="1296"/>
      <c r="D327" s="100">
        <v>2021</v>
      </c>
      <c r="E327" s="102">
        <f t="shared" si="27"/>
        <v>0</v>
      </c>
      <c r="F327" s="102">
        <v>0</v>
      </c>
      <c r="G327" s="102">
        <v>0</v>
      </c>
      <c r="H327" s="102">
        <v>0</v>
      </c>
      <c r="I327" s="102">
        <v>0</v>
      </c>
      <c r="J327" s="1305"/>
      <c r="K327" s="1305"/>
    </row>
    <row r="328" spans="1:11" ht="16.5" customHeight="1" outlineLevel="1">
      <c r="A328" s="1305"/>
      <c r="B328" s="1306"/>
      <c r="C328" s="1296"/>
      <c r="D328" s="100">
        <v>2022</v>
      </c>
      <c r="E328" s="102">
        <f t="shared" si="27"/>
        <v>0</v>
      </c>
      <c r="F328" s="102">
        <v>0</v>
      </c>
      <c r="G328" s="102">
        <v>0</v>
      </c>
      <c r="H328" s="102">
        <v>0</v>
      </c>
      <c r="I328" s="102">
        <v>0</v>
      </c>
      <c r="J328" s="1305"/>
      <c r="K328" s="1305"/>
    </row>
    <row r="329" spans="1:11" ht="16.5" customHeight="1" outlineLevel="1">
      <c r="A329" s="1305"/>
      <c r="B329" s="1306"/>
      <c r="C329" s="1296"/>
      <c r="D329" s="100">
        <v>2023</v>
      </c>
      <c r="E329" s="102">
        <f t="shared" si="27"/>
        <v>0</v>
      </c>
      <c r="F329" s="102">
        <v>0</v>
      </c>
      <c r="G329" s="102">
        <v>0</v>
      </c>
      <c r="H329" s="102">
        <v>0</v>
      </c>
      <c r="I329" s="102">
        <v>0</v>
      </c>
      <c r="J329" s="1305"/>
      <c r="K329" s="1305"/>
    </row>
    <row r="330" spans="1:11" ht="16.5" customHeight="1" outlineLevel="1">
      <c r="A330" s="1305"/>
      <c r="B330" s="1306"/>
      <c r="C330" s="1296"/>
      <c r="D330" s="100">
        <v>2024</v>
      </c>
      <c r="E330" s="102">
        <f t="shared" si="27"/>
        <v>0</v>
      </c>
      <c r="F330" s="102">
        <v>0</v>
      </c>
      <c r="G330" s="102">
        <v>0</v>
      </c>
      <c r="H330" s="102">
        <v>0</v>
      </c>
      <c r="I330" s="102">
        <v>0</v>
      </c>
      <c r="J330" s="1305"/>
      <c r="K330" s="1305"/>
    </row>
    <row r="331" spans="1:11" ht="16.5" customHeight="1" outlineLevel="1">
      <c r="A331" s="1305"/>
      <c r="B331" s="1306"/>
      <c r="C331" s="1296"/>
      <c r="D331" s="100">
        <v>2025</v>
      </c>
      <c r="E331" s="102">
        <v>0</v>
      </c>
      <c r="F331" s="102">
        <v>0</v>
      </c>
      <c r="G331" s="102">
        <v>0</v>
      </c>
      <c r="H331" s="102">
        <v>0</v>
      </c>
      <c r="I331" s="102">
        <v>0</v>
      </c>
      <c r="J331" s="1305"/>
      <c r="K331" s="1305"/>
    </row>
    <row r="332" spans="1:11" ht="16.5" customHeight="1" outlineLevel="1">
      <c r="A332" s="1305"/>
      <c r="B332" s="1306"/>
      <c r="C332" s="1297"/>
      <c r="D332" s="100">
        <v>2026</v>
      </c>
      <c r="E332" s="102">
        <f t="shared" si="27"/>
        <v>0</v>
      </c>
      <c r="F332" s="102">
        <v>0</v>
      </c>
      <c r="G332" s="102">
        <v>0</v>
      </c>
      <c r="H332" s="102">
        <v>0</v>
      </c>
      <c r="I332" s="102">
        <v>0</v>
      </c>
      <c r="J332" s="1305"/>
      <c r="K332" s="1305"/>
    </row>
    <row r="333" spans="1:11" ht="15.75" customHeight="1" outlineLevel="1">
      <c r="A333" s="1305" t="s">
        <v>357</v>
      </c>
      <c r="B333" s="1306" t="s">
        <v>358</v>
      </c>
      <c r="C333" s="1305">
        <v>2022</v>
      </c>
      <c r="D333" s="100" t="s">
        <v>3</v>
      </c>
      <c r="E333" s="102">
        <f t="shared" si="27"/>
        <v>17927.877</v>
      </c>
      <c r="F333" s="102">
        <f>SUM(F334:F339)</f>
        <v>17927.877</v>
      </c>
      <c r="G333" s="102">
        <f>SUM(G334:G339)</f>
        <v>0</v>
      </c>
      <c r="H333" s="102">
        <f>SUM(H334:H339)</f>
        <v>0</v>
      </c>
      <c r="I333" s="102">
        <f>SUM(I334:I339)</f>
        <v>0</v>
      </c>
      <c r="J333" s="1305" t="s">
        <v>359</v>
      </c>
      <c r="K333" s="1305" t="s">
        <v>360</v>
      </c>
    </row>
    <row r="334" spans="1:11" outlineLevel="1">
      <c r="A334" s="1305"/>
      <c r="B334" s="1306"/>
      <c r="C334" s="1305"/>
      <c r="D334" s="100">
        <v>2021</v>
      </c>
      <c r="E334" s="102">
        <f t="shared" si="27"/>
        <v>0</v>
      </c>
      <c r="F334" s="102">
        <v>0</v>
      </c>
      <c r="G334" s="102">
        <v>0</v>
      </c>
      <c r="H334" s="102">
        <v>0</v>
      </c>
      <c r="I334" s="102">
        <v>0</v>
      </c>
      <c r="J334" s="1305"/>
      <c r="K334" s="1305"/>
    </row>
    <row r="335" spans="1:11" outlineLevel="1">
      <c r="A335" s="1305"/>
      <c r="B335" s="1306"/>
      <c r="C335" s="1305"/>
      <c r="D335" s="100">
        <v>2022</v>
      </c>
      <c r="E335" s="102">
        <f t="shared" si="27"/>
        <v>17927.877</v>
      </c>
      <c r="F335" s="102">
        <v>17927.877</v>
      </c>
      <c r="G335" s="102">
        <v>0</v>
      </c>
      <c r="H335" s="102">
        <v>0</v>
      </c>
      <c r="I335" s="102">
        <v>0</v>
      </c>
      <c r="J335" s="1305"/>
      <c r="K335" s="1305"/>
    </row>
    <row r="336" spans="1:11" outlineLevel="1">
      <c r="A336" s="1305"/>
      <c r="B336" s="1306"/>
      <c r="C336" s="1305"/>
      <c r="D336" s="100">
        <v>2023</v>
      </c>
      <c r="E336" s="102">
        <f t="shared" si="27"/>
        <v>0</v>
      </c>
      <c r="F336" s="102">
        <v>0</v>
      </c>
      <c r="G336" s="102">
        <v>0</v>
      </c>
      <c r="H336" s="102">
        <v>0</v>
      </c>
      <c r="I336" s="102">
        <v>0</v>
      </c>
      <c r="J336" s="1305"/>
      <c r="K336" s="1305"/>
    </row>
    <row r="337" spans="1:11" outlineLevel="1">
      <c r="A337" s="1305"/>
      <c r="B337" s="1306"/>
      <c r="C337" s="1305"/>
      <c r="D337" s="100">
        <v>2024</v>
      </c>
      <c r="E337" s="102">
        <f t="shared" si="27"/>
        <v>0</v>
      </c>
      <c r="F337" s="102">
        <v>0</v>
      </c>
      <c r="G337" s="102">
        <v>0</v>
      </c>
      <c r="H337" s="102">
        <v>0</v>
      </c>
      <c r="I337" s="102">
        <v>0</v>
      </c>
      <c r="J337" s="1305"/>
      <c r="K337" s="1305"/>
    </row>
    <row r="338" spans="1:11" outlineLevel="1">
      <c r="A338" s="1305"/>
      <c r="B338" s="1306"/>
      <c r="C338" s="1305"/>
      <c r="D338" s="100">
        <v>2025</v>
      </c>
      <c r="E338" s="102">
        <v>0</v>
      </c>
      <c r="F338" s="102">
        <v>0</v>
      </c>
      <c r="G338" s="102">
        <v>0</v>
      </c>
      <c r="H338" s="102">
        <v>0</v>
      </c>
      <c r="I338" s="102">
        <v>0</v>
      </c>
      <c r="J338" s="1305"/>
      <c r="K338" s="1305"/>
    </row>
    <row r="339" spans="1:11" outlineLevel="1">
      <c r="A339" s="1305"/>
      <c r="B339" s="1306"/>
      <c r="C339" s="1305"/>
      <c r="D339" s="100">
        <v>2026</v>
      </c>
      <c r="E339" s="102">
        <f t="shared" si="27"/>
        <v>0</v>
      </c>
      <c r="F339" s="102">
        <v>0</v>
      </c>
      <c r="G339" s="102">
        <v>0</v>
      </c>
      <c r="H339" s="102">
        <v>0</v>
      </c>
      <c r="I339" s="102">
        <v>0</v>
      </c>
      <c r="J339" s="1305"/>
      <c r="K339" s="1305"/>
    </row>
    <row r="340" spans="1:11" ht="15.75" customHeight="1" outlineLevel="1">
      <c r="A340" s="1305" t="s">
        <v>361</v>
      </c>
      <c r="B340" s="1306" t="s">
        <v>362</v>
      </c>
      <c r="C340" s="1305">
        <v>2022</v>
      </c>
      <c r="D340" s="100" t="s">
        <v>3</v>
      </c>
      <c r="E340" s="102">
        <f t="shared" si="27"/>
        <v>82491</v>
      </c>
      <c r="F340" s="102">
        <f>SUM(F341:F346)</f>
        <v>82491</v>
      </c>
      <c r="G340" s="102">
        <f>SUM(G341:G346)</f>
        <v>0</v>
      </c>
      <c r="H340" s="102">
        <f>SUM(H341:H346)</f>
        <v>0</v>
      </c>
      <c r="I340" s="102">
        <f>SUM(I341:I346)</f>
        <v>0</v>
      </c>
      <c r="J340" s="1305" t="s">
        <v>363</v>
      </c>
      <c r="K340" s="1305" t="s">
        <v>140</v>
      </c>
    </row>
    <row r="341" spans="1:11" ht="15" customHeight="1" outlineLevel="1">
      <c r="A341" s="1305"/>
      <c r="B341" s="1306"/>
      <c r="C341" s="1305"/>
      <c r="D341" s="100">
        <v>2021</v>
      </c>
      <c r="E341" s="102">
        <f t="shared" si="27"/>
        <v>0</v>
      </c>
      <c r="F341" s="102">
        <v>0</v>
      </c>
      <c r="G341" s="102">
        <v>0</v>
      </c>
      <c r="H341" s="102">
        <v>0</v>
      </c>
      <c r="I341" s="102">
        <v>0</v>
      </c>
      <c r="J341" s="1305"/>
      <c r="K341" s="1305"/>
    </row>
    <row r="342" spans="1:11" ht="15" customHeight="1" outlineLevel="1">
      <c r="A342" s="1305"/>
      <c r="B342" s="1306"/>
      <c r="C342" s="1305"/>
      <c r="D342" s="100">
        <v>2022</v>
      </c>
      <c r="E342" s="102">
        <f t="shared" si="27"/>
        <v>82491</v>
      </c>
      <c r="F342" s="102">
        <f>56859.756+25631.244</f>
        <v>82491</v>
      </c>
      <c r="G342" s="102">
        <v>0</v>
      </c>
      <c r="H342" s="102">
        <v>0</v>
      </c>
      <c r="I342" s="102">
        <v>0</v>
      </c>
      <c r="J342" s="1305"/>
      <c r="K342" s="1305"/>
    </row>
    <row r="343" spans="1:11" ht="15" customHeight="1" outlineLevel="1">
      <c r="A343" s="1305"/>
      <c r="B343" s="1306"/>
      <c r="C343" s="1305"/>
      <c r="D343" s="100">
        <v>2023</v>
      </c>
      <c r="E343" s="102">
        <f t="shared" si="27"/>
        <v>0</v>
      </c>
      <c r="F343" s="102">
        <v>0</v>
      </c>
      <c r="G343" s="102">
        <v>0</v>
      </c>
      <c r="H343" s="102">
        <v>0</v>
      </c>
      <c r="I343" s="102">
        <v>0</v>
      </c>
      <c r="J343" s="1305"/>
      <c r="K343" s="1305"/>
    </row>
    <row r="344" spans="1:11" ht="15" customHeight="1" outlineLevel="1">
      <c r="A344" s="1305"/>
      <c r="B344" s="1306"/>
      <c r="C344" s="1305"/>
      <c r="D344" s="100">
        <v>2024</v>
      </c>
      <c r="E344" s="102">
        <f t="shared" si="27"/>
        <v>0</v>
      </c>
      <c r="F344" s="102">
        <v>0</v>
      </c>
      <c r="G344" s="102">
        <v>0</v>
      </c>
      <c r="H344" s="102">
        <v>0</v>
      </c>
      <c r="I344" s="102">
        <v>0</v>
      </c>
      <c r="J344" s="1305"/>
      <c r="K344" s="1305"/>
    </row>
    <row r="345" spans="1:11" ht="15" customHeight="1" outlineLevel="1">
      <c r="A345" s="1305"/>
      <c r="B345" s="1306"/>
      <c r="C345" s="1305"/>
      <c r="D345" s="100">
        <v>2025</v>
      </c>
      <c r="E345" s="102">
        <v>0</v>
      </c>
      <c r="F345" s="102">
        <v>0</v>
      </c>
      <c r="G345" s="102">
        <v>0</v>
      </c>
      <c r="H345" s="102">
        <v>0</v>
      </c>
      <c r="I345" s="102">
        <v>0</v>
      </c>
      <c r="J345" s="1305"/>
      <c r="K345" s="1305"/>
    </row>
    <row r="346" spans="1:11" ht="15" customHeight="1" outlineLevel="1">
      <c r="A346" s="1305"/>
      <c r="B346" s="1306"/>
      <c r="C346" s="1305"/>
      <c r="D346" s="100">
        <v>2026</v>
      </c>
      <c r="E346" s="102">
        <f t="shared" si="27"/>
        <v>0</v>
      </c>
      <c r="F346" s="102">
        <v>0</v>
      </c>
      <c r="G346" s="102">
        <v>0</v>
      </c>
      <c r="H346" s="102">
        <v>0</v>
      </c>
      <c r="I346" s="102">
        <v>0</v>
      </c>
      <c r="J346" s="1305"/>
      <c r="K346" s="1305"/>
    </row>
    <row r="347" spans="1:11" outlineLevel="1">
      <c r="A347" s="1305" t="s">
        <v>364</v>
      </c>
      <c r="B347" s="1306" t="s">
        <v>365</v>
      </c>
      <c r="C347" s="1305">
        <v>2022</v>
      </c>
      <c r="D347" s="100" t="s">
        <v>3</v>
      </c>
      <c r="E347" s="102">
        <f t="shared" si="27"/>
        <v>0</v>
      </c>
      <c r="F347" s="102">
        <f>SUM(F348:F353)</f>
        <v>0</v>
      </c>
      <c r="G347" s="102">
        <f>SUM(G348:G353)</f>
        <v>0</v>
      </c>
      <c r="H347" s="102">
        <f>SUM(H348:H353)</f>
        <v>0</v>
      </c>
      <c r="I347" s="102">
        <f>SUM(I348:I353)</f>
        <v>0</v>
      </c>
      <c r="J347" s="1305" t="s">
        <v>366</v>
      </c>
      <c r="K347" s="1305" t="s">
        <v>140</v>
      </c>
    </row>
    <row r="348" spans="1:11" outlineLevel="1">
      <c r="A348" s="1305"/>
      <c r="B348" s="1306"/>
      <c r="C348" s="1305"/>
      <c r="D348" s="100">
        <v>2021</v>
      </c>
      <c r="E348" s="102">
        <f t="shared" si="27"/>
        <v>0</v>
      </c>
      <c r="F348" s="102">
        <v>0</v>
      </c>
      <c r="G348" s="102">
        <v>0</v>
      </c>
      <c r="H348" s="102">
        <v>0</v>
      </c>
      <c r="I348" s="102">
        <v>0</v>
      </c>
      <c r="J348" s="1305"/>
      <c r="K348" s="1305"/>
    </row>
    <row r="349" spans="1:11" outlineLevel="1">
      <c r="A349" s="1305"/>
      <c r="B349" s="1306"/>
      <c r="C349" s="1305"/>
      <c r="D349" s="100">
        <v>2022</v>
      </c>
      <c r="E349" s="102">
        <f t="shared" si="27"/>
        <v>0</v>
      </c>
      <c r="F349" s="102">
        <v>0</v>
      </c>
      <c r="G349" s="102">
        <v>0</v>
      </c>
      <c r="H349" s="102">
        <v>0</v>
      </c>
      <c r="I349" s="102">
        <v>0</v>
      </c>
      <c r="J349" s="1305"/>
      <c r="K349" s="1305"/>
    </row>
    <row r="350" spans="1:11" outlineLevel="1">
      <c r="A350" s="1305"/>
      <c r="B350" s="1306"/>
      <c r="C350" s="1305"/>
      <c r="D350" s="100">
        <v>2023</v>
      </c>
      <c r="E350" s="102">
        <f t="shared" si="27"/>
        <v>0</v>
      </c>
      <c r="F350" s="102">
        <v>0</v>
      </c>
      <c r="G350" s="102">
        <v>0</v>
      </c>
      <c r="H350" s="102">
        <v>0</v>
      </c>
      <c r="I350" s="102">
        <v>0</v>
      </c>
      <c r="J350" s="1305"/>
      <c r="K350" s="1305"/>
    </row>
    <row r="351" spans="1:11" outlineLevel="1">
      <c r="A351" s="1305"/>
      <c r="B351" s="1306"/>
      <c r="C351" s="1305"/>
      <c r="D351" s="100">
        <v>2024</v>
      </c>
      <c r="E351" s="102">
        <f t="shared" si="27"/>
        <v>0</v>
      </c>
      <c r="F351" s="102">
        <v>0</v>
      </c>
      <c r="G351" s="102">
        <v>0</v>
      </c>
      <c r="H351" s="102">
        <v>0</v>
      </c>
      <c r="I351" s="102">
        <v>0</v>
      </c>
      <c r="J351" s="1305"/>
      <c r="K351" s="1305"/>
    </row>
    <row r="352" spans="1:11" outlineLevel="1">
      <c r="A352" s="1305"/>
      <c r="B352" s="1306"/>
      <c r="C352" s="1305"/>
      <c r="D352" s="100">
        <v>2025</v>
      </c>
      <c r="E352" s="102">
        <v>0</v>
      </c>
      <c r="F352" s="102">
        <v>0</v>
      </c>
      <c r="G352" s="102">
        <v>0</v>
      </c>
      <c r="H352" s="102">
        <v>0</v>
      </c>
      <c r="I352" s="102">
        <v>0</v>
      </c>
      <c r="J352" s="1305"/>
      <c r="K352" s="1305"/>
    </row>
    <row r="353" spans="1:11" outlineLevel="1">
      <c r="A353" s="1305"/>
      <c r="B353" s="1306"/>
      <c r="C353" s="1305"/>
      <c r="D353" s="100">
        <v>2026</v>
      </c>
      <c r="E353" s="102">
        <f t="shared" si="27"/>
        <v>0</v>
      </c>
      <c r="F353" s="102">
        <v>0</v>
      </c>
      <c r="G353" s="102">
        <v>0</v>
      </c>
      <c r="H353" s="102">
        <v>0</v>
      </c>
      <c r="I353" s="102">
        <v>0</v>
      </c>
      <c r="J353" s="1305"/>
      <c r="K353" s="1305"/>
    </row>
    <row r="354" spans="1:11" outlineLevel="1">
      <c r="A354" s="1305" t="s">
        <v>154</v>
      </c>
      <c r="B354" s="1306" t="s">
        <v>367</v>
      </c>
      <c r="C354" s="1305" t="s">
        <v>368</v>
      </c>
      <c r="D354" s="100" t="s">
        <v>3</v>
      </c>
      <c r="E354" s="102">
        <f t="shared" si="27"/>
        <v>8470.5329999999994</v>
      </c>
      <c r="F354" s="102">
        <f>SUM(F355:F360)</f>
        <v>8470.5329999999994</v>
      </c>
      <c r="G354" s="102">
        <f>SUM(G355:G360)</f>
        <v>0</v>
      </c>
      <c r="H354" s="102">
        <f>SUM(H355:H360)</f>
        <v>0</v>
      </c>
      <c r="I354" s="102">
        <f>SUM(I355:I360)</f>
        <v>0</v>
      </c>
      <c r="J354" s="1305" t="s">
        <v>153</v>
      </c>
      <c r="K354" s="1305" t="s">
        <v>140</v>
      </c>
    </row>
    <row r="355" spans="1:11" outlineLevel="1">
      <c r="A355" s="1305"/>
      <c r="B355" s="1306"/>
      <c r="C355" s="1305"/>
      <c r="D355" s="100">
        <v>2021</v>
      </c>
      <c r="E355" s="102">
        <f t="shared" si="27"/>
        <v>0</v>
      </c>
      <c r="F355" s="102">
        <v>0</v>
      </c>
      <c r="G355" s="102">
        <v>0</v>
      </c>
      <c r="H355" s="102">
        <v>0</v>
      </c>
      <c r="I355" s="102">
        <v>0</v>
      </c>
      <c r="J355" s="1305"/>
      <c r="K355" s="1305"/>
    </row>
    <row r="356" spans="1:11" outlineLevel="1">
      <c r="A356" s="1305"/>
      <c r="B356" s="1306"/>
      <c r="C356" s="1305"/>
      <c r="D356" s="100">
        <v>2022</v>
      </c>
      <c r="E356" s="102">
        <f t="shared" si="27"/>
        <v>3486.1039999999998</v>
      </c>
      <c r="F356" s="102">
        <f>1682.37+32.07+1771.664</f>
        <v>3486.1039999999998</v>
      </c>
      <c r="G356" s="102">
        <v>0</v>
      </c>
      <c r="H356" s="102">
        <v>0</v>
      </c>
      <c r="I356" s="102">
        <v>0</v>
      </c>
      <c r="J356" s="1305"/>
      <c r="K356" s="1305"/>
    </row>
    <row r="357" spans="1:11" outlineLevel="1">
      <c r="A357" s="1305"/>
      <c r="B357" s="1306"/>
      <c r="C357" s="1305"/>
      <c r="D357" s="100">
        <v>2023</v>
      </c>
      <c r="E357" s="102">
        <f t="shared" si="27"/>
        <v>4984.4290000000001</v>
      </c>
      <c r="F357" s="102">
        <f>3628.395+1356.034</f>
        <v>4984.4290000000001</v>
      </c>
      <c r="G357" s="102">
        <v>0</v>
      </c>
      <c r="H357" s="102">
        <v>0</v>
      </c>
      <c r="I357" s="102">
        <v>0</v>
      </c>
      <c r="J357" s="1305"/>
      <c r="K357" s="1305"/>
    </row>
    <row r="358" spans="1:11" outlineLevel="1">
      <c r="A358" s="1305"/>
      <c r="B358" s="1306"/>
      <c r="C358" s="1305"/>
      <c r="D358" s="100">
        <v>2024</v>
      </c>
      <c r="E358" s="102">
        <f t="shared" si="27"/>
        <v>0</v>
      </c>
      <c r="F358" s="102">
        <v>0</v>
      </c>
      <c r="G358" s="102">
        <v>0</v>
      </c>
      <c r="H358" s="102">
        <v>0</v>
      </c>
      <c r="I358" s="102">
        <v>0</v>
      </c>
      <c r="J358" s="1305"/>
      <c r="K358" s="1305"/>
    </row>
    <row r="359" spans="1:11" outlineLevel="1">
      <c r="A359" s="1305"/>
      <c r="B359" s="1306"/>
      <c r="C359" s="1305"/>
      <c r="D359" s="100">
        <v>2025</v>
      </c>
      <c r="E359" s="102">
        <v>0</v>
      </c>
      <c r="F359" s="102">
        <v>0</v>
      </c>
      <c r="G359" s="102">
        <v>0</v>
      </c>
      <c r="H359" s="102">
        <v>0</v>
      </c>
      <c r="I359" s="102">
        <v>0</v>
      </c>
      <c r="J359" s="1305"/>
      <c r="K359" s="1305"/>
    </row>
    <row r="360" spans="1:11" outlineLevel="1">
      <c r="A360" s="1305"/>
      <c r="B360" s="1306"/>
      <c r="C360" s="1305"/>
      <c r="D360" s="100">
        <v>2026</v>
      </c>
      <c r="E360" s="102">
        <f t="shared" si="27"/>
        <v>0</v>
      </c>
      <c r="F360" s="102">
        <v>0</v>
      </c>
      <c r="G360" s="102">
        <v>0</v>
      </c>
      <c r="H360" s="102">
        <v>0</v>
      </c>
      <c r="I360" s="102">
        <v>0</v>
      </c>
      <c r="J360" s="1305"/>
      <c r="K360" s="1305"/>
    </row>
    <row r="361" spans="1:11" ht="20.100000000000001" customHeight="1" outlineLevel="1">
      <c r="A361" s="1317" t="s">
        <v>152</v>
      </c>
      <c r="B361" s="1308" t="s">
        <v>151</v>
      </c>
      <c r="C361" s="1295" t="s">
        <v>235</v>
      </c>
      <c r="D361" s="100" t="s">
        <v>3</v>
      </c>
      <c r="E361" s="102">
        <f>SUM(E362:E367)</f>
        <v>15475.155999999999</v>
      </c>
      <c r="F361" s="102">
        <f>SUM(F362:F367)</f>
        <v>15475.155999999999</v>
      </c>
      <c r="G361" s="102">
        <f>SUM(G362:G367)</f>
        <v>0</v>
      </c>
      <c r="H361" s="102">
        <f>SUM(H362:H367)</f>
        <v>0</v>
      </c>
      <c r="I361" s="102">
        <f>SUM(I362:I367)</f>
        <v>0</v>
      </c>
      <c r="J361" s="1295" t="s">
        <v>150</v>
      </c>
      <c r="K361" s="1295" t="s">
        <v>149</v>
      </c>
    </row>
    <row r="362" spans="1:11" ht="20.100000000000001" customHeight="1" outlineLevel="1">
      <c r="A362" s="1318"/>
      <c r="B362" s="1309"/>
      <c r="C362" s="1296"/>
      <c r="D362" s="100">
        <v>2021</v>
      </c>
      <c r="E362" s="102">
        <f t="shared" ref="E362:E367" si="28">SUM(F362:I362)</f>
        <v>0</v>
      </c>
      <c r="F362" s="102">
        <v>0</v>
      </c>
      <c r="G362" s="102">
        <v>0</v>
      </c>
      <c r="H362" s="102">
        <v>0</v>
      </c>
      <c r="I362" s="102">
        <v>0</v>
      </c>
      <c r="J362" s="1296"/>
      <c r="K362" s="1296"/>
    </row>
    <row r="363" spans="1:11" ht="20.100000000000001" customHeight="1" outlineLevel="1">
      <c r="A363" s="1318"/>
      <c r="B363" s="1309"/>
      <c r="C363" s="1296"/>
      <c r="D363" s="100">
        <v>2022</v>
      </c>
      <c r="E363" s="102">
        <f t="shared" si="28"/>
        <v>0</v>
      </c>
      <c r="F363" s="102">
        <v>0</v>
      </c>
      <c r="G363" s="102">
        <v>0</v>
      </c>
      <c r="H363" s="102">
        <v>0</v>
      </c>
      <c r="I363" s="102">
        <v>0</v>
      </c>
      <c r="J363" s="1296"/>
      <c r="K363" s="1296"/>
    </row>
    <row r="364" spans="1:11" ht="20.100000000000001" customHeight="1" outlineLevel="1">
      <c r="A364" s="1318"/>
      <c r="B364" s="1309"/>
      <c r="C364" s="1296"/>
      <c r="D364" s="100">
        <v>2023</v>
      </c>
      <c r="E364" s="102">
        <f t="shared" si="28"/>
        <v>13037.137999999999</v>
      </c>
      <c r="F364" s="102">
        <f>16200.622-1807.45-1356.034</f>
        <v>13037.137999999999</v>
      </c>
      <c r="G364" s="102">
        <v>0</v>
      </c>
      <c r="H364" s="102">
        <v>0</v>
      </c>
      <c r="I364" s="102">
        <v>0</v>
      </c>
      <c r="J364" s="1296"/>
      <c r="K364" s="1296"/>
    </row>
    <row r="365" spans="1:11" ht="20.100000000000001" customHeight="1" outlineLevel="1">
      <c r="A365" s="1318"/>
      <c r="B365" s="1309"/>
      <c r="C365" s="1296"/>
      <c r="D365" s="108">
        <v>2024</v>
      </c>
      <c r="E365" s="109">
        <f t="shared" si="28"/>
        <v>2438.018</v>
      </c>
      <c r="F365" s="109">
        <f>7950.405-5512.387</f>
        <v>2438.018</v>
      </c>
      <c r="G365" s="109">
        <v>0</v>
      </c>
      <c r="H365" s="109">
        <v>0</v>
      </c>
      <c r="I365" s="109">
        <v>0</v>
      </c>
      <c r="J365" s="1296"/>
      <c r="K365" s="1296"/>
    </row>
    <row r="366" spans="1:11" ht="20.100000000000001" customHeight="1" outlineLevel="1">
      <c r="A366" s="1318"/>
      <c r="B366" s="1309"/>
      <c r="C366" s="1296"/>
      <c r="D366" s="100">
        <v>2025</v>
      </c>
      <c r="E366" s="102">
        <v>0</v>
      </c>
      <c r="F366" s="102">
        <v>0</v>
      </c>
      <c r="G366" s="102">
        <v>0</v>
      </c>
      <c r="H366" s="102">
        <v>0</v>
      </c>
      <c r="I366" s="102">
        <v>0</v>
      </c>
      <c r="J366" s="1296"/>
      <c r="K366" s="1296"/>
    </row>
    <row r="367" spans="1:11" ht="20.100000000000001" customHeight="1" outlineLevel="1">
      <c r="A367" s="1318"/>
      <c r="B367" s="1309"/>
      <c r="C367" s="1296"/>
      <c r="D367" s="100">
        <v>2026</v>
      </c>
      <c r="E367" s="102">
        <f t="shared" si="28"/>
        <v>0</v>
      </c>
      <c r="F367" s="102">
        <v>0</v>
      </c>
      <c r="G367" s="102">
        <v>0</v>
      </c>
      <c r="H367" s="102">
        <v>0</v>
      </c>
      <c r="I367" s="102">
        <v>0</v>
      </c>
      <c r="J367" s="1296"/>
      <c r="K367" s="1296"/>
    </row>
    <row r="368" spans="1:11" ht="20.100000000000001" customHeight="1" outlineLevel="1">
      <c r="A368" s="1316" t="s">
        <v>369</v>
      </c>
      <c r="B368" s="1315" t="s">
        <v>370</v>
      </c>
      <c r="C368" s="1295" t="s">
        <v>371</v>
      </c>
      <c r="D368" s="100" t="s">
        <v>3</v>
      </c>
      <c r="E368" s="102">
        <f>SUM(E369:E374)</f>
        <v>80000</v>
      </c>
      <c r="F368" s="102">
        <f>SUM(F369:F374)</f>
        <v>80000</v>
      </c>
      <c r="G368" s="102">
        <f>SUM(G369:G374)</f>
        <v>0</v>
      </c>
      <c r="H368" s="102">
        <f>SUM(H369:H374)</f>
        <v>0</v>
      </c>
      <c r="I368" s="102">
        <f>SUM(I369:I374)</f>
        <v>0</v>
      </c>
      <c r="J368" s="1305" t="s">
        <v>372</v>
      </c>
      <c r="K368" s="1305" t="s">
        <v>149</v>
      </c>
    </row>
    <row r="369" spans="1:11" ht="20.100000000000001" customHeight="1" outlineLevel="1">
      <c r="A369" s="1316"/>
      <c r="B369" s="1315"/>
      <c r="C369" s="1296"/>
      <c r="D369" s="100">
        <v>2021</v>
      </c>
      <c r="E369" s="102">
        <f t="shared" ref="E369:E374" si="29">SUM(F369:I369)</f>
        <v>0</v>
      </c>
      <c r="F369" s="102">
        <v>0</v>
      </c>
      <c r="G369" s="102">
        <v>0</v>
      </c>
      <c r="H369" s="102">
        <v>0</v>
      </c>
      <c r="I369" s="102">
        <v>0</v>
      </c>
      <c r="J369" s="1305"/>
      <c r="K369" s="1305"/>
    </row>
    <row r="370" spans="1:11" ht="20.100000000000001" customHeight="1" outlineLevel="1">
      <c r="A370" s="1316"/>
      <c r="B370" s="1315"/>
      <c r="C370" s="1296"/>
      <c r="D370" s="100">
        <v>2022</v>
      </c>
      <c r="E370" s="102">
        <f t="shared" si="29"/>
        <v>0</v>
      </c>
      <c r="F370" s="102">
        <v>0</v>
      </c>
      <c r="G370" s="102">
        <v>0</v>
      </c>
      <c r="H370" s="102">
        <v>0</v>
      </c>
      <c r="I370" s="102">
        <v>0</v>
      </c>
      <c r="J370" s="1305"/>
      <c r="K370" s="1305"/>
    </row>
    <row r="371" spans="1:11" ht="20.100000000000001" customHeight="1" outlineLevel="1">
      <c r="A371" s="1316"/>
      <c r="B371" s="1315"/>
      <c r="C371" s="1296"/>
      <c r="D371" s="100">
        <v>2023</v>
      </c>
      <c r="E371" s="102">
        <f t="shared" si="29"/>
        <v>0</v>
      </c>
      <c r="F371" s="102">
        <v>0</v>
      </c>
      <c r="G371" s="102">
        <v>0</v>
      </c>
      <c r="H371" s="102">
        <v>0</v>
      </c>
      <c r="I371" s="102">
        <v>0</v>
      </c>
      <c r="J371" s="1305"/>
      <c r="K371" s="1305"/>
    </row>
    <row r="372" spans="1:11" ht="20.100000000000001" customHeight="1" outlineLevel="1">
      <c r="A372" s="1316"/>
      <c r="B372" s="1315"/>
      <c r="C372" s="1296"/>
      <c r="D372" s="108">
        <v>2024</v>
      </c>
      <c r="E372" s="109">
        <f t="shared" si="29"/>
        <v>80000</v>
      </c>
      <c r="F372" s="109">
        <v>80000</v>
      </c>
      <c r="G372" s="109">
        <v>0</v>
      </c>
      <c r="H372" s="109">
        <v>0</v>
      </c>
      <c r="I372" s="109">
        <v>0</v>
      </c>
      <c r="J372" s="1305"/>
      <c r="K372" s="1305"/>
    </row>
    <row r="373" spans="1:11" ht="20.100000000000001" customHeight="1" outlineLevel="1">
      <c r="A373" s="1316"/>
      <c r="B373" s="1315"/>
      <c r="C373" s="1296"/>
      <c r="D373" s="100">
        <v>2025</v>
      </c>
      <c r="E373" s="102">
        <v>0</v>
      </c>
      <c r="F373" s="102">
        <v>0</v>
      </c>
      <c r="G373" s="102">
        <v>0</v>
      </c>
      <c r="H373" s="102">
        <v>0</v>
      </c>
      <c r="I373" s="102">
        <v>0</v>
      </c>
      <c r="J373" s="1305"/>
      <c r="K373" s="1305"/>
    </row>
    <row r="374" spans="1:11" ht="20.100000000000001" customHeight="1" outlineLevel="1">
      <c r="A374" s="1316"/>
      <c r="B374" s="1315"/>
      <c r="C374" s="1297"/>
      <c r="D374" s="100">
        <v>2026</v>
      </c>
      <c r="E374" s="102">
        <f t="shared" si="29"/>
        <v>0</v>
      </c>
      <c r="F374" s="102">
        <v>0</v>
      </c>
      <c r="G374" s="102">
        <v>0</v>
      </c>
      <c r="H374" s="102">
        <v>0</v>
      </c>
      <c r="I374" s="102">
        <v>0</v>
      </c>
      <c r="J374" s="1305"/>
      <c r="K374" s="1305"/>
    </row>
    <row r="375" spans="1:11" ht="36.75" customHeight="1" outlineLevel="1">
      <c r="A375" s="1295" t="s">
        <v>373</v>
      </c>
      <c r="B375" s="1308" t="s">
        <v>119</v>
      </c>
      <c r="C375" s="1295" t="s">
        <v>235</v>
      </c>
      <c r="D375" s="100" t="s">
        <v>3</v>
      </c>
      <c r="E375" s="102">
        <f t="shared" si="27"/>
        <v>374507.34684000001</v>
      </c>
      <c r="F375" s="102">
        <f>SUM(F376:F381)</f>
        <v>267600</v>
      </c>
      <c r="G375" s="102">
        <f>SUM(G376:G380)</f>
        <v>0</v>
      </c>
      <c r="H375" s="102">
        <f>SUM(H376:H381)</f>
        <v>106907.34684</v>
      </c>
      <c r="I375" s="102">
        <f>SUM(I376:I380)</f>
        <v>0</v>
      </c>
      <c r="J375" s="1295" t="s">
        <v>148</v>
      </c>
      <c r="K375" s="1295" t="s">
        <v>92</v>
      </c>
    </row>
    <row r="376" spans="1:11" ht="30.75" customHeight="1" outlineLevel="1">
      <c r="A376" s="1296"/>
      <c r="B376" s="1309"/>
      <c r="C376" s="1296"/>
      <c r="D376" s="100">
        <v>2021</v>
      </c>
      <c r="E376" s="102">
        <f t="shared" si="27"/>
        <v>54717.700210000003</v>
      </c>
      <c r="F376" s="102">
        <f t="shared" ref="F376:I379" si="30">F390+F383</f>
        <v>41400</v>
      </c>
      <c r="G376" s="102">
        <f t="shared" si="30"/>
        <v>0</v>
      </c>
      <c r="H376" s="102">
        <f t="shared" si="30"/>
        <v>13317.700210000001</v>
      </c>
      <c r="I376" s="102">
        <f t="shared" si="30"/>
        <v>0</v>
      </c>
      <c r="J376" s="1296"/>
      <c r="K376" s="1296"/>
    </row>
    <row r="377" spans="1:11" ht="40.5" customHeight="1" outlineLevel="1">
      <c r="A377" s="1296"/>
      <c r="B377" s="1309"/>
      <c r="C377" s="1296"/>
      <c r="D377" s="100">
        <v>2022</v>
      </c>
      <c r="E377" s="102">
        <f t="shared" si="27"/>
        <v>67577.179999999993</v>
      </c>
      <c r="F377" s="102">
        <f t="shared" si="30"/>
        <v>47800</v>
      </c>
      <c r="G377" s="102">
        <f t="shared" si="30"/>
        <v>0</v>
      </c>
      <c r="H377" s="102">
        <f t="shared" si="30"/>
        <v>19777.18</v>
      </c>
      <c r="I377" s="102">
        <f t="shared" si="30"/>
        <v>0</v>
      </c>
      <c r="J377" s="1296"/>
      <c r="K377" s="1296"/>
    </row>
    <row r="378" spans="1:11" ht="35.25" customHeight="1" outlineLevel="1">
      <c r="A378" s="1296"/>
      <c r="B378" s="1309"/>
      <c r="C378" s="1296"/>
      <c r="D378" s="100">
        <v>2023</v>
      </c>
      <c r="E378" s="102">
        <f t="shared" si="27"/>
        <v>67577.23</v>
      </c>
      <c r="F378" s="102">
        <f t="shared" si="30"/>
        <v>47800</v>
      </c>
      <c r="G378" s="102">
        <f t="shared" si="30"/>
        <v>0</v>
      </c>
      <c r="H378" s="102">
        <f t="shared" si="30"/>
        <v>19777.23</v>
      </c>
      <c r="I378" s="102">
        <f t="shared" si="30"/>
        <v>0</v>
      </c>
      <c r="J378" s="1296"/>
      <c r="K378" s="1296"/>
    </row>
    <row r="379" spans="1:11" ht="30" customHeight="1" outlineLevel="1">
      <c r="A379" s="1296"/>
      <c r="B379" s="1309"/>
      <c r="C379" s="1296"/>
      <c r="D379" s="108">
        <v>2024</v>
      </c>
      <c r="E379" s="167">
        <f t="shared" si="27"/>
        <v>68656.19</v>
      </c>
      <c r="F379" s="167">
        <f t="shared" si="30"/>
        <v>47800</v>
      </c>
      <c r="G379" s="109">
        <f t="shared" si="30"/>
        <v>0</v>
      </c>
      <c r="H379" s="109">
        <f t="shared" si="30"/>
        <v>20856.189999999999</v>
      </c>
      <c r="I379" s="109">
        <f t="shared" si="30"/>
        <v>0</v>
      </c>
      <c r="J379" s="1296"/>
      <c r="K379" s="1296"/>
    </row>
    <row r="380" spans="1:11" ht="33.75" customHeight="1" outlineLevel="1">
      <c r="A380" s="1296"/>
      <c r="B380" s="1309"/>
      <c r="C380" s="1296"/>
      <c r="D380" s="100">
        <v>2025</v>
      </c>
      <c r="E380" s="102">
        <f t="shared" si="27"/>
        <v>57989.523329999996</v>
      </c>
      <c r="F380" s="102">
        <f>F394+F388</f>
        <v>41400</v>
      </c>
      <c r="G380" s="102">
        <f>G394+G388</f>
        <v>0</v>
      </c>
      <c r="H380" s="102">
        <f>H394+H388</f>
        <v>16589.52333</v>
      </c>
      <c r="I380" s="102">
        <f>I394+I388</f>
        <v>0</v>
      </c>
      <c r="J380" s="1296"/>
      <c r="K380" s="1296"/>
    </row>
    <row r="381" spans="1:11" ht="21" customHeight="1" outlineLevel="1">
      <c r="A381" s="1297"/>
      <c r="B381" s="1310"/>
      <c r="C381" s="1297"/>
      <c r="D381" s="100">
        <v>2026</v>
      </c>
      <c r="E381" s="102">
        <f>SUM(F381:I381)</f>
        <v>57989.523300000001</v>
      </c>
      <c r="F381" s="102">
        <f>SUM(F395)</f>
        <v>41400</v>
      </c>
      <c r="G381" s="102">
        <f t="shared" ref="G381:I381" si="31">SUM(G395)</f>
        <v>0</v>
      </c>
      <c r="H381" s="102">
        <f t="shared" si="31"/>
        <v>16589.523300000001</v>
      </c>
      <c r="I381" s="102">
        <f t="shared" si="31"/>
        <v>0</v>
      </c>
      <c r="J381" s="1297"/>
      <c r="K381" s="1297"/>
    </row>
    <row r="382" spans="1:11" ht="17.100000000000001" customHeight="1" outlineLevel="1">
      <c r="A382" s="1295" t="s">
        <v>374</v>
      </c>
      <c r="B382" s="1308" t="s">
        <v>120</v>
      </c>
      <c r="C382" s="1295" t="s">
        <v>371</v>
      </c>
      <c r="D382" s="100" t="s">
        <v>3</v>
      </c>
      <c r="E382" s="102">
        <f>SUM(E383:E388)</f>
        <v>40159.935509999996</v>
      </c>
      <c r="F382" s="102">
        <f>SUM(F383:F388)</f>
        <v>25600</v>
      </c>
      <c r="G382" s="102">
        <f>SUM(G383:G388)</f>
        <v>0</v>
      </c>
      <c r="H382" s="102">
        <f>SUM(H383:H388)</f>
        <v>14559.935509999999</v>
      </c>
      <c r="I382" s="102">
        <f>SUM(I383:I388)</f>
        <v>0</v>
      </c>
      <c r="J382" s="1295" t="s">
        <v>77</v>
      </c>
      <c r="K382" s="1295" t="s">
        <v>92</v>
      </c>
    </row>
    <row r="383" spans="1:11" ht="27" customHeight="1" outlineLevel="1">
      <c r="A383" s="1296"/>
      <c r="B383" s="1309"/>
      <c r="C383" s="1296"/>
      <c r="D383" s="100">
        <v>2021</v>
      </c>
      <c r="E383" s="102">
        <f t="shared" ref="E383:E388" si="32">SUM(F383:I383)</f>
        <v>9800.9188400000003</v>
      </c>
      <c r="F383" s="102">
        <v>6400</v>
      </c>
      <c r="G383" s="102">
        <v>0</v>
      </c>
      <c r="H383" s="102">
        <v>3400.9188399999998</v>
      </c>
      <c r="I383" s="102">
        <v>0</v>
      </c>
      <c r="J383" s="1296"/>
      <c r="K383" s="1296"/>
    </row>
    <row r="384" spans="1:11" ht="23.25" customHeight="1" outlineLevel="1">
      <c r="A384" s="1296"/>
      <c r="B384" s="1309"/>
      <c r="C384" s="1296"/>
      <c r="D384" s="100">
        <v>2022</v>
      </c>
      <c r="E384" s="102">
        <f t="shared" si="32"/>
        <v>9846.15</v>
      </c>
      <c r="F384" s="102">
        <v>6400</v>
      </c>
      <c r="G384" s="102">
        <v>0</v>
      </c>
      <c r="H384" s="102">
        <v>3446.15</v>
      </c>
      <c r="I384" s="102">
        <v>0</v>
      </c>
      <c r="J384" s="1296"/>
      <c r="K384" s="1296"/>
    </row>
    <row r="385" spans="1:11" ht="25.5" customHeight="1" outlineLevel="1">
      <c r="A385" s="1296"/>
      <c r="B385" s="1309"/>
      <c r="C385" s="1296"/>
      <c r="D385" s="100">
        <v>2023</v>
      </c>
      <c r="E385" s="102">
        <f t="shared" si="32"/>
        <v>9846.2000000000007</v>
      </c>
      <c r="F385" s="102">
        <v>6400</v>
      </c>
      <c r="G385" s="102">
        <v>0</v>
      </c>
      <c r="H385" s="102">
        <v>3446.2</v>
      </c>
      <c r="I385" s="102">
        <v>0</v>
      </c>
      <c r="J385" s="1296"/>
      <c r="K385" s="1296"/>
    </row>
    <row r="386" spans="1:11" ht="25.5" customHeight="1" outlineLevel="1">
      <c r="A386" s="1296"/>
      <c r="B386" s="1309"/>
      <c r="C386" s="1296"/>
      <c r="D386" s="108">
        <v>2024</v>
      </c>
      <c r="E386" s="109">
        <f t="shared" si="32"/>
        <v>10666.666669999999</v>
      </c>
      <c r="F386" s="109">
        <v>6400</v>
      </c>
      <c r="G386" s="109">
        <v>0</v>
      </c>
      <c r="H386" s="109">
        <v>4266.6666699999996</v>
      </c>
      <c r="I386" s="109">
        <v>0</v>
      </c>
      <c r="J386" s="1296"/>
      <c r="K386" s="1296"/>
    </row>
    <row r="387" spans="1:11" ht="25.5" customHeight="1" outlineLevel="1">
      <c r="A387" s="1296"/>
      <c r="B387" s="1309"/>
      <c r="C387" s="1296"/>
      <c r="D387" s="100">
        <v>2025</v>
      </c>
      <c r="E387" s="102">
        <v>0</v>
      </c>
      <c r="F387" s="102">
        <v>0</v>
      </c>
      <c r="G387" s="102">
        <v>0</v>
      </c>
      <c r="H387" s="102">
        <v>0</v>
      </c>
      <c r="I387" s="102">
        <v>0</v>
      </c>
      <c r="J387" s="1296"/>
      <c r="K387" s="1296"/>
    </row>
    <row r="388" spans="1:11" ht="21.75" customHeight="1" outlineLevel="1">
      <c r="A388" s="1296"/>
      <c r="B388" s="1309"/>
      <c r="C388" s="1296"/>
      <c r="D388" s="100">
        <v>2026</v>
      </c>
      <c r="E388" s="102">
        <f t="shared" si="32"/>
        <v>0</v>
      </c>
      <c r="F388" s="102">
        <v>0</v>
      </c>
      <c r="G388" s="102">
        <v>0</v>
      </c>
      <c r="H388" s="102">
        <v>0</v>
      </c>
      <c r="I388" s="102">
        <v>0</v>
      </c>
      <c r="J388" s="1296"/>
      <c r="K388" s="1296"/>
    </row>
    <row r="389" spans="1:11" ht="20.100000000000001" customHeight="1" outlineLevel="1">
      <c r="A389" s="1295" t="s">
        <v>375</v>
      </c>
      <c r="B389" s="1308" t="s">
        <v>78</v>
      </c>
      <c r="C389" s="1295" t="s">
        <v>235</v>
      </c>
      <c r="D389" s="100" t="s">
        <v>3</v>
      </c>
      <c r="E389" s="102">
        <f>SUM(E390:E394)</f>
        <v>276357.88802999997</v>
      </c>
      <c r="F389" s="102">
        <f>SUM(F390:F394)</f>
        <v>200600</v>
      </c>
      <c r="G389" s="102">
        <f>SUM(G390:G394)</f>
        <v>0</v>
      </c>
      <c r="H389" s="102">
        <f>SUM(H390:H394)</f>
        <v>75757.888030000002</v>
      </c>
      <c r="I389" s="102">
        <f>SUM(I390:I394)</f>
        <v>0</v>
      </c>
      <c r="J389" s="1295" t="s">
        <v>79</v>
      </c>
      <c r="K389" s="1295" t="s">
        <v>92</v>
      </c>
    </row>
    <row r="390" spans="1:11" ht="20.100000000000001" customHeight="1" outlineLevel="1">
      <c r="A390" s="1296"/>
      <c r="B390" s="1309"/>
      <c r="C390" s="1296"/>
      <c r="D390" s="100">
        <v>2021</v>
      </c>
      <c r="E390" s="102">
        <f t="shared" ref="E390:E428" si="33">SUM(F390:I390)</f>
        <v>44916.781369999997</v>
      </c>
      <c r="F390" s="102">
        <v>35000</v>
      </c>
      <c r="G390" s="102">
        <v>0</v>
      </c>
      <c r="H390" s="102">
        <v>9916.7813700000006</v>
      </c>
      <c r="I390" s="102">
        <v>0</v>
      </c>
      <c r="J390" s="1296"/>
      <c r="K390" s="1296"/>
    </row>
    <row r="391" spans="1:11" ht="20.100000000000001" customHeight="1" outlineLevel="1">
      <c r="A391" s="1296"/>
      <c r="B391" s="1309"/>
      <c r="C391" s="1296"/>
      <c r="D391" s="100">
        <v>2022</v>
      </c>
      <c r="E391" s="102">
        <f t="shared" si="33"/>
        <v>57731.03</v>
      </c>
      <c r="F391" s="102">
        <v>41400</v>
      </c>
      <c r="G391" s="102">
        <v>0</v>
      </c>
      <c r="H391" s="102">
        <v>16331.03</v>
      </c>
      <c r="I391" s="102">
        <v>0</v>
      </c>
      <c r="J391" s="1296"/>
      <c r="K391" s="1296"/>
    </row>
    <row r="392" spans="1:11" ht="20.100000000000001" customHeight="1" outlineLevel="1">
      <c r="A392" s="1296"/>
      <c r="B392" s="1309"/>
      <c r="C392" s="1296"/>
      <c r="D392" s="100">
        <v>2023</v>
      </c>
      <c r="E392" s="102">
        <f t="shared" si="33"/>
        <v>57731.03</v>
      </c>
      <c r="F392" s="102">
        <v>41400</v>
      </c>
      <c r="G392" s="102">
        <v>0</v>
      </c>
      <c r="H392" s="102">
        <v>16331.03</v>
      </c>
      <c r="I392" s="102">
        <v>0</v>
      </c>
      <c r="J392" s="1296"/>
      <c r="K392" s="1296"/>
    </row>
    <row r="393" spans="1:11" ht="20.100000000000001" customHeight="1" outlineLevel="1">
      <c r="A393" s="1296"/>
      <c r="B393" s="1309"/>
      <c r="C393" s="1296"/>
      <c r="D393" s="108">
        <v>2024</v>
      </c>
      <c r="E393" s="109">
        <f t="shared" si="33"/>
        <v>57989.523329999996</v>
      </c>
      <c r="F393" s="109">
        <v>41400</v>
      </c>
      <c r="G393" s="109">
        <v>0</v>
      </c>
      <c r="H393" s="109">
        <v>16589.52333</v>
      </c>
      <c r="I393" s="109">
        <v>0</v>
      </c>
      <c r="J393" s="1296"/>
      <c r="K393" s="1296"/>
    </row>
    <row r="394" spans="1:11" ht="20.100000000000001" customHeight="1" outlineLevel="1">
      <c r="A394" s="1296"/>
      <c r="B394" s="1309"/>
      <c r="C394" s="1296"/>
      <c r="D394" s="100">
        <v>2025</v>
      </c>
      <c r="E394" s="102">
        <f t="shared" si="33"/>
        <v>57989.523329999996</v>
      </c>
      <c r="F394" s="102">
        <v>41400</v>
      </c>
      <c r="G394" s="102">
        <v>0</v>
      </c>
      <c r="H394" s="102">
        <v>16589.52333</v>
      </c>
      <c r="I394" s="102">
        <v>0</v>
      </c>
      <c r="J394" s="1296"/>
      <c r="K394" s="1296"/>
    </row>
    <row r="395" spans="1:11" ht="20.100000000000001" customHeight="1" outlineLevel="1">
      <c r="A395" s="1297"/>
      <c r="B395" s="1310"/>
      <c r="C395" s="1297"/>
      <c r="D395" s="100">
        <v>2026</v>
      </c>
      <c r="E395" s="102">
        <f>SUM(F395:I395)</f>
        <v>57989.523300000001</v>
      </c>
      <c r="F395" s="102">
        <v>41400</v>
      </c>
      <c r="G395" s="102"/>
      <c r="H395" s="102">
        <v>16589.523300000001</v>
      </c>
      <c r="I395" s="102"/>
      <c r="J395" s="1297"/>
      <c r="K395" s="1297"/>
    </row>
    <row r="396" spans="1:11" ht="15.75" customHeight="1" outlineLevel="1">
      <c r="A396" s="1305" t="s">
        <v>376</v>
      </c>
      <c r="B396" s="1315" t="s">
        <v>55</v>
      </c>
      <c r="C396" s="1305" t="s">
        <v>297</v>
      </c>
      <c r="D396" s="100" t="s">
        <v>3</v>
      </c>
      <c r="E396" s="102">
        <f t="shared" si="33"/>
        <v>67874.04681</v>
      </c>
      <c r="F396" s="102">
        <f>SUM(F397:F401)</f>
        <v>8249.2634400000006</v>
      </c>
      <c r="G396" s="102">
        <f>SUM(G397:G401)</f>
        <v>59624.783369999997</v>
      </c>
      <c r="H396" s="102">
        <f>SUM(H397:H401)</f>
        <v>0</v>
      </c>
      <c r="I396" s="102">
        <f>SUM(I397:I401)</f>
        <v>0</v>
      </c>
      <c r="J396" s="1307" t="s">
        <v>377</v>
      </c>
      <c r="K396" s="1307" t="s">
        <v>241</v>
      </c>
    </row>
    <row r="397" spans="1:11" outlineLevel="1">
      <c r="A397" s="1305"/>
      <c r="B397" s="1315"/>
      <c r="C397" s="1305"/>
      <c r="D397" s="100">
        <v>2021</v>
      </c>
      <c r="E397" s="102">
        <f t="shared" si="33"/>
        <v>27296.712679999997</v>
      </c>
      <c r="F397" s="102">
        <f t="shared" ref="F397:I400" si="34">F403+F409</f>
        <v>3105.6126800000002</v>
      </c>
      <c r="G397" s="102">
        <f t="shared" si="34"/>
        <v>24191.1</v>
      </c>
      <c r="H397" s="102">
        <f t="shared" si="34"/>
        <v>0</v>
      </c>
      <c r="I397" s="102">
        <f t="shared" si="34"/>
        <v>0</v>
      </c>
      <c r="J397" s="1307"/>
      <c r="K397" s="1307"/>
    </row>
    <row r="398" spans="1:11" outlineLevel="1">
      <c r="A398" s="1305"/>
      <c r="B398" s="1315"/>
      <c r="C398" s="1305"/>
      <c r="D398" s="100">
        <v>2022</v>
      </c>
      <c r="E398" s="102">
        <f t="shared" si="33"/>
        <v>18900.377</v>
      </c>
      <c r="F398" s="102">
        <f t="shared" si="34"/>
        <v>2711.0770000000002</v>
      </c>
      <c r="G398" s="102">
        <f t="shared" si="34"/>
        <v>16189.3</v>
      </c>
      <c r="H398" s="102">
        <f t="shared" si="34"/>
        <v>0</v>
      </c>
      <c r="I398" s="102">
        <f t="shared" si="34"/>
        <v>0</v>
      </c>
      <c r="J398" s="1307"/>
      <c r="K398" s="1307"/>
    </row>
    <row r="399" spans="1:11" outlineLevel="1">
      <c r="A399" s="1305"/>
      <c r="B399" s="1315"/>
      <c r="C399" s="1305"/>
      <c r="D399" s="100">
        <v>2023</v>
      </c>
      <c r="E399" s="102">
        <f t="shared" si="33"/>
        <v>11802.74826</v>
      </c>
      <c r="F399" s="102">
        <f t="shared" si="34"/>
        <v>708.16489000000001</v>
      </c>
      <c r="G399" s="102">
        <f t="shared" si="34"/>
        <v>11094.58337</v>
      </c>
      <c r="H399" s="102">
        <f t="shared" si="34"/>
        <v>0</v>
      </c>
      <c r="I399" s="102">
        <f t="shared" si="34"/>
        <v>0</v>
      </c>
      <c r="J399" s="1307"/>
      <c r="K399" s="1307"/>
    </row>
    <row r="400" spans="1:11" outlineLevel="1">
      <c r="A400" s="1305"/>
      <c r="B400" s="1315"/>
      <c r="C400" s="1305"/>
      <c r="D400" s="168">
        <v>2024</v>
      </c>
      <c r="E400" s="167">
        <f t="shared" si="33"/>
        <v>9874.2088700000004</v>
      </c>
      <c r="F400" s="167">
        <f>F406+F412</f>
        <v>1724.40887</v>
      </c>
      <c r="G400" s="167">
        <f t="shared" si="34"/>
        <v>8149.8</v>
      </c>
      <c r="H400" s="167">
        <f t="shared" si="34"/>
        <v>0</v>
      </c>
      <c r="I400" s="167">
        <f t="shared" si="34"/>
        <v>0</v>
      </c>
      <c r="J400" s="1307"/>
      <c r="K400" s="1307"/>
    </row>
    <row r="401" spans="1:11" outlineLevel="1">
      <c r="A401" s="1305"/>
      <c r="B401" s="1315"/>
      <c r="C401" s="1305"/>
      <c r="D401" s="100">
        <v>2025</v>
      </c>
      <c r="E401" s="102">
        <f t="shared" si="33"/>
        <v>0</v>
      </c>
      <c r="F401" s="102">
        <f>F407+F414</f>
        <v>0</v>
      </c>
      <c r="G401" s="102">
        <f>G407+G414</f>
        <v>0</v>
      </c>
      <c r="H401" s="102">
        <f>H407+H414</f>
        <v>0</v>
      </c>
      <c r="I401" s="102">
        <f>I407+I414</f>
        <v>0</v>
      </c>
      <c r="J401" s="1307"/>
      <c r="K401" s="1307"/>
    </row>
    <row r="402" spans="1:11" ht="19.5" customHeight="1" outlineLevel="1">
      <c r="A402" s="1305" t="s">
        <v>378</v>
      </c>
      <c r="B402" s="1315" t="s">
        <v>147</v>
      </c>
      <c r="C402" s="1305" t="s">
        <v>297</v>
      </c>
      <c r="D402" s="100" t="s">
        <v>3</v>
      </c>
      <c r="E402" s="102">
        <f t="shared" si="33"/>
        <v>45585.326959999999</v>
      </c>
      <c r="F402" s="102">
        <f>SUM(F403:F407)</f>
        <v>2735.0435899999998</v>
      </c>
      <c r="G402" s="102">
        <f>SUM(G403:G407)</f>
        <v>42850.283369999997</v>
      </c>
      <c r="H402" s="102">
        <f>SUM(H403:H407)</f>
        <v>0</v>
      </c>
      <c r="I402" s="102">
        <f>SUM(I403:I407)</f>
        <v>0</v>
      </c>
      <c r="J402" s="1307" t="s">
        <v>379</v>
      </c>
      <c r="K402" s="1307" t="s">
        <v>92</v>
      </c>
    </row>
    <row r="403" spans="1:11" ht="15" customHeight="1" outlineLevel="1">
      <c r="A403" s="1305"/>
      <c r="B403" s="1315"/>
      <c r="C403" s="1305"/>
      <c r="D403" s="100">
        <v>2021</v>
      </c>
      <c r="E403" s="102">
        <f t="shared" si="33"/>
        <v>20914.599999999999</v>
      </c>
      <c r="F403" s="102">
        <v>1254.8</v>
      </c>
      <c r="G403" s="102">
        <v>19659.8</v>
      </c>
      <c r="H403" s="102">
        <v>0</v>
      </c>
      <c r="I403" s="102">
        <v>0</v>
      </c>
      <c r="J403" s="1307"/>
      <c r="K403" s="1307"/>
    </row>
    <row r="404" spans="1:11" ht="16.5" customHeight="1" outlineLevel="1">
      <c r="A404" s="1305"/>
      <c r="B404" s="1315"/>
      <c r="C404" s="1305"/>
      <c r="D404" s="100">
        <v>2022</v>
      </c>
      <c r="E404" s="102">
        <f t="shared" si="33"/>
        <v>12043.617</v>
      </c>
      <c r="F404" s="102">
        <v>722.61699999999996</v>
      </c>
      <c r="G404" s="102">
        <v>11321</v>
      </c>
      <c r="H404" s="102">
        <v>0</v>
      </c>
      <c r="I404" s="102">
        <v>0</v>
      </c>
      <c r="J404" s="1307"/>
      <c r="K404" s="1307"/>
    </row>
    <row r="405" spans="1:11" ht="14.25" customHeight="1" outlineLevel="1">
      <c r="A405" s="1305"/>
      <c r="B405" s="1315"/>
      <c r="C405" s="1305"/>
      <c r="D405" s="100">
        <v>2023</v>
      </c>
      <c r="E405" s="102">
        <f t="shared" si="33"/>
        <v>7674.45039</v>
      </c>
      <c r="F405" s="102">
        <v>460.46701999999999</v>
      </c>
      <c r="G405" s="102">
        <v>7213.9833699999999</v>
      </c>
      <c r="H405" s="102">
        <v>0</v>
      </c>
      <c r="I405" s="102">
        <v>0</v>
      </c>
      <c r="J405" s="1307"/>
      <c r="K405" s="1307"/>
    </row>
    <row r="406" spans="1:11" ht="12.75" customHeight="1" outlineLevel="1">
      <c r="A406" s="1305"/>
      <c r="B406" s="1315"/>
      <c r="C406" s="1305"/>
      <c r="D406" s="108">
        <v>2024</v>
      </c>
      <c r="E406" s="109">
        <f t="shared" si="33"/>
        <v>4952.6595699999998</v>
      </c>
      <c r="F406" s="109">
        <v>297.15956999999997</v>
      </c>
      <c r="G406" s="109">
        <v>4655.5</v>
      </c>
      <c r="H406" s="109">
        <v>0</v>
      </c>
      <c r="I406" s="109">
        <v>0</v>
      </c>
      <c r="J406" s="1307"/>
      <c r="K406" s="1307"/>
    </row>
    <row r="407" spans="1:11" ht="14.25" customHeight="1" outlineLevel="1">
      <c r="A407" s="1305"/>
      <c r="B407" s="1315"/>
      <c r="C407" s="1305"/>
      <c r="D407" s="100">
        <v>2025</v>
      </c>
      <c r="E407" s="102">
        <f t="shared" si="33"/>
        <v>0</v>
      </c>
      <c r="F407" s="102">
        <v>0</v>
      </c>
      <c r="G407" s="102">
        <v>0</v>
      </c>
      <c r="H407" s="102">
        <v>0</v>
      </c>
      <c r="I407" s="102">
        <v>0</v>
      </c>
      <c r="J407" s="1307"/>
      <c r="K407" s="1307"/>
    </row>
    <row r="408" spans="1:11" ht="15.95" customHeight="1">
      <c r="A408" s="1305" t="s">
        <v>380</v>
      </c>
      <c r="B408" s="1315" t="s">
        <v>146</v>
      </c>
      <c r="C408" s="1305" t="s">
        <v>297</v>
      </c>
      <c r="D408" s="100" t="s">
        <v>3</v>
      </c>
      <c r="E408" s="102">
        <f t="shared" si="33"/>
        <v>22288.719850000001</v>
      </c>
      <c r="F408" s="102">
        <f>SUM(F409:F414)</f>
        <v>5514.2198499999995</v>
      </c>
      <c r="G408" s="102">
        <f>SUM(G409:G414)</f>
        <v>16774.5</v>
      </c>
      <c r="H408" s="102">
        <f>SUM(H409:H414)</f>
        <v>0</v>
      </c>
      <c r="I408" s="102">
        <f>SUM(I409:I414)</f>
        <v>0</v>
      </c>
      <c r="J408" s="1305" t="s">
        <v>145</v>
      </c>
      <c r="K408" s="1305" t="s">
        <v>241</v>
      </c>
    </row>
    <row r="409" spans="1:11" ht="15.95" customHeight="1">
      <c r="A409" s="1305"/>
      <c r="B409" s="1315"/>
      <c r="C409" s="1305"/>
      <c r="D409" s="100">
        <v>2021</v>
      </c>
      <c r="E409" s="102">
        <f t="shared" si="33"/>
        <v>6382.1126800000002</v>
      </c>
      <c r="F409" s="102">
        <v>1850.81268</v>
      </c>
      <c r="G409" s="102">
        <v>4531.3</v>
      </c>
      <c r="H409" s="102">
        <v>0</v>
      </c>
      <c r="I409" s="102">
        <v>0</v>
      </c>
      <c r="J409" s="1305"/>
      <c r="K409" s="1305"/>
    </row>
    <row r="410" spans="1:11" ht="15.95" customHeight="1">
      <c r="A410" s="1305"/>
      <c r="B410" s="1315"/>
      <c r="C410" s="1305"/>
      <c r="D410" s="100">
        <v>2022</v>
      </c>
      <c r="E410" s="102">
        <f t="shared" si="33"/>
        <v>6856.76</v>
      </c>
      <c r="F410" s="102">
        <v>1988.46</v>
      </c>
      <c r="G410" s="102">
        <v>4868.3</v>
      </c>
      <c r="H410" s="102">
        <v>0</v>
      </c>
      <c r="I410" s="102">
        <v>0</v>
      </c>
      <c r="J410" s="1305"/>
      <c r="K410" s="1305"/>
    </row>
    <row r="411" spans="1:11" ht="15.95" customHeight="1">
      <c r="A411" s="1305"/>
      <c r="B411" s="1315"/>
      <c r="C411" s="1305"/>
      <c r="D411" s="100">
        <v>2023</v>
      </c>
      <c r="E411" s="102">
        <f t="shared" si="33"/>
        <v>4128.2978700000003</v>
      </c>
      <c r="F411" s="102">
        <f>1812.41254-1564.71467</f>
        <v>247.69786999999997</v>
      </c>
      <c r="G411" s="102">
        <v>3880.6</v>
      </c>
      <c r="H411" s="102">
        <v>0</v>
      </c>
      <c r="I411" s="102">
        <v>0</v>
      </c>
      <c r="J411" s="1305"/>
      <c r="K411" s="1305"/>
    </row>
    <row r="412" spans="1:11" ht="15.95" customHeight="1">
      <c r="A412" s="1305"/>
      <c r="B412" s="1315"/>
      <c r="C412" s="1305"/>
      <c r="D412" s="108">
        <v>2024</v>
      </c>
      <c r="E412" s="109">
        <f t="shared" si="33"/>
        <v>4921.5493000000006</v>
      </c>
      <c r="F412" s="109">
        <v>1427.2492999999999</v>
      </c>
      <c r="G412" s="109">
        <v>3494.3</v>
      </c>
      <c r="H412" s="109">
        <v>0</v>
      </c>
      <c r="I412" s="109">
        <v>0</v>
      </c>
      <c r="J412" s="1305"/>
      <c r="K412" s="1305"/>
    </row>
    <row r="413" spans="1:11" ht="15.95" customHeight="1">
      <c r="A413" s="1305"/>
      <c r="B413" s="1315"/>
      <c r="C413" s="1305"/>
      <c r="D413" s="100">
        <v>2025</v>
      </c>
      <c r="E413" s="102">
        <v>0</v>
      </c>
      <c r="F413" s="102">
        <v>0</v>
      </c>
      <c r="G413" s="102">
        <v>0</v>
      </c>
      <c r="H413" s="102">
        <v>0</v>
      </c>
      <c r="I413" s="102">
        <v>0</v>
      </c>
      <c r="J413" s="1305"/>
      <c r="K413" s="1305"/>
    </row>
    <row r="414" spans="1:11" ht="15.95" customHeight="1">
      <c r="A414" s="1305"/>
      <c r="B414" s="1315"/>
      <c r="C414" s="1305"/>
      <c r="D414" s="100">
        <v>2026</v>
      </c>
      <c r="E414" s="102">
        <f t="shared" si="33"/>
        <v>0</v>
      </c>
      <c r="F414" s="102">
        <v>0</v>
      </c>
      <c r="G414" s="102">
        <v>0</v>
      </c>
      <c r="H414" s="102">
        <v>0</v>
      </c>
      <c r="I414" s="102">
        <v>0</v>
      </c>
      <c r="J414" s="1305"/>
      <c r="K414" s="1305"/>
    </row>
    <row r="415" spans="1:11" ht="15" customHeight="1" outlineLevel="1">
      <c r="A415" s="1295" t="s">
        <v>381</v>
      </c>
      <c r="B415" s="1308" t="s">
        <v>18</v>
      </c>
      <c r="C415" s="1295" t="s">
        <v>235</v>
      </c>
      <c r="D415" s="100" t="s">
        <v>3</v>
      </c>
      <c r="E415" s="102">
        <f>SUM(F415:I415)</f>
        <v>5318901.9366147509</v>
      </c>
      <c r="F415" s="102">
        <f>SUM(F416:F421)</f>
        <v>3724916.7239900003</v>
      </c>
      <c r="G415" s="102">
        <f>SUM(G416:G421)</f>
        <v>1481797.0320000001</v>
      </c>
      <c r="H415" s="102">
        <f>SUM(H416:H420)</f>
        <v>112188.18062475088</v>
      </c>
      <c r="I415" s="102">
        <v>0</v>
      </c>
      <c r="J415" s="1295"/>
      <c r="K415" s="1295" t="s">
        <v>382</v>
      </c>
    </row>
    <row r="416" spans="1:11" outlineLevel="1">
      <c r="A416" s="1296"/>
      <c r="B416" s="1309"/>
      <c r="C416" s="1296"/>
      <c r="D416" s="100">
        <v>2021</v>
      </c>
      <c r="E416" s="102">
        <f t="shared" si="33"/>
        <v>542284.02945165033</v>
      </c>
      <c r="F416" s="102">
        <f t="shared" ref="F416:H419" si="35">F423+F575+F890+F827+F841+F869</f>
        <v>254674.71701999998</v>
      </c>
      <c r="G416" s="102">
        <f t="shared" si="35"/>
        <v>257488.69899999999</v>
      </c>
      <c r="H416" s="102">
        <f t="shared" si="35"/>
        <v>30120.613431650385</v>
      </c>
      <c r="I416" s="102">
        <f>I423+I575+I890+I827+I841</f>
        <v>0</v>
      </c>
      <c r="J416" s="1296"/>
      <c r="K416" s="1296"/>
    </row>
    <row r="417" spans="1:12" outlineLevel="1">
      <c r="A417" s="1296"/>
      <c r="B417" s="1309"/>
      <c r="C417" s="1296"/>
      <c r="D417" s="100">
        <v>2022</v>
      </c>
      <c r="E417" s="102">
        <f t="shared" si="33"/>
        <v>1321007.9192131003</v>
      </c>
      <c r="F417" s="102">
        <f t="shared" si="35"/>
        <v>1034922.16776</v>
      </c>
      <c r="G417" s="102">
        <f t="shared" si="35"/>
        <v>225488.99299999999</v>
      </c>
      <c r="H417" s="102">
        <f t="shared" si="35"/>
        <v>60596.75845310052</v>
      </c>
      <c r="I417" s="102">
        <f>I424+I576+I891+I828+I842</f>
        <v>0</v>
      </c>
      <c r="J417" s="1296"/>
      <c r="K417" s="1296"/>
    </row>
    <row r="418" spans="1:12" outlineLevel="1">
      <c r="A418" s="1296"/>
      <c r="B418" s="1309"/>
      <c r="C418" s="1296"/>
      <c r="D418" s="100">
        <v>2023</v>
      </c>
      <c r="E418" s="102">
        <f t="shared" si="33"/>
        <v>689220.44319999998</v>
      </c>
      <c r="F418" s="102">
        <f t="shared" si="35"/>
        <v>255347.42546</v>
      </c>
      <c r="G418" s="102">
        <f t="shared" si="35"/>
        <v>424710.74</v>
      </c>
      <c r="H418" s="102">
        <f t="shared" si="35"/>
        <v>9162.2777399999759</v>
      </c>
      <c r="I418" s="102">
        <f>I425+I577+I892+I829+I843</f>
        <v>0</v>
      </c>
      <c r="J418" s="1296"/>
      <c r="K418" s="1296"/>
    </row>
    <row r="419" spans="1:12" outlineLevel="1">
      <c r="A419" s="1296"/>
      <c r="B419" s="1309"/>
      <c r="C419" s="1296"/>
      <c r="D419" s="108">
        <v>2024</v>
      </c>
      <c r="E419" s="109">
        <f t="shared" si="33"/>
        <v>1614487.6960399998</v>
      </c>
      <c r="F419" s="109">
        <f>F426+F578+F893+F830+F844+F872</f>
        <v>1154863.15004</v>
      </c>
      <c r="G419" s="109">
        <f t="shared" si="35"/>
        <v>448108.6</v>
      </c>
      <c r="H419" s="109">
        <f t="shared" si="35"/>
        <v>11515.946</v>
      </c>
      <c r="I419" s="109">
        <f>I426+I578+I893+I830+I844</f>
        <v>0</v>
      </c>
      <c r="J419" s="1296"/>
      <c r="K419" s="1296"/>
    </row>
    <row r="420" spans="1:12" outlineLevel="1">
      <c r="A420" s="1296"/>
      <c r="B420" s="1309"/>
      <c r="C420" s="1296"/>
      <c r="D420" s="100">
        <v>2025</v>
      </c>
      <c r="E420" s="102">
        <f t="shared" si="33"/>
        <v>708502.58260999992</v>
      </c>
      <c r="F420" s="102">
        <f>F428+F579+F894+F831+F845+F873</f>
        <v>617709.99760999996</v>
      </c>
      <c r="G420" s="102">
        <f>G428+G579+G894+G831+G845+G873</f>
        <v>90000</v>
      </c>
      <c r="H420" s="102">
        <f>H428+H579+H894+H831+H845+H873</f>
        <v>792.58500000000004</v>
      </c>
      <c r="I420" s="102">
        <f>I428+I579+I894+I831+I845</f>
        <v>0</v>
      </c>
      <c r="J420" s="1296"/>
      <c r="K420" s="1296"/>
    </row>
    <row r="421" spans="1:12" outlineLevel="1">
      <c r="A421" s="1297"/>
      <c r="B421" s="1310"/>
      <c r="C421" s="1297"/>
      <c r="D421" s="100">
        <v>2026</v>
      </c>
      <c r="E421" s="102">
        <f>SUM(F421:I421)</f>
        <v>443399.26610000007</v>
      </c>
      <c r="F421" s="102">
        <f>SUM(F580,F832,F895)</f>
        <v>407399.26610000007</v>
      </c>
      <c r="G421" s="102">
        <f>SUM(G580,G832,G895)</f>
        <v>36000</v>
      </c>
      <c r="H421" s="102">
        <f>SUM(H580,H832,H895)</f>
        <v>0</v>
      </c>
      <c r="I421" s="102">
        <f>SUM(I580,I832,I895)</f>
        <v>0</v>
      </c>
      <c r="J421" s="1297"/>
      <c r="K421" s="1297"/>
    </row>
    <row r="422" spans="1:12" ht="14.25" customHeight="1" outlineLevel="1">
      <c r="A422" s="1305" t="s">
        <v>383</v>
      </c>
      <c r="B422" s="1315" t="s">
        <v>384</v>
      </c>
      <c r="C422" s="1305" t="s">
        <v>371</v>
      </c>
      <c r="D422" s="100" t="s">
        <v>3</v>
      </c>
      <c r="E422" s="102">
        <f t="shared" si="33"/>
        <v>335724.8688129246</v>
      </c>
      <c r="F422" s="102">
        <f>SUM(F423:F428)</f>
        <v>290978.25190999999</v>
      </c>
      <c r="G422" s="102">
        <f>SUM(G423:G428)</f>
        <v>0</v>
      </c>
      <c r="H422" s="102">
        <f>SUM(H423:H428)</f>
        <v>44746.61690292463</v>
      </c>
      <c r="I422" s="102">
        <v>0</v>
      </c>
      <c r="J422" s="1305" t="s">
        <v>385</v>
      </c>
      <c r="K422" s="1305" t="s">
        <v>386</v>
      </c>
    </row>
    <row r="423" spans="1:12" ht="14.25" customHeight="1" outlineLevel="1">
      <c r="A423" s="1305"/>
      <c r="B423" s="1315"/>
      <c r="C423" s="1305"/>
      <c r="D423" s="100">
        <v>2021</v>
      </c>
      <c r="E423" s="102">
        <f t="shared" si="33"/>
        <v>69576.494685752899</v>
      </c>
      <c r="F423" s="102">
        <f>F430+F437+F444+F451+F458+F465+F472+F479+F486+F493+F500+F507+F514+F521+F528+F535+F542</f>
        <v>55989.257299999997</v>
      </c>
      <c r="G423" s="102">
        <f>G430+G437+G444+G451+G458+G465+G472+G479+G486+G493+G500+G507+G514+G521+G528+G535+G542</f>
        <v>0</v>
      </c>
      <c r="H423" s="102">
        <f>H430+H437+H444+H451+H458+H465+H472+H479+H486+H493+H500+H507+H514+H521+H528+H535+H542</f>
        <v>13587.237385752907</v>
      </c>
      <c r="I423" s="102">
        <v>0</v>
      </c>
      <c r="J423" s="1305"/>
      <c r="K423" s="1305"/>
    </row>
    <row r="424" spans="1:12" ht="14.25" customHeight="1" outlineLevel="1">
      <c r="A424" s="1305"/>
      <c r="B424" s="1315"/>
      <c r="C424" s="1305"/>
      <c r="D424" s="100">
        <v>2022</v>
      </c>
      <c r="E424" s="102">
        <f t="shared" si="33"/>
        <v>199844.44701717171</v>
      </c>
      <c r="F424" s="102">
        <f>F431+F438+F445+F452+F459+F466+F473+F480+F487+F494+F501+F508+F515+F522+F529+F536+F543+F550</f>
        <v>171685.0675</v>
      </c>
      <c r="G424" s="102">
        <f>G431+G438+G445+G452+G459+G466+G473+G480+G487+G494+G501+G508+G515+G522+G529+G536+G543</f>
        <v>0</v>
      </c>
      <c r="H424" s="102">
        <f>H431+H438+H445+H452+H459+H466+H473+H480+H487+H494+H501+H508+H515+H522+H529+H536+H543+H550</f>
        <v>28159.379517171721</v>
      </c>
      <c r="I424" s="102">
        <v>0</v>
      </c>
      <c r="J424" s="1305"/>
      <c r="K424" s="1305"/>
      <c r="L424" s="98" t="s">
        <v>387</v>
      </c>
    </row>
    <row r="425" spans="1:12" ht="14.25" customHeight="1" outlineLevel="1">
      <c r="A425" s="1305"/>
      <c r="B425" s="1315"/>
      <c r="C425" s="1305"/>
      <c r="D425" s="100">
        <v>2023</v>
      </c>
      <c r="E425" s="102">
        <f t="shared" si="33"/>
        <v>12000</v>
      </c>
      <c r="F425" s="102">
        <f>F432+F439+F446+F453+F460+F467+F474+F481+F488+F495+F502+F509+F516+F523+F530+F537+F544</f>
        <v>9000</v>
      </c>
      <c r="G425" s="102">
        <f>G432+G439+G446+G453+G460+G467+G474+G481+G488+G495+G502+G509+G516+G523+G530+G537+G544+G558</f>
        <v>0</v>
      </c>
      <c r="H425" s="102">
        <f>H432+H439+H446+H453+H460+H467+H474+H481+H488+H495+H502+H509+H516+H523+H530+H537+H544</f>
        <v>3000</v>
      </c>
      <c r="I425" s="102">
        <v>0</v>
      </c>
      <c r="J425" s="1305"/>
      <c r="K425" s="1305"/>
    </row>
    <row r="426" spans="1:12" ht="14.25" customHeight="1" outlineLevel="1">
      <c r="A426" s="1305"/>
      <c r="B426" s="1315"/>
      <c r="C426" s="1305"/>
      <c r="D426" s="108">
        <v>2024</v>
      </c>
      <c r="E426" s="109">
        <f t="shared" si="33"/>
        <v>54303.927109999997</v>
      </c>
      <c r="F426" s="109">
        <f>F433+F440+F447+F454+F461+F468+F475+F482+F489+F496+F503+F510+F517+F524+F531+F538+F545+F566+F572</f>
        <v>54303.927109999997</v>
      </c>
      <c r="G426" s="109">
        <f>G433+G440+G447+G454+G461+G468+G475+G482+G489+G496+G503+G510+G517+G524+G531+G538+G545</f>
        <v>0</v>
      </c>
      <c r="H426" s="109">
        <f>H433+H440+H447+H454+H461+H468+H475+H482+H489+H496+H503+H510+H517+H524+H531+H538+H545</f>
        <v>0</v>
      </c>
      <c r="I426" s="109">
        <v>0</v>
      </c>
      <c r="J426" s="1305"/>
      <c r="K426" s="1305"/>
    </row>
    <row r="427" spans="1:12" ht="14.25" customHeight="1" outlineLevel="1">
      <c r="A427" s="1305"/>
      <c r="B427" s="1315"/>
      <c r="C427" s="1305"/>
      <c r="D427" s="100">
        <v>2025</v>
      </c>
      <c r="E427" s="102">
        <v>0</v>
      </c>
      <c r="F427" s="102">
        <v>0</v>
      </c>
      <c r="G427" s="102">
        <v>0</v>
      </c>
      <c r="H427" s="102">
        <v>0</v>
      </c>
      <c r="I427" s="102">
        <v>0</v>
      </c>
      <c r="J427" s="1305"/>
      <c r="K427" s="1305"/>
    </row>
    <row r="428" spans="1:12" ht="14.25" customHeight="1" outlineLevel="1">
      <c r="A428" s="1305"/>
      <c r="B428" s="1315"/>
      <c r="C428" s="1305"/>
      <c r="D428" s="100">
        <v>2026</v>
      </c>
      <c r="E428" s="102">
        <f t="shared" si="33"/>
        <v>0</v>
      </c>
      <c r="F428" s="102">
        <f t="shared" ref="F428:H428" si="36">F435+F442+F449+F456+F463+F470+F477+F484+F491+F498+F505+F512+F519+F526+F533+F540+F547</f>
        <v>0</v>
      </c>
      <c r="G428" s="102">
        <f t="shared" si="36"/>
        <v>0</v>
      </c>
      <c r="H428" s="102">
        <f t="shared" si="36"/>
        <v>0</v>
      </c>
      <c r="I428" s="102">
        <v>0</v>
      </c>
      <c r="J428" s="1305"/>
      <c r="K428" s="1305"/>
    </row>
    <row r="429" spans="1:12" ht="12" customHeight="1" outlineLevel="1">
      <c r="A429" s="1305" t="s">
        <v>388</v>
      </c>
      <c r="B429" s="1306" t="s">
        <v>82</v>
      </c>
      <c r="C429" s="1305" t="s">
        <v>389</v>
      </c>
      <c r="D429" s="100" t="s">
        <v>3</v>
      </c>
      <c r="E429" s="102">
        <f>SUM(E430:E435)</f>
        <v>6584.2777657004835</v>
      </c>
      <c r="F429" s="102">
        <f>SUM(F430:F435)</f>
        <v>5451.7819900000004</v>
      </c>
      <c r="G429" s="102">
        <f>SUM(G430:G435)</f>
        <v>0</v>
      </c>
      <c r="H429" s="102">
        <f>SUM(H430:H435)</f>
        <v>1132.4957757004834</v>
      </c>
      <c r="I429" s="102">
        <f>SUM(I430:I435)</f>
        <v>0</v>
      </c>
      <c r="J429" s="1295" t="s">
        <v>390</v>
      </c>
      <c r="K429" s="1305" t="s">
        <v>129</v>
      </c>
    </row>
    <row r="430" spans="1:12" ht="12" customHeight="1" outlineLevel="1">
      <c r="A430" s="1305"/>
      <c r="B430" s="1306"/>
      <c r="C430" s="1305"/>
      <c r="D430" s="100">
        <v>2021</v>
      </c>
      <c r="E430" s="102">
        <f t="shared" ref="E430:E435" si="37">SUM(F430:I430)</f>
        <v>6584.2777657004835</v>
      </c>
      <c r="F430" s="102">
        <v>5451.7819900000004</v>
      </c>
      <c r="G430" s="102">
        <v>0</v>
      </c>
      <c r="H430" s="102">
        <f>F430/82.8*17.2</f>
        <v>1132.4957757004834</v>
      </c>
      <c r="I430" s="102">
        <v>0</v>
      </c>
      <c r="J430" s="1296"/>
      <c r="K430" s="1305"/>
    </row>
    <row r="431" spans="1:12" ht="12" customHeight="1" outlineLevel="1">
      <c r="A431" s="1305"/>
      <c r="B431" s="1306"/>
      <c r="C431" s="1305"/>
      <c r="D431" s="100">
        <v>2022</v>
      </c>
      <c r="E431" s="102">
        <f t="shared" si="37"/>
        <v>0</v>
      </c>
      <c r="F431" s="102">
        <v>0</v>
      </c>
      <c r="G431" s="102">
        <v>0</v>
      </c>
      <c r="H431" s="102">
        <v>0</v>
      </c>
      <c r="I431" s="102">
        <v>0</v>
      </c>
      <c r="J431" s="1296"/>
      <c r="K431" s="1305"/>
      <c r="L431" s="98" t="s">
        <v>387</v>
      </c>
    </row>
    <row r="432" spans="1:12" ht="12" customHeight="1" outlineLevel="1">
      <c r="A432" s="1305"/>
      <c r="B432" s="1306"/>
      <c r="C432" s="1305"/>
      <c r="D432" s="100">
        <v>2023</v>
      </c>
      <c r="E432" s="102">
        <f t="shared" si="37"/>
        <v>0</v>
      </c>
      <c r="F432" s="102">
        <v>0</v>
      </c>
      <c r="G432" s="102">
        <v>0</v>
      </c>
      <c r="H432" s="102">
        <v>0</v>
      </c>
      <c r="I432" s="102">
        <v>0</v>
      </c>
      <c r="J432" s="1296"/>
      <c r="K432" s="1305"/>
    </row>
    <row r="433" spans="1:11" ht="12" customHeight="1" outlineLevel="1">
      <c r="A433" s="1305"/>
      <c r="B433" s="1306"/>
      <c r="C433" s="1305"/>
      <c r="D433" s="100">
        <v>2024</v>
      </c>
      <c r="E433" s="102">
        <f t="shared" si="37"/>
        <v>0</v>
      </c>
      <c r="F433" s="102">
        <v>0</v>
      </c>
      <c r="G433" s="102">
        <v>0</v>
      </c>
      <c r="H433" s="102">
        <v>0</v>
      </c>
      <c r="I433" s="102">
        <v>0</v>
      </c>
      <c r="J433" s="1296"/>
      <c r="K433" s="1305"/>
    </row>
    <row r="434" spans="1:11" ht="12" customHeight="1" outlineLevel="1">
      <c r="A434" s="1305"/>
      <c r="B434" s="1306"/>
      <c r="C434" s="1305"/>
      <c r="D434" s="100">
        <v>2025</v>
      </c>
      <c r="E434" s="102">
        <v>0</v>
      </c>
      <c r="F434" s="102">
        <v>0</v>
      </c>
      <c r="G434" s="102">
        <v>0</v>
      </c>
      <c r="H434" s="102">
        <v>0</v>
      </c>
      <c r="I434" s="102">
        <v>0</v>
      </c>
      <c r="J434" s="1296"/>
      <c r="K434" s="1305"/>
    </row>
    <row r="435" spans="1:11" ht="12" customHeight="1" outlineLevel="1">
      <c r="A435" s="1305"/>
      <c r="B435" s="1306"/>
      <c r="C435" s="1305"/>
      <c r="D435" s="100">
        <v>2026</v>
      </c>
      <c r="E435" s="102">
        <f t="shared" si="37"/>
        <v>0</v>
      </c>
      <c r="F435" s="102">
        <v>0</v>
      </c>
      <c r="G435" s="102">
        <v>0</v>
      </c>
      <c r="H435" s="102">
        <v>0</v>
      </c>
      <c r="I435" s="102">
        <v>0</v>
      </c>
      <c r="J435" s="1297"/>
      <c r="K435" s="1305"/>
    </row>
    <row r="436" spans="1:11" ht="15" customHeight="1" outlineLevel="1">
      <c r="A436" s="1305" t="s">
        <v>391</v>
      </c>
      <c r="B436" s="1306" t="s">
        <v>392</v>
      </c>
      <c r="C436" s="1305">
        <v>2021</v>
      </c>
      <c r="D436" s="100" t="s">
        <v>3</v>
      </c>
      <c r="E436" s="102">
        <f>SUM(E437:E442)</f>
        <v>42104.816920052421</v>
      </c>
      <c r="F436" s="102">
        <f>SUM(F437:F442)</f>
        <v>32125.975309999998</v>
      </c>
      <c r="G436" s="102">
        <f>SUM(G437:G442)</f>
        <v>0</v>
      </c>
      <c r="H436" s="102">
        <f>SUM(H437:H442)</f>
        <v>9978.8416100524246</v>
      </c>
      <c r="I436" s="102">
        <f>SUM(I437:I442)</f>
        <v>0</v>
      </c>
      <c r="J436" s="1305" t="s">
        <v>393</v>
      </c>
      <c r="K436" s="1305" t="s">
        <v>129</v>
      </c>
    </row>
    <row r="437" spans="1:11" ht="15" customHeight="1" outlineLevel="1">
      <c r="A437" s="1305"/>
      <c r="B437" s="1306"/>
      <c r="C437" s="1305"/>
      <c r="D437" s="100">
        <v>2021</v>
      </c>
      <c r="E437" s="102">
        <f t="shared" ref="E437:E510" si="38">SUM(F437:I437)</f>
        <v>42104.816920052421</v>
      </c>
      <c r="F437" s="102">
        <f>32125975.31/1000</f>
        <v>32125.975309999998</v>
      </c>
      <c r="G437" s="102">
        <v>0</v>
      </c>
      <c r="H437" s="102">
        <f>F437/76.3*23.7</f>
        <v>9978.8416100524246</v>
      </c>
      <c r="I437" s="102">
        <v>0</v>
      </c>
      <c r="J437" s="1305"/>
      <c r="K437" s="1305"/>
    </row>
    <row r="438" spans="1:11" outlineLevel="1">
      <c r="A438" s="1305"/>
      <c r="B438" s="1306"/>
      <c r="C438" s="1305"/>
      <c r="D438" s="100">
        <v>2022</v>
      </c>
      <c r="E438" s="102">
        <f t="shared" si="38"/>
        <v>0</v>
      </c>
      <c r="F438" s="102">
        <v>0</v>
      </c>
      <c r="G438" s="102">
        <v>0</v>
      </c>
      <c r="H438" s="102">
        <v>0</v>
      </c>
      <c r="I438" s="102">
        <v>0</v>
      </c>
      <c r="J438" s="1305"/>
      <c r="K438" s="1305"/>
    </row>
    <row r="439" spans="1:11" outlineLevel="1">
      <c r="A439" s="1305"/>
      <c r="B439" s="1306"/>
      <c r="C439" s="1305"/>
      <c r="D439" s="100">
        <v>2023</v>
      </c>
      <c r="E439" s="102">
        <f t="shared" si="38"/>
        <v>0</v>
      </c>
      <c r="F439" s="102">
        <v>0</v>
      </c>
      <c r="G439" s="102">
        <v>0</v>
      </c>
      <c r="H439" s="102">
        <v>0</v>
      </c>
      <c r="I439" s="102">
        <v>0</v>
      </c>
      <c r="J439" s="1305"/>
      <c r="K439" s="1305"/>
    </row>
    <row r="440" spans="1:11" outlineLevel="1">
      <c r="A440" s="1305"/>
      <c r="B440" s="1306"/>
      <c r="C440" s="1305"/>
      <c r="D440" s="100">
        <v>2024</v>
      </c>
      <c r="E440" s="102">
        <f t="shared" si="38"/>
        <v>0</v>
      </c>
      <c r="F440" s="102">
        <v>0</v>
      </c>
      <c r="G440" s="102">
        <v>0</v>
      </c>
      <c r="H440" s="102">
        <v>0</v>
      </c>
      <c r="I440" s="102">
        <v>0</v>
      </c>
      <c r="J440" s="1305"/>
      <c r="K440" s="1305"/>
    </row>
    <row r="441" spans="1:11" outlineLevel="1">
      <c r="A441" s="1305"/>
      <c r="B441" s="1306"/>
      <c r="C441" s="1305"/>
      <c r="D441" s="100">
        <v>2025</v>
      </c>
      <c r="E441" s="102">
        <v>0</v>
      </c>
      <c r="F441" s="102">
        <v>0</v>
      </c>
      <c r="G441" s="102">
        <v>0</v>
      </c>
      <c r="H441" s="102">
        <v>0</v>
      </c>
      <c r="I441" s="102">
        <v>0</v>
      </c>
      <c r="J441" s="1305"/>
      <c r="K441" s="1305"/>
    </row>
    <row r="442" spans="1:11" ht="14.25" customHeight="1" outlineLevel="1">
      <c r="A442" s="1305"/>
      <c r="B442" s="1306"/>
      <c r="C442" s="1305"/>
      <c r="D442" s="100">
        <v>2026</v>
      </c>
      <c r="E442" s="102">
        <f t="shared" si="38"/>
        <v>0</v>
      </c>
      <c r="F442" s="102">
        <v>0</v>
      </c>
      <c r="G442" s="102">
        <v>0</v>
      </c>
      <c r="H442" s="102">
        <v>0</v>
      </c>
      <c r="I442" s="102">
        <v>0</v>
      </c>
      <c r="J442" s="1305"/>
      <c r="K442" s="1305"/>
    </row>
    <row r="443" spans="1:11" ht="18" customHeight="1" outlineLevel="1">
      <c r="A443" s="1305" t="s">
        <v>394</v>
      </c>
      <c r="B443" s="1306" t="s">
        <v>395</v>
      </c>
      <c r="C443" s="1305">
        <v>2021</v>
      </c>
      <c r="D443" s="100" t="s">
        <v>3</v>
      </c>
      <c r="E443" s="102">
        <f t="shared" si="38"/>
        <v>1505.5</v>
      </c>
      <c r="F443" s="102">
        <f>SUM(F444:F449)</f>
        <v>1505.5</v>
      </c>
      <c r="G443" s="102">
        <f>SUM(G444:G449)</f>
        <v>0</v>
      </c>
      <c r="H443" s="102">
        <f>SUM(H444:H449)</f>
        <v>0</v>
      </c>
      <c r="I443" s="102">
        <f>SUM(I444:I449)</f>
        <v>0</v>
      </c>
      <c r="J443" s="1305" t="s">
        <v>396</v>
      </c>
      <c r="K443" s="1305" t="s">
        <v>397</v>
      </c>
    </row>
    <row r="444" spans="1:11" ht="16.5" customHeight="1" outlineLevel="1">
      <c r="A444" s="1305"/>
      <c r="B444" s="1306"/>
      <c r="C444" s="1305"/>
      <c r="D444" s="100">
        <v>2021</v>
      </c>
      <c r="E444" s="102">
        <f t="shared" si="38"/>
        <v>1505.5</v>
      </c>
      <c r="F444" s="102">
        <v>1505.5</v>
      </c>
      <c r="G444" s="102">
        <v>0</v>
      </c>
      <c r="H444" s="102">
        <v>0</v>
      </c>
      <c r="I444" s="102">
        <v>0</v>
      </c>
      <c r="J444" s="1305"/>
      <c r="K444" s="1305"/>
    </row>
    <row r="445" spans="1:11" ht="15.75" customHeight="1" outlineLevel="1">
      <c r="A445" s="1305"/>
      <c r="B445" s="1306"/>
      <c r="C445" s="1305"/>
      <c r="D445" s="100">
        <v>2022</v>
      </c>
      <c r="E445" s="102">
        <f t="shared" si="38"/>
        <v>0</v>
      </c>
      <c r="F445" s="102">
        <v>0</v>
      </c>
      <c r="G445" s="102">
        <v>0</v>
      </c>
      <c r="H445" s="102">
        <v>0</v>
      </c>
      <c r="I445" s="102">
        <v>0</v>
      </c>
      <c r="J445" s="1305"/>
      <c r="K445" s="1305"/>
    </row>
    <row r="446" spans="1:11" ht="14.25" customHeight="1" outlineLevel="1">
      <c r="A446" s="1305"/>
      <c r="B446" s="1306"/>
      <c r="C446" s="1305"/>
      <c r="D446" s="100">
        <v>2023</v>
      </c>
      <c r="E446" s="102">
        <f t="shared" si="38"/>
        <v>0</v>
      </c>
      <c r="F446" s="102">
        <v>0</v>
      </c>
      <c r="G446" s="102">
        <v>0</v>
      </c>
      <c r="H446" s="102">
        <v>0</v>
      </c>
      <c r="I446" s="102">
        <v>0</v>
      </c>
      <c r="J446" s="1305"/>
      <c r="K446" s="1305"/>
    </row>
    <row r="447" spans="1:11" ht="15" customHeight="1" outlineLevel="1">
      <c r="A447" s="1305"/>
      <c r="B447" s="1306"/>
      <c r="C447" s="1305"/>
      <c r="D447" s="100">
        <v>2024</v>
      </c>
      <c r="E447" s="102">
        <f t="shared" si="38"/>
        <v>0</v>
      </c>
      <c r="F447" s="102">
        <v>0</v>
      </c>
      <c r="G447" s="102">
        <v>0</v>
      </c>
      <c r="H447" s="102">
        <v>0</v>
      </c>
      <c r="I447" s="102">
        <v>0</v>
      </c>
      <c r="J447" s="1305"/>
      <c r="K447" s="1305"/>
    </row>
    <row r="448" spans="1:11" ht="15" customHeight="1" outlineLevel="1">
      <c r="A448" s="1305"/>
      <c r="B448" s="1306"/>
      <c r="C448" s="1305"/>
      <c r="D448" s="100">
        <v>2025</v>
      </c>
      <c r="E448" s="102">
        <v>0</v>
      </c>
      <c r="F448" s="102">
        <v>0</v>
      </c>
      <c r="G448" s="102">
        <v>0</v>
      </c>
      <c r="H448" s="102">
        <v>0</v>
      </c>
      <c r="I448" s="102">
        <v>0</v>
      </c>
      <c r="J448" s="1305"/>
      <c r="K448" s="1305"/>
    </row>
    <row r="449" spans="1:12" ht="15.75" customHeight="1" outlineLevel="1">
      <c r="A449" s="1305"/>
      <c r="B449" s="1306"/>
      <c r="C449" s="1305"/>
      <c r="D449" s="100">
        <v>2026</v>
      </c>
      <c r="E449" s="102">
        <f t="shared" si="38"/>
        <v>0</v>
      </c>
      <c r="F449" s="102">
        <v>0</v>
      </c>
      <c r="G449" s="102">
        <v>0</v>
      </c>
      <c r="H449" s="102">
        <v>0</v>
      </c>
      <c r="I449" s="102">
        <v>0</v>
      </c>
      <c r="J449" s="1305"/>
      <c r="K449" s="1305"/>
    </row>
    <row r="450" spans="1:12" ht="15" customHeight="1" outlineLevel="1">
      <c r="A450" s="1305" t="s">
        <v>398</v>
      </c>
      <c r="B450" s="1306" t="s">
        <v>399</v>
      </c>
      <c r="C450" s="1305">
        <v>2021</v>
      </c>
      <c r="D450" s="100" t="s">
        <v>3</v>
      </c>
      <c r="E450" s="102">
        <f t="shared" si="38"/>
        <v>0</v>
      </c>
      <c r="F450" s="102">
        <f>SUM(F451:F456)</f>
        <v>0</v>
      </c>
      <c r="G450" s="102">
        <f>SUM(G451:G456)</f>
        <v>0</v>
      </c>
      <c r="H450" s="102">
        <f>SUM(H451:H456)</f>
        <v>0</v>
      </c>
      <c r="I450" s="102">
        <f>SUM(I451:I456)</f>
        <v>0</v>
      </c>
      <c r="J450" s="1305" t="s">
        <v>400</v>
      </c>
      <c r="K450" s="1305" t="s">
        <v>92</v>
      </c>
      <c r="L450" s="98" t="s">
        <v>401</v>
      </c>
    </row>
    <row r="451" spans="1:12" ht="15" customHeight="1" outlineLevel="1">
      <c r="A451" s="1305"/>
      <c r="B451" s="1306"/>
      <c r="C451" s="1305"/>
      <c r="D451" s="100">
        <v>2021</v>
      </c>
      <c r="E451" s="102">
        <f t="shared" si="38"/>
        <v>0</v>
      </c>
      <c r="F451" s="102">
        <v>0</v>
      </c>
      <c r="G451" s="102">
        <v>0</v>
      </c>
      <c r="H451" s="102">
        <v>0</v>
      </c>
      <c r="I451" s="102">
        <v>0</v>
      </c>
      <c r="J451" s="1305"/>
      <c r="K451" s="1305"/>
    </row>
    <row r="452" spans="1:12" ht="15" customHeight="1" outlineLevel="1">
      <c r="A452" s="1305"/>
      <c r="B452" s="1306"/>
      <c r="C452" s="1305"/>
      <c r="D452" s="100">
        <v>2022</v>
      </c>
      <c r="E452" s="102">
        <f t="shared" si="38"/>
        <v>0</v>
      </c>
      <c r="F452" s="102">
        <v>0</v>
      </c>
      <c r="G452" s="102">
        <v>0</v>
      </c>
      <c r="H452" s="102">
        <v>0</v>
      </c>
      <c r="I452" s="102">
        <v>0</v>
      </c>
      <c r="J452" s="1305"/>
      <c r="K452" s="1305"/>
    </row>
    <row r="453" spans="1:12" ht="15" customHeight="1" outlineLevel="1">
      <c r="A453" s="1305"/>
      <c r="B453" s="1306"/>
      <c r="C453" s="1305"/>
      <c r="D453" s="100">
        <v>2023</v>
      </c>
      <c r="E453" s="102">
        <f t="shared" si="38"/>
        <v>0</v>
      </c>
      <c r="F453" s="102">
        <v>0</v>
      </c>
      <c r="G453" s="102">
        <v>0</v>
      </c>
      <c r="H453" s="102">
        <v>0</v>
      </c>
      <c r="I453" s="102">
        <v>0</v>
      </c>
      <c r="J453" s="1305"/>
      <c r="K453" s="1305"/>
    </row>
    <row r="454" spans="1:12" ht="15" customHeight="1" outlineLevel="1">
      <c r="A454" s="1305"/>
      <c r="B454" s="1306"/>
      <c r="C454" s="1305"/>
      <c r="D454" s="100">
        <v>2024</v>
      </c>
      <c r="E454" s="102">
        <f t="shared" si="38"/>
        <v>0</v>
      </c>
      <c r="F454" s="102">
        <v>0</v>
      </c>
      <c r="G454" s="102">
        <v>0</v>
      </c>
      <c r="H454" s="102">
        <v>0</v>
      </c>
      <c r="I454" s="102">
        <v>0</v>
      </c>
      <c r="J454" s="1305"/>
      <c r="K454" s="1305"/>
    </row>
    <row r="455" spans="1:12" ht="15" customHeight="1" outlineLevel="1">
      <c r="A455" s="1305"/>
      <c r="B455" s="1306"/>
      <c r="C455" s="1305"/>
      <c r="D455" s="100">
        <v>2025</v>
      </c>
      <c r="E455" s="102">
        <v>0</v>
      </c>
      <c r="F455" s="102">
        <v>0</v>
      </c>
      <c r="G455" s="102">
        <v>0</v>
      </c>
      <c r="H455" s="102">
        <v>0</v>
      </c>
      <c r="I455" s="102">
        <v>0</v>
      </c>
      <c r="J455" s="1305"/>
      <c r="K455" s="1305"/>
    </row>
    <row r="456" spans="1:12" ht="15" customHeight="1" outlineLevel="1">
      <c r="A456" s="1305"/>
      <c r="B456" s="1306"/>
      <c r="C456" s="1305"/>
      <c r="D456" s="100">
        <v>2026</v>
      </c>
      <c r="E456" s="102">
        <f t="shared" si="38"/>
        <v>0</v>
      </c>
      <c r="F456" s="102">
        <v>0</v>
      </c>
      <c r="G456" s="102">
        <v>0</v>
      </c>
      <c r="H456" s="102">
        <v>0</v>
      </c>
      <c r="I456" s="102">
        <v>0</v>
      </c>
      <c r="J456" s="1305"/>
      <c r="K456" s="1305"/>
    </row>
    <row r="457" spans="1:12" ht="15" customHeight="1" outlineLevel="1">
      <c r="A457" s="1305" t="s">
        <v>402</v>
      </c>
      <c r="B457" s="1306" t="s">
        <v>403</v>
      </c>
      <c r="C457" s="1305" t="s">
        <v>389</v>
      </c>
      <c r="D457" s="100" t="s">
        <v>3</v>
      </c>
      <c r="E457" s="102">
        <f t="shared" si="38"/>
        <v>131225.81</v>
      </c>
      <c r="F457" s="102">
        <f>SUM(F458:F463)</f>
        <v>98555.157500000001</v>
      </c>
      <c r="G457" s="102">
        <f>SUM(G458:G463)</f>
        <v>0</v>
      </c>
      <c r="H457" s="102">
        <f>SUM(H458:H463)</f>
        <v>32670.652500000004</v>
      </c>
      <c r="I457" s="102">
        <f>SUM(I458:I463)</f>
        <v>0</v>
      </c>
      <c r="J457" s="1305" t="s">
        <v>404</v>
      </c>
      <c r="K457" s="1305" t="s">
        <v>129</v>
      </c>
    </row>
    <row r="458" spans="1:12" ht="15" customHeight="1" outlineLevel="1">
      <c r="A458" s="1305"/>
      <c r="B458" s="1306"/>
      <c r="C458" s="1305"/>
      <c r="D458" s="100">
        <v>2021</v>
      </c>
      <c r="E458" s="102">
        <f t="shared" si="38"/>
        <v>10446.799999999999</v>
      </c>
      <c r="F458" s="102">
        <v>7970.9</v>
      </c>
      <c r="G458" s="102">
        <v>0</v>
      </c>
      <c r="H458" s="102">
        <v>2475.9</v>
      </c>
      <c r="I458" s="102">
        <v>0</v>
      </c>
      <c r="J458" s="1305"/>
      <c r="K458" s="1305"/>
    </row>
    <row r="459" spans="1:12" ht="15" customHeight="1" outlineLevel="1">
      <c r="A459" s="1305"/>
      <c r="B459" s="1306"/>
      <c r="C459" s="1305"/>
      <c r="D459" s="100">
        <v>2022</v>
      </c>
      <c r="E459" s="102">
        <f t="shared" si="38"/>
        <v>108779.01000000001</v>
      </c>
      <c r="F459" s="102">
        <v>81584.257500000007</v>
      </c>
      <c r="G459" s="102">
        <v>0</v>
      </c>
      <c r="H459" s="102">
        <f>F459/75*25</f>
        <v>27194.752500000002</v>
      </c>
      <c r="I459" s="102">
        <v>0</v>
      </c>
      <c r="J459" s="1305"/>
      <c r="K459" s="1305"/>
    </row>
    <row r="460" spans="1:12" ht="15" customHeight="1" outlineLevel="1">
      <c r="A460" s="1305"/>
      <c r="B460" s="1306"/>
      <c r="C460" s="1305"/>
      <c r="D460" s="100">
        <v>2023</v>
      </c>
      <c r="E460" s="102">
        <f t="shared" si="38"/>
        <v>12000</v>
      </c>
      <c r="F460" s="102">
        <v>9000</v>
      </c>
      <c r="G460" s="102">
        <v>0</v>
      </c>
      <c r="H460" s="102">
        <v>3000</v>
      </c>
      <c r="I460" s="102">
        <v>0</v>
      </c>
      <c r="J460" s="1305"/>
      <c r="K460" s="1305"/>
    </row>
    <row r="461" spans="1:12" ht="15" customHeight="1" outlineLevel="1">
      <c r="A461" s="1305"/>
      <c r="B461" s="1306"/>
      <c r="C461" s="1305"/>
      <c r="D461" s="100">
        <v>2024</v>
      </c>
      <c r="E461" s="102">
        <f t="shared" si="38"/>
        <v>0</v>
      </c>
      <c r="F461" s="102">
        <v>0</v>
      </c>
      <c r="G461" s="102">
        <v>0</v>
      </c>
      <c r="H461" s="102">
        <v>0</v>
      </c>
      <c r="I461" s="102">
        <v>0</v>
      </c>
      <c r="J461" s="1305"/>
      <c r="K461" s="1305"/>
    </row>
    <row r="462" spans="1:12" ht="15" customHeight="1" outlineLevel="1">
      <c r="A462" s="1305"/>
      <c r="B462" s="1306"/>
      <c r="C462" s="1305"/>
      <c r="D462" s="100">
        <v>2025</v>
      </c>
      <c r="E462" s="102">
        <v>0</v>
      </c>
      <c r="F462" s="102">
        <v>0</v>
      </c>
      <c r="G462" s="102">
        <v>0</v>
      </c>
      <c r="H462" s="102">
        <v>0</v>
      </c>
      <c r="I462" s="102">
        <v>0</v>
      </c>
      <c r="J462" s="1305"/>
      <c r="K462" s="1305"/>
    </row>
    <row r="463" spans="1:12" ht="15" customHeight="1" outlineLevel="1">
      <c r="A463" s="1305"/>
      <c r="B463" s="1306"/>
      <c r="C463" s="1305"/>
      <c r="D463" s="100">
        <v>2026</v>
      </c>
      <c r="E463" s="102">
        <f t="shared" si="38"/>
        <v>0</v>
      </c>
      <c r="F463" s="102">
        <v>0</v>
      </c>
      <c r="G463" s="102">
        <v>0</v>
      </c>
      <c r="H463" s="102">
        <v>0</v>
      </c>
      <c r="I463" s="102">
        <v>0</v>
      </c>
      <c r="J463" s="1305"/>
      <c r="K463" s="1305"/>
    </row>
    <row r="464" spans="1:12" ht="15" customHeight="1" outlineLevel="1">
      <c r="A464" s="1305" t="s">
        <v>405</v>
      </c>
      <c r="B464" s="1306" t="s">
        <v>406</v>
      </c>
      <c r="C464" s="1305">
        <v>2021</v>
      </c>
      <c r="D464" s="100" t="s">
        <v>3</v>
      </c>
      <c r="E464" s="102">
        <f t="shared" si="38"/>
        <v>8935.1</v>
      </c>
      <c r="F464" s="102">
        <f>SUM(F465:F470)</f>
        <v>8935.1</v>
      </c>
      <c r="G464" s="102">
        <f>SUM(G465:G470)</f>
        <v>0</v>
      </c>
      <c r="H464" s="102">
        <f>SUM(H465:H470)</f>
        <v>0</v>
      </c>
      <c r="I464" s="102">
        <f>SUM(I465:I470)</f>
        <v>0</v>
      </c>
      <c r="J464" s="1305" t="s">
        <v>407</v>
      </c>
      <c r="K464" s="1307" t="s">
        <v>142</v>
      </c>
      <c r="L464" s="1301" t="s">
        <v>408</v>
      </c>
    </row>
    <row r="465" spans="1:12" ht="15" customHeight="1" outlineLevel="1">
      <c r="A465" s="1305"/>
      <c r="B465" s="1306"/>
      <c r="C465" s="1305"/>
      <c r="D465" s="100">
        <v>2021</v>
      </c>
      <c r="E465" s="102">
        <f t="shared" si="38"/>
        <v>8935.1</v>
      </c>
      <c r="F465" s="102">
        <v>8935.1</v>
      </c>
      <c r="G465" s="102">
        <v>0</v>
      </c>
      <c r="H465" s="102">
        <v>0</v>
      </c>
      <c r="I465" s="102">
        <v>0</v>
      </c>
      <c r="J465" s="1305"/>
      <c r="K465" s="1307"/>
      <c r="L465" s="1301"/>
    </row>
    <row r="466" spans="1:12" ht="15" customHeight="1" outlineLevel="1">
      <c r="A466" s="1305"/>
      <c r="B466" s="1306"/>
      <c r="C466" s="1305"/>
      <c r="D466" s="100">
        <v>2022</v>
      </c>
      <c r="E466" s="102">
        <f t="shared" si="38"/>
        <v>0</v>
      </c>
      <c r="F466" s="102">
        <v>0</v>
      </c>
      <c r="G466" s="102">
        <v>0</v>
      </c>
      <c r="H466" s="102">
        <v>0</v>
      </c>
      <c r="I466" s="102">
        <v>0</v>
      </c>
      <c r="J466" s="1305"/>
      <c r="K466" s="1307"/>
      <c r="L466" s="1301"/>
    </row>
    <row r="467" spans="1:12" ht="15" customHeight="1" outlineLevel="1">
      <c r="A467" s="1305"/>
      <c r="B467" s="1306"/>
      <c r="C467" s="1305"/>
      <c r="D467" s="100">
        <v>2023</v>
      </c>
      <c r="E467" s="102">
        <f t="shared" si="38"/>
        <v>0</v>
      </c>
      <c r="F467" s="102">
        <v>0</v>
      </c>
      <c r="G467" s="102">
        <v>0</v>
      </c>
      <c r="H467" s="102">
        <v>0</v>
      </c>
      <c r="I467" s="102">
        <v>0</v>
      </c>
      <c r="J467" s="1305"/>
      <c r="K467" s="1307"/>
      <c r="L467" s="1301"/>
    </row>
    <row r="468" spans="1:12" ht="15" customHeight="1" outlineLevel="1">
      <c r="A468" s="1305"/>
      <c r="B468" s="1306"/>
      <c r="C468" s="1305"/>
      <c r="D468" s="100">
        <v>2024</v>
      </c>
      <c r="E468" s="102">
        <f t="shared" si="38"/>
        <v>0</v>
      </c>
      <c r="F468" s="102">
        <v>0</v>
      </c>
      <c r="G468" s="102">
        <v>0</v>
      </c>
      <c r="H468" s="102">
        <v>0</v>
      </c>
      <c r="I468" s="102">
        <v>0</v>
      </c>
      <c r="J468" s="1305"/>
      <c r="K468" s="1307"/>
      <c r="L468" s="1301"/>
    </row>
    <row r="469" spans="1:12" ht="15" customHeight="1" outlineLevel="1">
      <c r="A469" s="1305"/>
      <c r="B469" s="1306"/>
      <c r="C469" s="1305"/>
      <c r="D469" s="100">
        <v>2025</v>
      </c>
      <c r="E469" s="102">
        <v>0</v>
      </c>
      <c r="F469" s="102">
        <v>0</v>
      </c>
      <c r="G469" s="102">
        <v>0</v>
      </c>
      <c r="H469" s="102">
        <v>0</v>
      </c>
      <c r="I469" s="102">
        <v>0</v>
      </c>
      <c r="J469" s="1305"/>
      <c r="K469" s="1307"/>
      <c r="L469" s="1301"/>
    </row>
    <row r="470" spans="1:12" ht="15" customHeight="1" outlineLevel="1">
      <c r="A470" s="1305"/>
      <c r="B470" s="1306"/>
      <c r="C470" s="1305"/>
      <c r="D470" s="100">
        <v>2026</v>
      </c>
      <c r="E470" s="102">
        <f t="shared" si="38"/>
        <v>0</v>
      </c>
      <c r="F470" s="102">
        <v>0</v>
      </c>
      <c r="G470" s="102">
        <v>0</v>
      </c>
      <c r="H470" s="102">
        <v>0</v>
      </c>
      <c r="I470" s="102">
        <v>0</v>
      </c>
      <c r="J470" s="1305"/>
      <c r="K470" s="1307"/>
      <c r="L470" s="1301"/>
    </row>
    <row r="471" spans="1:12" ht="15" customHeight="1" outlineLevel="1">
      <c r="A471" s="1305" t="s">
        <v>409</v>
      </c>
      <c r="B471" s="1306" t="s">
        <v>410</v>
      </c>
      <c r="C471" s="1305">
        <v>2022</v>
      </c>
      <c r="D471" s="100" t="s">
        <v>3</v>
      </c>
      <c r="E471" s="102">
        <f t="shared" si="38"/>
        <v>0</v>
      </c>
      <c r="F471" s="102">
        <f>SUM(F472:F477)</f>
        <v>0</v>
      </c>
      <c r="G471" s="102">
        <f>SUM(G472:G477)</f>
        <v>0</v>
      </c>
      <c r="H471" s="102">
        <f>SUM(H472:H477)</f>
        <v>0</v>
      </c>
      <c r="I471" s="102">
        <f>SUM(I472:I477)</f>
        <v>0</v>
      </c>
      <c r="J471" s="1305" t="s">
        <v>411</v>
      </c>
      <c r="K471" s="1307" t="s">
        <v>129</v>
      </c>
      <c r="L471" s="1301" t="s">
        <v>412</v>
      </c>
    </row>
    <row r="472" spans="1:12" ht="15" customHeight="1" outlineLevel="1">
      <c r="A472" s="1305"/>
      <c r="B472" s="1306"/>
      <c r="C472" s="1305"/>
      <c r="D472" s="100">
        <v>2021</v>
      </c>
      <c r="E472" s="102">
        <f t="shared" si="38"/>
        <v>0</v>
      </c>
      <c r="F472" s="102">
        <v>0</v>
      </c>
      <c r="G472" s="102">
        <v>0</v>
      </c>
      <c r="H472" s="102">
        <v>0</v>
      </c>
      <c r="I472" s="102">
        <v>0</v>
      </c>
      <c r="J472" s="1305"/>
      <c r="K472" s="1307"/>
      <c r="L472" s="1301"/>
    </row>
    <row r="473" spans="1:12" ht="15" customHeight="1" outlineLevel="1">
      <c r="A473" s="1305"/>
      <c r="B473" s="1306"/>
      <c r="C473" s="1305"/>
      <c r="D473" s="100">
        <v>2022</v>
      </c>
      <c r="E473" s="102">
        <f t="shared" si="38"/>
        <v>0</v>
      </c>
      <c r="F473" s="102">
        <v>0</v>
      </c>
      <c r="G473" s="102">
        <v>0</v>
      </c>
      <c r="H473" s="102">
        <v>0</v>
      </c>
      <c r="I473" s="102">
        <v>0</v>
      </c>
      <c r="J473" s="1305"/>
      <c r="K473" s="1307"/>
      <c r="L473" s="1301"/>
    </row>
    <row r="474" spans="1:12" ht="15" customHeight="1" outlineLevel="1">
      <c r="A474" s="1305"/>
      <c r="B474" s="1306"/>
      <c r="C474" s="1305"/>
      <c r="D474" s="100">
        <v>2023</v>
      </c>
      <c r="E474" s="102">
        <f t="shared" si="38"/>
        <v>0</v>
      </c>
      <c r="F474" s="102">
        <v>0</v>
      </c>
      <c r="G474" s="102">
        <v>0</v>
      </c>
      <c r="H474" s="102">
        <v>0</v>
      </c>
      <c r="I474" s="102">
        <v>0</v>
      </c>
      <c r="J474" s="1305"/>
      <c r="K474" s="1307"/>
      <c r="L474" s="1301"/>
    </row>
    <row r="475" spans="1:12" ht="15" customHeight="1" outlineLevel="1">
      <c r="A475" s="1305"/>
      <c r="B475" s="1306"/>
      <c r="C475" s="1305"/>
      <c r="D475" s="100">
        <v>2024</v>
      </c>
      <c r="E475" s="102">
        <f t="shared" si="38"/>
        <v>0</v>
      </c>
      <c r="F475" s="102">
        <v>0</v>
      </c>
      <c r="G475" s="102">
        <v>0</v>
      </c>
      <c r="H475" s="102">
        <v>0</v>
      </c>
      <c r="I475" s="102">
        <v>0</v>
      </c>
      <c r="J475" s="1305"/>
      <c r="K475" s="1307"/>
      <c r="L475" s="1301"/>
    </row>
    <row r="476" spans="1:12" ht="15" customHeight="1" outlineLevel="1">
      <c r="A476" s="1305"/>
      <c r="B476" s="1306"/>
      <c r="C476" s="1305"/>
      <c r="D476" s="100">
        <v>2025</v>
      </c>
      <c r="E476" s="102">
        <v>0</v>
      </c>
      <c r="F476" s="102">
        <v>0</v>
      </c>
      <c r="G476" s="102">
        <v>0</v>
      </c>
      <c r="H476" s="102">
        <v>0</v>
      </c>
      <c r="I476" s="102">
        <v>0</v>
      </c>
      <c r="J476" s="1305"/>
      <c r="K476" s="1307"/>
      <c r="L476" s="1301"/>
    </row>
    <row r="477" spans="1:12" ht="15" customHeight="1" outlineLevel="1">
      <c r="A477" s="1305"/>
      <c r="B477" s="1306"/>
      <c r="C477" s="1305"/>
      <c r="D477" s="100">
        <v>2026</v>
      </c>
      <c r="E477" s="102">
        <f t="shared" si="38"/>
        <v>0</v>
      </c>
      <c r="F477" s="102">
        <v>0</v>
      </c>
      <c r="G477" s="102">
        <v>0</v>
      </c>
      <c r="H477" s="102">
        <v>0</v>
      </c>
      <c r="I477" s="102">
        <v>0</v>
      </c>
      <c r="J477" s="1305"/>
      <c r="K477" s="1307"/>
      <c r="L477" s="1301"/>
    </row>
    <row r="478" spans="1:12" ht="15" customHeight="1" outlineLevel="1">
      <c r="A478" s="1305" t="s">
        <v>413</v>
      </c>
      <c r="B478" s="1306" t="s">
        <v>414</v>
      </c>
      <c r="C478" s="1305">
        <v>2023</v>
      </c>
      <c r="D478" s="100" t="s">
        <v>3</v>
      </c>
      <c r="E478" s="102">
        <f t="shared" si="38"/>
        <v>0</v>
      </c>
      <c r="F478" s="102">
        <f>SUM(F479:F484)</f>
        <v>0</v>
      </c>
      <c r="G478" s="102">
        <f>SUM(G479:G484)</f>
        <v>0</v>
      </c>
      <c r="H478" s="102">
        <f>SUM(H479:H484)</f>
        <v>0</v>
      </c>
      <c r="I478" s="102">
        <f>SUM(I479:I484)</f>
        <v>0</v>
      </c>
      <c r="J478" s="1305" t="s">
        <v>415</v>
      </c>
      <c r="K478" s="1307" t="s">
        <v>416</v>
      </c>
      <c r="L478" s="1301" t="s">
        <v>412</v>
      </c>
    </row>
    <row r="479" spans="1:12" ht="15" customHeight="1" outlineLevel="1">
      <c r="A479" s="1305"/>
      <c r="B479" s="1306"/>
      <c r="C479" s="1305"/>
      <c r="D479" s="100">
        <v>2021</v>
      </c>
      <c r="E479" s="102">
        <f t="shared" si="38"/>
        <v>0</v>
      </c>
      <c r="F479" s="102">
        <v>0</v>
      </c>
      <c r="G479" s="102">
        <v>0</v>
      </c>
      <c r="H479" s="102">
        <v>0</v>
      </c>
      <c r="I479" s="102">
        <v>0</v>
      </c>
      <c r="J479" s="1305"/>
      <c r="K479" s="1307"/>
      <c r="L479" s="1301"/>
    </row>
    <row r="480" spans="1:12" ht="15" customHeight="1" outlineLevel="1">
      <c r="A480" s="1305"/>
      <c r="B480" s="1306"/>
      <c r="C480" s="1305"/>
      <c r="D480" s="100">
        <v>2022</v>
      </c>
      <c r="E480" s="102">
        <f t="shared" si="38"/>
        <v>0</v>
      </c>
      <c r="F480" s="102">
        <v>0</v>
      </c>
      <c r="G480" s="102">
        <v>0</v>
      </c>
      <c r="H480" s="102">
        <v>0</v>
      </c>
      <c r="I480" s="102">
        <v>0</v>
      </c>
      <c r="J480" s="1305"/>
      <c r="K480" s="1307"/>
      <c r="L480" s="1301"/>
    </row>
    <row r="481" spans="1:12" ht="15" customHeight="1" outlineLevel="1">
      <c r="A481" s="1305"/>
      <c r="B481" s="1306"/>
      <c r="C481" s="1305"/>
      <c r="D481" s="100">
        <v>2023</v>
      </c>
      <c r="E481" s="102">
        <f t="shared" si="38"/>
        <v>0</v>
      </c>
      <c r="F481" s="102">
        <v>0</v>
      </c>
      <c r="G481" s="102">
        <v>0</v>
      </c>
      <c r="H481" s="102">
        <v>0</v>
      </c>
      <c r="I481" s="102">
        <v>0</v>
      </c>
      <c r="J481" s="1305"/>
      <c r="K481" s="1307"/>
      <c r="L481" s="1301"/>
    </row>
    <row r="482" spans="1:12" ht="15" customHeight="1" outlineLevel="1">
      <c r="A482" s="1305"/>
      <c r="B482" s="1306"/>
      <c r="C482" s="1305"/>
      <c r="D482" s="100">
        <v>2024</v>
      </c>
      <c r="E482" s="102">
        <f t="shared" si="38"/>
        <v>0</v>
      </c>
      <c r="F482" s="102">
        <v>0</v>
      </c>
      <c r="G482" s="102">
        <v>0</v>
      </c>
      <c r="H482" s="102">
        <v>0</v>
      </c>
      <c r="I482" s="102">
        <v>0</v>
      </c>
      <c r="J482" s="1305"/>
      <c r="K482" s="1307"/>
      <c r="L482" s="1301"/>
    </row>
    <row r="483" spans="1:12" ht="15" customHeight="1" outlineLevel="1">
      <c r="A483" s="1305"/>
      <c r="B483" s="1306"/>
      <c r="C483" s="1305"/>
      <c r="D483" s="100">
        <v>2025</v>
      </c>
      <c r="E483" s="102">
        <v>0</v>
      </c>
      <c r="F483" s="102">
        <v>0</v>
      </c>
      <c r="G483" s="102">
        <v>0</v>
      </c>
      <c r="H483" s="102">
        <v>0</v>
      </c>
      <c r="I483" s="102">
        <v>0</v>
      </c>
      <c r="J483" s="1305"/>
      <c r="K483" s="1307"/>
      <c r="L483" s="1301"/>
    </row>
    <row r="484" spans="1:12" ht="15" customHeight="1" outlineLevel="1">
      <c r="A484" s="1305"/>
      <c r="B484" s="1306"/>
      <c r="C484" s="1305"/>
      <c r="D484" s="100">
        <v>2026</v>
      </c>
      <c r="E484" s="102">
        <f t="shared" si="38"/>
        <v>0</v>
      </c>
      <c r="F484" s="102">
        <v>0</v>
      </c>
      <c r="G484" s="102">
        <v>0</v>
      </c>
      <c r="H484" s="102">
        <v>0</v>
      </c>
      <c r="I484" s="102">
        <v>0</v>
      </c>
      <c r="J484" s="1305"/>
      <c r="K484" s="1307"/>
      <c r="L484" s="1301"/>
    </row>
    <row r="485" spans="1:12" ht="15" customHeight="1" outlineLevel="1">
      <c r="A485" s="1305" t="s">
        <v>417</v>
      </c>
      <c r="B485" s="1306" t="s">
        <v>418</v>
      </c>
      <c r="C485" s="1305">
        <v>2022</v>
      </c>
      <c r="D485" s="100" t="s">
        <v>3</v>
      </c>
      <c r="E485" s="102">
        <f t="shared" si="38"/>
        <v>0</v>
      </c>
      <c r="F485" s="102">
        <f>SUM(F486:F491)</f>
        <v>0</v>
      </c>
      <c r="G485" s="102">
        <f>SUM(G486:G491)</f>
        <v>0</v>
      </c>
      <c r="H485" s="102">
        <f>SUM(H486:H491)</f>
        <v>0</v>
      </c>
      <c r="I485" s="102">
        <f>SUM(I486:I491)</f>
        <v>0</v>
      </c>
      <c r="J485" s="1305" t="s">
        <v>419</v>
      </c>
      <c r="K485" s="1305" t="s">
        <v>420</v>
      </c>
    </row>
    <row r="486" spans="1:12" ht="15" customHeight="1" outlineLevel="1">
      <c r="A486" s="1305"/>
      <c r="B486" s="1306"/>
      <c r="C486" s="1305"/>
      <c r="D486" s="100">
        <v>2021</v>
      </c>
      <c r="E486" s="102">
        <f t="shared" si="38"/>
        <v>0</v>
      </c>
      <c r="F486" s="102">
        <v>0</v>
      </c>
      <c r="G486" s="102">
        <v>0</v>
      </c>
      <c r="H486" s="102">
        <v>0</v>
      </c>
      <c r="I486" s="102">
        <v>0</v>
      </c>
      <c r="J486" s="1305"/>
      <c r="K486" s="1305"/>
    </row>
    <row r="487" spans="1:12" ht="15" customHeight="1" outlineLevel="1">
      <c r="A487" s="1305"/>
      <c r="B487" s="1306"/>
      <c r="C487" s="1305"/>
      <c r="D487" s="100">
        <v>2022</v>
      </c>
      <c r="E487" s="102">
        <f t="shared" si="38"/>
        <v>0</v>
      </c>
      <c r="F487" s="102">
        <f>6000-6000</f>
        <v>0</v>
      </c>
      <c r="G487" s="102">
        <v>0</v>
      </c>
      <c r="H487" s="102">
        <v>0</v>
      </c>
      <c r="I487" s="102">
        <v>0</v>
      </c>
      <c r="J487" s="1305"/>
      <c r="K487" s="1305"/>
    </row>
    <row r="488" spans="1:12" ht="15" customHeight="1" outlineLevel="1">
      <c r="A488" s="1305"/>
      <c r="B488" s="1306"/>
      <c r="C488" s="1305"/>
      <c r="D488" s="100">
        <v>2023</v>
      </c>
      <c r="E488" s="102">
        <f t="shared" si="38"/>
        <v>0</v>
      </c>
      <c r="F488" s="102">
        <v>0</v>
      </c>
      <c r="G488" s="102">
        <v>0</v>
      </c>
      <c r="H488" s="102">
        <v>0</v>
      </c>
      <c r="I488" s="102">
        <v>0</v>
      </c>
      <c r="J488" s="1305"/>
      <c r="K488" s="1305"/>
    </row>
    <row r="489" spans="1:12" ht="15" customHeight="1" outlineLevel="1">
      <c r="A489" s="1305"/>
      <c r="B489" s="1306"/>
      <c r="C489" s="1305"/>
      <c r="D489" s="100">
        <v>2024</v>
      </c>
      <c r="E489" s="102">
        <f t="shared" si="38"/>
        <v>0</v>
      </c>
      <c r="F489" s="102">
        <v>0</v>
      </c>
      <c r="G489" s="102">
        <v>0</v>
      </c>
      <c r="H489" s="102">
        <v>0</v>
      </c>
      <c r="I489" s="102">
        <v>0</v>
      </c>
      <c r="J489" s="1305"/>
      <c r="K489" s="1305"/>
    </row>
    <row r="490" spans="1:12" ht="15" customHeight="1" outlineLevel="1">
      <c r="A490" s="1305"/>
      <c r="B490" s="1306"/>
      <c r="C490" s="1305"/>
      <c r="D490" s="100">
        <v>2025</v>
      </c>
      <c r="E490" s="102">
        <v>0</v>
      </c>
      <c r="F490" s="102">
        <v>0</v>
      </c>
      <c r="G490" s="102">
        <v>0</v>
      </c>
      <c r="H490" s="102">
        <v>0</v>
      </c>
      <c r="I490" s="102">
        <v>0</v>
      </c>
      <c r="J490" s="1305"/>
      <c r="K490" s="1305"/>
    </row>
    <row r="491" spans="1:12" ht="15" customHeight="1" outlineLevel="1">
      <c r="A491" s="1305"/>
      <c r="B491" s="1306"/>
      <c r="C491" s="1305"/>
      <c r="D491" s="100">
        <v>2026</v>
      </c>
      <c r="E491" s="102">
        <f t="shared" si="38"/>
        <v>0</v>
      </c>
      <c r="F491" s="102">
        <v>0</v>
      </c>
      <c r="G491" s="102">
        <v>0</v>
      </c>
      <c r="H491" s="102">
        <v>0</v>
      </c>
      <c r="I491" s="102">
        <v>0</v>
      </c>
      <c r="J491" s="1305"/>
      <c r="K491" s="1305"/>
    </row>
    <row r="492" spans="1:12" ht="15" customHeight="1" outlineLevel="1">
      <c r="A492" s="1305" t="s">
        <v>421</v>
      </c>
      <c r="B492" s="1306" t="s">
        <v>422</v>
      </c>
      <c r="C492" s="1305">
        <v>2022</v>
      </c>
      <c r="D492" s="100" t="s">
        <v>3</v>
      </c>
      <c r="E492" s="102">
        <f t="shared" si="38"/>
        <v>5000</v>
      </c>
      <c r="F492" s="102">
        <f>SUM(F493:F498)</f>
        <v>4750</v>
      </c>
      <c r="G492" s="102">
        <f>SUM(G493:G498)</f>
        <v>0</v>
      </c>
      <c r="H492" s="102">
        <f>SUM(H493:H498)</f>
        <v>250</v>
      </c>
      <c r="I492" s="102">
        <f>SUM(I493:I498)</f>
        <v>0</v>
      </c>
      <c r="J492" s="1305" t="s">
        <v>423</v>
      </c>
      <c r="K492" s="1305" t="s">
        <v>129</v>
      </c>
    </row>
    <row r="493" spans="1:12" ht="15" customHeight="1" outlineLevel="1">
      <c r="A493" s="1305"/>
      <c r="B493" s="1306"/>
      <c r="C493" s="1305"/>
      <c r="D493" s="100">
        <v>2021</v>
      </c>
      <c r="E493" s="102">
        <f t="shared" si="38"/>
        <v>0</v>
      </c>
      <c r="F493" s="102">
        <v>0</v>
      </c>
      <c r="G493" s="102">
        <v>0</v>
      </c>
      <c r="H493" s="102">
        <v>0</v>
      </c>
      <c r="I493" s="102">
        <v>0</v>
      </c>
      <c r="J493" s="1305"/>
      <c r="K493" s="1305"/>
    </row>
    <row r="494" spans="1:12" ht="15" customHeight="1" outlineLevel="1">
      <c r="A494" s="1305"/>
      <c r="B494" s="1306"/>
      <c r="C494" s="1305"/>
      <c r="D494" s="100">
        <v>2022</v>
      </c>
      <c r="E494" s="102">
        <f t="shared" si="38"/>
        <v>5000</v>
      </c>
      <c r="F494" s="102">
        <f>4750000/1000</f>
        <v>4750</v>
      </c>
      <c r="G494" s="102">
        <v>0</v>
      </c>
      <c r="H494" s="102">
        <f>F494*5%/95%</f>
        <v>250</v>
      </c>
      <c r="I494" s="102">
        <v>0</v>
      </c>
      <c r="J494" s="1305"/>
      <c r="K494" s="1305"/>
    </row>
    <row r="495" spans="1:12" ht="15" customHeight="1" outlineLevel="1">
      <c r="A495" s="1305"/>
      <c r="B495" s="1306"/>
      <c r="C495" s="1305"/>
      <c r="D495" s="100">
        <v>2023</v>
      </c>
      <c r="E495" s="102">
        <f t="shared" si="38"/>
        <v>0</v>
      </c>
      <c r="F495" s="102">
        <v>0</v>
      </c>
      <c r="G495" s="102">
        <v>0</v>
      </c>
      <c r="H495" s="102">
        <v>0</v>
      </c>
      <c r="I495" s="102">
        <v>0</v>
      </c>
      <c r="J495" s="1305"/>
      <c r="K495" s="1305"/>
    </row>
    <row r="496" spans="1:12" ht="15" customHeight="1" outlineLevel="1">
      <c r="A496" s="1305"/>
      <c r="B496" s="1306"/>
      <c r="C496" s="1305"/>
      <c r="D496" s="100">
        <v>2024</v>
      </c>
      <c r="E496" s="102">
        <f t="shared" si="38"/>
        <v>0</v>
      </c>
      <c r="F496" s="102">
        <v>0</v>
      </c>
      <c r="G496" s="102">
        <v>0</v>
      </c>
      <c r="H496" s="102">
        <v>0</v>
      </c>
      <c r="I496" s="102">
        <v>0</v>
      </c>
      <c r="J496" s="1305"/>
      <c r="K496" s="1305"/>
    </row>
    <row r="497" spans="1:11" ht="15" customHeight="1" outlineLevel="1">
      <c r="A497" s="1305"/>
      <c r="B497" s="1306"/>
      <c r="C497" s="1305"/>
      <c r="D497" s="100">
        <v>2025</v>
      </c>
      <c r="E497" s="102">
        <v>0</v>
      </c>
      <c r="F497" s="102">
        <v>0</v>
      </c>
      <c r="G497" s="102">
        <v>0</v>
      </c>
      <c r="H497" s="102">
        <v>0</v>
      </c>
      <c r="I497" s="102">
        <v>0</v>
      </c>
      <c r="J497" s="1305"/>
      <c r="K497" s="1305"/>
    </row>
    <row r="498" spans="1:11" ht="15" customHeight="1" outlineLevel="1">
      <c r="A498" s="1305"/>
      <c r="B498" s="1306"/>
      <c r="C498" s="1305"/>
      <c r="D498" s="100">
        <v>2026</v>
      </c>
      <c r="E498" s="102">
        <f t="shared" si="38"/>
        <v>0</v>
      </c>
      <c r="F498" s="102">
        <v>0</v>
      </c>
      <c r="G498" s="102">
        <v>0</v>
      </c>
      <c r="H498" s="102">
        <v>0</v>
      </c>
      <c r="I498" s="102">
        <v>0</v>
      </c>
      <c r="J498" s="1305"/>
      <c r="K498" s="1305"/>
    </row>
    <row r="499" spans="1:11" ht="15" customHeight="1" outlineLevel="1">
      <c r="A499" s="1305" t="s">
        <v>424</v>
      </c>
      <c r="B499" s="1306" t="s">
        <v>425</v>
      </c>
      <c r="C499" s="1305">
        <v>2022</v>
      </c>
      <c r="D499" s="100" t="s">
        <v>3</v>
      </c>
      <c r="E499" s="102">
        <f t="shared" si="38"/>
        <v>0</v>
      </c>
      <c r="F499" s="102">
        <f>SUM(F500:F505)</f>
        <v>0</v>
      </c>
      <c r="G499" s="102">
        <f>SUM(G500:G505)</f>
        <v>0</v>
      </c>
      <c r="H499" s="102">
        <f>SUM(H500:H505)</f>
        <v>0</v>
      </c>
      <c r="I499" s="102">
        <f>SUM(I500:I505)</f>
        <v>0</v>
      </c>
      <c r="J499" s="1305" t="s">
        <v>426</v>
      </c>
      <c r="K499" s="1305" t="s">
        <v>129</v>
      </c>
    </row>
    <row r="500" spans="1:11" ht="15" customHeight="1" outlineLevel="1">
      <c r="A500" s="1305"/>
      <c r="B500" s="1306"/>
      <c r="C500" s="1305"/>
      <c r="D500" s="100">
        <v>2021</v>
      </c>
      <c r="E500" s="102">
        <f t="shared" si="38"/>
        <v>0</v>
      </c>
      <c r="F500" s="102">
        <v>0</v>
      </c>
      <c r="G500" s="102">
        <f>SUM(G501:G506)</f>
        <v>0</v>
      </c>
      <c r="H500" s="102">
        <v>0</v>
      </c>
      <c r="I500" s="102">
        <f>SUM(I501:I506)</f>
        <v>0</v>
      </c>
      <c r="J500" s="1305"/>
      <c r="K500" s="1305"/>
    </row>
    <row r="501" spans="1:11" ht="15" customHeight="1" outlineLevel="1">
      <c r="A501" s="1305"/>
      <c r="B501" s="1306"/>
      <c r="C501" s="1305"/>
      <c r="D501" s="100">
        <v>2022</v>
      </c>
      <c r="E501" s="102">
        <f t="shared" si="38"/>
        <v>0</v>
      </c>
      <c r="F501" s="102">
        <v>0</v>
      </c>
      <c r="G501" s="102">
        <f>SUM(G502:G507)</f>
        <v>0</v>
      </c>
      <c r="H501" s="102">
        <v>0</v>
      </c>
      <c r="I501" s="102">
        <f>SUM(I502:I507)</f>
        <v>0</v>
      </c>
      <c r="J501" s="1305"/>
      <c r="K501" s="1305"/>
    </row>
    <row r="502" spans="1:11" ht="15" customHeight="1" outlineLevel="1">
      <c r="A502" s="1305"/>
      <c r="B502" s="1306"/>
      <c r="C502" s="1305"/>
      <c r="D502" s="100">
        <v>2023</v>
      </c>
      <c r="E502" s="102">
        <f t="shared" si="38"/>
        <v>0</v>
      </c>
      <c r="F502" s="102">
        <v>0</v>
      </c>
      <c r="G502" s="102">
        <f>SUM(G503:G508)</f>
        <v>0</v>
      </c>
      <c r="H502" s="102">
        <v>0</v>
      </c>
      <c r="I502" s="102">
        <f>SUM(I503:I508)</f>
        <v>0</v>
      </c>
      <c r="J502" s="1305"/>
      <c r="K502" s="1305"/>
    </row>
    <row r="503" spans="1:11" ht="15" customHeight="1" outlineLevel="1">
      <c r="A503" s="1305"/>
      <c r="B503" s="1306"/>
      <c r="C503" s="1305"/>
      <c r="D503" s="100">
        <v>2024</v>
      </c>
      <c r="E503" s="102">
        <f t="shared" si="38"/>
        <v>0</v>
      </c>
      <c r="F503" s="102">
        <v>0</v>
      </c>
      <c r="G503" s="102">
        <f>SUM(G505:G509)</f>
        <v>0</v>
      </c>
      <c r="H503" s="102">
        <v>0</v>
      </c>
      <c r="I503" s="102">
        <f>SUM(I505:I509)</f>
        <v>0</v>
      </c>
      <c r="J503" s="1305"/>
      <c r="K503" s="1305"/>
    </row>
    <row r="504" spans="1:11" ht="15" customHeight="1" outlineLevel="1">
      <c r="A504" s="1305"/>
      <c r="B504" s="1306"/>
      <c r="C504" s="1305"/>
      <c r="D504" s="100">
        <v>2025</v>
      </c>
      <c r="E504" s="102">
        <v>0</v>
      </c>
      <c r="F504" s="102">
        <v>0</v>
      </c>
      <c r="G504" s="102">
        <v>0</v>
      </c>
      <c r="H504" s="102">
        <v>0</v>
      </c>
      <c r="I504" s="102">
        <v>0</v>
      </c>
      <c r="J504" s="1305"/>
      <c r="K504" s="1305"/>
    </row>
    <row r="505" spans="1:11" ht="15" customHeight="1" outlineLevel="1">
      <c r="A505" s="1305"/>
      <c r="B505" s="1306"/>
      <c r="C505" s="1305"/>
      <c r="D505" s="100">
        <v>2026</v>
      </c>
      <c r="E505" s="102">
        <f t="shared" si="38"/>
        <v>0</v>
      </c>
      <c r="F505" s="102">
        <v>0</v>
      </c>
      <c r="G505" s="102">
        <f t="shared" ref="G505" si="39">SUM(G506:G510)</f>
        <v>0</v>
      </c>
      <c r="H505" s="102">
        <v>0</v>
      </c>
      <c r="I505" s="102">
        <f t="shared" ref="I505:I519" si="40">SUM(I506:I510)</f>
        <v>0</v>
      </c>
      <c r="J505" s="1305"/>
      <c r="K505" s="1305"/>
    </row>
    <row r="506" spans="1:11" ht="15" customHeight="1" outlineLevel="1">
      <c r="A506" s="1305" t="s">
        <v>427</v>
      </c>
      <c r="B506" s="1306" t="s">
        <v>121</v>
      </c>
      <c r="C506" s="1305">
        <v>2022</v>
      </c>
      <c r="D506" s="100" t="s">
        <v>3</v>
      </c>
      <c r="E506" s="102">
        <f t="shared" si="38"/>
        <v>6815.7889999999998</v>
      </c>
      <c r="F506" s="102">
        <f>SUM(F507:F512)</f>
        <v>6475</v>
      </c>
      <c r="G506" s="102">
        <f>SUM(G507:G512)</f>
        <v>0</v>
      </c>
      <c r="H506" s="102">
        <f>SUM(H507:H512)</f>
        <v>340.78899999999999</v>
      </c>
      <c r="I506" s="102">
        <f>SUM(I507:I512)</f>
        <v>0</v>
      </c>
      <c r="J506" s="1305" t="s">
        <v>428</v>
      </c>
      <c r="K506" s="1305" t="s">
        <v>129</v>
      </c>
    </row>
    <row r="507" spans="1:11" ht="15" customHeight="1" outlineLevel="1">
      <c r="A507" s="1305"/>
      <c r="B507" s="1306"/>
      <c r="C507" s="1305"/>
      <c r="D507" s="100">
        <v>2021</v>
      </c>
      <c r="E507" s="102">
        <f t="shared" si="38"/>
        <v>0</v>
      </c>
      <c r="F507" s="102">
        <v>0</v>
      </c>
      <c r="G507" s="102">
        <v>0</v>
      </c>
      <c r="H507" s="102">
        <v>0</v>
      </c>
      <c r="I507" s="102">
        <f>SUM(I508:I513)</f>
        <v>0</v>
      </c>
      <c r="J507" s="1305"/>
      <c r="K507" s="1305"/>
    </row>
    <row r="508" spans="1:11" ht="15" customHeight="1" outlineLevel="1">
      <c r="A508" s="1305"/>
      <c r="B508" s="1306"/>
      <c r="C508" s="1305"/>
      <c r="D508" s="100">
        <v>2022</v>
      </c>
      <c r="E508" s="102">
        <f t="shared" si="38"/>
        <v>6815.7889999999998</v>
      </c>
      <c r="F508" s="102">
        <v>6475</v>
      </c>
      <c r="G508" s="102">
        <v>0</v>
      </c>
      <c r="H508" s="102">
        <v>340.78899999999999</v>
      </c>
      <c r="I508" s="102">
        <f>SUM(I509:I514)</f>
        <v>0</v>
      </c>
      <c r="J508" s="1305"/>
      <c r="K508" s="1305"/>
    </row>
    <row r="509" spans="1:11" ht="15" customHeight="1" outlineLevel="1">
      <c r="A509" s="1305"/>
      <c r="B509" s="1306"/>
      <c r="C509" s="1305"/>
      <c r="D509" s="100">
        <v>2023</v>
      </c>
      <c r="E509" s="102">
        <f t="shared" si="38"/>
        <v>0</v>
      </c>
      <c r="F509" s="102">
        <v>0</v>
      </c>
      <c r="G509" s="102">
        <v>0</v>
      </c>
      <c r="H509" s="102">
        <v>0</v>
      </c>
      <c r="I509" s="102">
        <f>SUM(I510:I515)</f>
        <v>0</v>
      </c>
      <c r="J509" s="1305"/>
      <c r="K509" s="1305"/>
    </row>
    <row r="510" spans="1:11" ht="15" customHeight="1" outlineLevel="1">
      <c r="A510" s="1305"/>
      <c r="B510" s="1306"/>
      <c r="C510" s="1305"/>
      <c r="D510" s="100">
        <v>2024</v>
      </c>
      <c r="E510" s="102">
        <f t="shared" si="38"/>
        <v>0</v>
      </c>
      <c r="F510" s="102">
        <v>0</v>
      </c>
      <c r="G510" s="102">
        <v>0</v>
      </c>
      <c r="H510" s="102">
        <v>0</v>
      </c>
      <c r="I510" s="102">
        <f>SUM(I512:I516)</f>
        <v>0</v>
      </c>
      <c r="J510" s="1305"/>
      <c r="K510" s="1305"/>
    </row>
    <row r="511" spans="1:11" ht="15" customHeight="1" outlineLevel="1">
      <c r="A511" s="1305"/>
      <c r="B511" s="1306"/>
      <c r="C511" s="1305"/>
      <c r="D511" s="100">
        <v>2025</v>
      </c>
      <c r="E511" s="102">
        <v>0</v>
      </c>
      <c r="F511" s="102">
        <v>0</v>
      </c>
      <c r="G511" s="102">
        <v>0</v>
      </c>
      <c r="H511" s="102">
        <v>0</v>
      </c>
      <c r="I511" s="102">
        <v>0</v>
      </c>
      <c r="J511" s="1305"/>
      <c r="K511" s="1305"/>
    </row>
    <row r="512" spans="1:11" ht="15" customHeight="1" outlineLevel="1">
      <c r="A512" s="1305"/>
      <c r="B512" s="1306"/>
      <c r="C512" s="1305"/>
      <c r="D512" s="100">
        <v>2026</v>
      </c>
      <c r="E512" s="102">
        <f t="shared" ref="E512:E597" si="41">SUM(F512:I512)</f>
        <v>0</v>
      </c>
      <c r="F512" s="102">
        <v>0</v>
      </c>
      <c r="G512" s="102">
        <v>0</v>
      </c>
      <c r="H512" s="102">
        <v>0</v>
      </c>
      <c r="I512" s="102">
        <f t="shared" si="40"/>
        <v>0</v>
      </c>
      <c r="J512" s="1305"/>
      <c r="K512" s="1305"/>
    </row>
    <row r="513" spans="1:12" ht="15" customHeight="1" outlineLevel="1">
      <c r="A513" s="1305" t="s">
        <v>429</v>
      </c>
      <c r="B513" s="1306" t="s">
        <v>122</v>
      </c>
      <c r="C513" s="1305">
        <v>2022</v>
      </c>
      <c r="D513" s="100" t="s">
        <v>3</v>
      </c>
      <c r="E513" s="102">
        <f t="shared" si="41"/>
        <v>6717.1717171717173</v>
      </c>
      <c r="F513" s="102">
        <f>SUM(F514:F519)</f>
        <v>6650</v>
      </c>
      <c r="G513" s="102">
        <v>0</v>
      </c>
      <c r="H513" s="102">
        <f>SUM(H514:H519)</f>
        <v>67.171717171717177</v>
      </c>
      <c r="I513" s="102">
        <f>SUM(I514:I519)</f>
        <v>0</v>
      </c>
      <c r="J513" s="1305" t="s">
        <v>430</v>
      </c>
      <c r="K513" s="1305" t="s">
        <v>129</v>
      </c>
      <c r="L513" s="1301" t="s">
        <v>412</v>
      </c>
    </row>
    <row r="514" spans="1:12" ht="15" customHeight="1" outlineLevel="1">
      <c r="A514" s="1305"/>
      <c r="B514" s="1306"/>
      <c r="C514" s="1305"/>
      <c r="D514" s="100">
        <v>2021</v>
      </c>
      <c r="E514" s="102">
        <f t="shared" si="41"/>
        <v>0</v>
      </c>
      <c r="F514" s="102">
        <v>0</v>
      </c>
      <c r="G514" s="102">
        <v>0</v>
      </c>
      <c r="H514" s="102">
        <v>0</v>
      </c>
      <c r="I514" s="102">
        <f>SUM(I515:I520)</f>
        <v>0</v>
      </c>
      <c r="J514" s="1305"/>
      <c r="K514" s="1305"/>
      <c r="L514" s="1301"/>
    </row>
    <row r="515" spans="1:12" ht="15" customHeight="1" outlineLevel="1">
      <c r="A515" s="1305"/>
      <c r="B515" s="1306"/>
      <c r="C515" s="1305"/>
      <c r="D515" s="100">
        <v>2022</v>
      </c>
      <c r="E515" s="102">
        <f t="shared" si="41"/>
        <v>6717.1717171717173</v>
      </c>
      <c r="F515" s="102">
        <v>6650</v>
      </c>
      <c r="G515" s="102">
        <v>0</v>
      </c>
      <c r="H515" s="102">
        <f>F515/99*1</f>
        <v>67.171717171717177</v>
      </c>
      <c r="I515" s="102">
        <f>SUM(I516:I521)</f>
        <v>0</v>
      </c>
      <c r="J515" s="1305"/>
      <c r="K515" s="1305"/>
      <c r="L515" s="1301"/>
    </row>
    <row r="516" spans="1:12" ht="15" customHeight="1" outlineLevel="1">
      <c r="A516" s="1305"/>
      <c r="B516" s="1306"/>
      <c r="C516" s="1305"/>
      <c r="D516" s="100">
        <v>2023</v>
      </c>
      <c r="E516" s="102">
        <f t="shared" si="41"/>
        <v>0</v>
      </c>
      <c r="F516" s="102">
        <v>0</v>
      </c>
      <c r="G516" s="102">
        <v>0</v>
      </c>
      <c r="H516" s="102">
        <v>0</v>
      </c>
      <c r="I516" s="102">
        <f>SUM(I517:I522)</f>
        <v>0</v>
      </c>
      <c r="J516" s="1305"/>
      <c r="K516" s="1305"/>
      <c r="L516" s="1301"/>
    </row>
    <row r="517" spans="1:12" ht="15" customHeight="1" outlineLevel="1">
      <c r="A517" s="1305"/>
      <c r="B517" s="1306"/>
      <c r="C517" s="1305"/>
      <c r="D517" s="100">
        <v>2024</v>
      </c>
      <c r="E517" s="102">
        <f t="shared" si="41"/>
        <v>0</v>
      </c>
      <c r="F517" s="102">
        <v>0</v>
      </c>
      <c r="G517" s="102">
        <v>0</v>
      </c>
      <c r="H517" s="102">
        <v>0</v>
      </c>
      <c r="I517" s="102">
        <f>SUM(I519:I523)</f>
        <v>0</v>
      </c>
      <c r="J517" s="1305"/>
      <c r="K517" s="1305"/>
      <c r="L517" s="1301"/>
    </row>
    <row r="518" spans="1:12" ht="15" customHeight="1" outlineLevel="1">
      <c r="A518" s="1305"/>
      <c r="B518" s="1306"/>
      <c r="C518" s="1305"/>
      <c r="D518" s="100">
        <v>2025</v>
      </c>
      <c r="E518" s="102">
        <v>0</v>
      </c>
      <c r="F518" s="102">
        <v>0</v>
      </c>
      <c r="G518" s="102">
        <v>0</v>
      </c>
      <c r="H518" s="102">
        <v>0</v>
      </c>
      <c r="I518" s="102">
        <v>0</v>
      </c>
      <c r="J518" s="1305"/>
      <c r="K518" s="1305"/>
      <c r="L518" s="1301"/>
    </row>
    <row r="519" spans="1:12" ht="15" customHeight="1" outlineLevel="1">
      <c r="A519" s="1305"/>
      <c r="B519" s="1306"/>
      <c r="C519" s="1305"/>
      <c r="D519" s="100">
        <v>2026</v>
      </c>
      <c r="E519" s="102">
        <f t="shared" si="41"/>
        <v>0</v>
      </c>
      <c r="F519" s="102">
        <v>0</v>
      </c>
      <c r="G519" s="102">
        <v>0</v>
      </c>
      <c r="H519" s="102">
        <v>0</v>
      </c>
      <c r="I519" s="102">
        <f t="shared" si="40"/>
        <v>0</v>
      </c>
      <c r="J519" s="1305"/>
      <c r="K519" s="1305"/>
      <c r="L519" s="1301"/>
    </row>
    <row r="520" spans="1:12" ht="17.25" customHeight="1" outlineLevel="1">
      <c r="A520" s="1305" t="s">
        <v>431</v>
      </c>
      <c r="B520" s="1306" t="s">
        <v>432</v>
      </c>
      <c r="C520" s="1305">
        <v>2023</v>
      </c>
      <c r="D520" s="100" t="s">
        <v>3</v>
      </c>
      <c r="E520" s="102">
        <f t="shared" si="41"/>
        <v>0</v>
      </c>
      <c r="F520" s="102">
        <f>SUM(F521:F526)</f>
        <v>0</v>
      </c>
      <c r="G520" s="102">
        <v>0</v>
      </c>
      <c r="H520" s="102">
        <f>SUM(H521:H526)</f>
        <v>0</v>
      </c>
      <c r="I520" s="102">
        <f>SUM(I521:I526)</f>
        <v>0</v>
      </c>
      <c r="J520" s="1305" t="s">
        <v>433</v>
      </c>
      <c r="K520" s="1305" t="s">
        <v>416</v>
      </c>
    </row>
    <row r="521" spans="1:12" ht="17.25" customHeight="1" outlineLevel="1">
      <c r="A521" s="1305"/>
      <c r="B521" s="1306"/>
      <c r="C521" s="1305"/>
      <c r="D521" s="100">
        <v>2021</v>
      </c>
      <c r="E521" s="102">
        <f t="shared" si="41"/>
        <v>0</v>
      </c>
      <c r="F521" s="102">
        <v>0</v>
      </c>
      <c r="G521" s="102">
        <v>0</v>
      </c>
      <c r="H521" s="102">
        <v>0</v>
      </c>
      <c r="I521" s="102">
        <v>0</v>
      </c>
      <c r="J521" s="1305"/>
      <c r="K521" s="1305"/>
    </row>
    <row r="522" spans="1:12" ht="17.25" customHeight="1" outlineLevel="1">
      <c r="A522" s="1305"/>
      <c r="B522" s="1306"/>
      <c r="C522" s="1305"/>
      <c r="D522" s="100">
        <v>2022</v>
      </c>
      <c r="E522" s="102">
        <f t="shared" si="41"/>
        <v>0</v>
      </c>
      <c r="F522" s="102">
        <v>0</v>
      </c>
      <c r="G522" s="102">
        <v>0</v>
      </c>
      <c r="H522" s="102">
        <v>0</v>
      </c>
      <c r="I522" s="102">
        <v>0</v>
      </c>
      <c r="J522" s="1305"/>
      <c r="K522" s="1305"/>
    </row>
    <row r="523" spans="1:12" ht="17.25" customHeight="1" outlineLevel="1">
      <c r="A523" s="1305"/>
      <c r="B523" s="1306"/>
      <c r="C523" s="1305"/>
      <c r="D523" s="100">
        <v>2023</v>
      </c>
      <c r="E523" s="102">
        <f t="shared" si="41"/>
        <v>0</v>
      </c>
      <c r="F523" s="102">
        <v>0</v>
      </c>
      <c r="G523" s="102">
        <v>0</v>
      </c>
      <c r="H523" s="102">
        <v>0</v>
      </c>
      <c r="I523" s="102">
        <v>0</v>
      </c>
      <c r="J523" s="1305"/>
      <c r="K523" s="1305"/>
    </row>
    <row r="524" spans="1:12" ht="17.25" customHeight="1" outlineLevel="1">
      <c r="A524" s="1305"/>
      <c r="B524" s="1306"/>
      <c r="C524" s="1305"/>
      <c r="D524" s="100">
        <v>2024</v>
      </c>
      <c r="E524" s="102">
        <f t="shared" si="41"/>
        <v>0</v>
      </c>
      <c r="F524" s="102">
        <v>0</v>
      </c>
      <c r="G524" s="102">
        <v>0</v>
      </c>
      <c r="H524" s="102">
        <v>0</v>
      </c>
      <c r="I524" s="102">
        <v>0</v>
      </c>
      <c r="J524" s="1305"/>
      <c r="K524" s="1305"/>
    </row>
    <row r="525" spans="1:12" ht="17.25" customHeight="1" outlineLevel="1">
      <c r="A525" s="1305"/>
      <c r="B525" s="1306"/>
      <c r="C525" s="1305"/>
      <c r="D525" s="100">
        <v>2025</v>
      </c>
      <c r="E525" s="102">
        <v>0</v>
      </c>
      <c r="F525" s="102">
        <v>0</v>
      </c>
      <c r="G525" s="102">
        <v>0</v>
      </c>
      <c r="H525" s="102">
        <v>0</v>
      </c>
      <c r="I525" s="102">
        <v>0</v>
      </c>
      <c r="J525" s="1305"/>
      <c r="K525" s="1305"/>
    </row>
    <row r="526" spans="1:12" ht="17.25" customHeight="1" outlineLevel="1">
      <c r="A526" s="1305"/>
      <c r="B526" s="1306"/>
      <c r="C526" s="1305"/>
      <c r="D526" s="100">
        <v>2026</v>
      </c>
      <c r="E526" s="102">
        <f t="shared" si="41"/>
        <v>0</v>
      </c>
      <c r="F526" s="102">
        <v>0</v>
      </c>
      <c r="G526" s="102">
        <v>0</v>
      </c>
      <c r="H526" s="102">
        <v>0</v>
      </c>
      <c r="I526" s="102">
        <v>0</v>
      </c>
      <c r="J526" s="1305"/>
      <c r="K526" s="1305"/>
    </row>
    <row r="527" spans="1:12" ht="15" customHeight="1" outlineLevel="1">
      <c r="A527" s="1305" t="s">
        <v>434</v>
      </c>
      <c r="B527" s="1306" t="s">
        <v>435</v>
      </c>
      <c r="C527" s="1305">
        <v>2022</v>
      </c>
      <c r="D527" s="100" t="s">
        <v>3</v>
      </c>
      <c r="E527" s="102">
        <f t="shared" si="41"/>
        <v>0</v>
      </c>
      <c r="F527" s="102">
        <f>SUM(F528:F533)</f>
        <v>0</v>
      </c>
      <c r="G527" s="102">
        <f>SUM(G528:G533)</f>
        <v>0</v>
      </c>
      <c r="H527" s="102">
        <f>SUM(H528:H533)</f>
        <v>0</v>
      </c>
      <c r="I527" s="102">
        <f>SUM(I528:I533)</f>
        <v>0</v>
      </c>
      <c r="J527" s="1305" t="s">
        <v>436</v>
      </c>
      <c r="K527" s="1305" t="s">
        <v>129</v>
      </c>
      <c r="L527" s="1301"/>
    </row>
    <row r="528" spans="1:12" ht="15" customHeight="1" outlineLevel="1">
      <c r="A528" s="1305"/>
      <c r="B528" s="1306"/>
      <c r="C528" s="1305"/>
      <c r="D528" s="100">
        <v>2021</v>
      </c>
      <c r="E528" s="102">
        <f t="shared" si="41"/>
        <v>0</v>
      </c>
      <c r="F528" s="102">
        <v>0</v>
      </c>
      <c r="G528" s="102">
        <v>0</v>
      </c>
      <c r="H528" s="102">
        <v>0</v>
      </c>
      <c r="I528" s="102">
        <v>0</v>
      </c>
      <c r="J528" s="1305"/>
      <c r="K528" s="1305"/>
      <c r="L528" s="1301"/>
    </row>
    <row r="529" spans="1:12" ht="15" customHeight="1" outlineLevel="1">
      <c r="A529" s="1305"/>
      <c r="B529" s="1306"/>
      <c r="C529" s="1305"/>
      <c r="D529" s="100">
        <v>2022</v>
      </c>
      <c r="E529" s="102">
        <f t="shared" si="41"/>
        <v>0</v>
      </c>
      <c r="F529" s="102">
        <v>0</v>
      </c>
      <c r="G529" s="102">
        <v>0</v>
      </c>
      <c r="H529" s="102">
        <v>0</v>
      </c>
      <c r="I529" s="102">
        <v>0</v>
      </c>
      <c r="J529" s="1305"/>
      <c r="K529" s="1305"/>
      <c r="L529" s="1301"/>
    </row>
    <row r="530" spans="1:12" ht="15" customHeight="1" outlineLevel="1">
      <c r="A530" s="1305"/>
      <c r="B530" s="1306"/>
      <c r="C530" s="1305"/>
      <c r="D530" s="100">
        <v>2023</v>
      </c>
      <c r="E530" s="102">
        <f t="shared" si="41"/>
        <v>0</v>
      </c>
      <c r="F530" s="102">
        <v>0</v>
      </c>
      <c r="G530" s="102">
        <v>0</v>
      </c>
      <c r="H530" s="102">
        <v>0</v>
      </c>
      <c r="I530" s="102">
        <v>0</v>
      </c>
      <c r="J530" s="1305"/>
      <c r="K530" s="1305"/>
      <c r="L530" s="1301"/>
    </row>
    <row r="531" spans="1:12" ht="15" customHeight="1" outlineLevel="1">
      <c r="A531" s="1305"/>
      <c r="B531" s="1306"/>
      <c r="C531" s="1305"/>
      <c r="D531" s="100">
        <v>2024</v>
      </c>
      <c r="E531" s="102">
        <f t="shared" si="41"/>
        <v>0</v>
      </c>
      <c r="F531" s="102">
        <v>0</v>
      </c>
      <c r="G531" s="102">
        <v>0</v>
      </c>
      <c r="H531" s="102">
        <v>0</v>
      </c>
      <c r="I531" s="102">
        <v>0</v>
      </c>
      <c r="J531" s="1305"/>
      <c r="K531" s="1305"/>
      <c r="L531" s="1301"/>
    </row>
    <row r="532" spans="1:12" ht="15" customHeight="1" outlineLevel="1">
      <c r="A532" s="1305"/>
      <c r="B532" s="1306"/>
      <c r="C532" s="1305"/>
      <c r="D532" s="100">
        <v>2025</v>
      </c>
      <c r="E532" s="102">
        <v>0</v>
      </c>
      <c r="F532" s="102">
        <v>0</v>
      </c>
      <c r="G532" s="102">
        <v>0</v>
      </c>
      <c r="H532" s="102">
        <v>0</v>
      </c>
      <c r="I532" s="102">
        <v>0</v>
      </c>
      <c r="J532" s="1305"/>
      <c r="K532" s="1305"/>
      <c r="L532" s="1301"/>
    </row>
    <row r="533" spans="1:12" ht="15" customHeight="1" outlineLevel="1">
      <c r="A533" s="1305"/>
      <c r="B533" s="1306"/>
      <c r="C533" s="1305"/>
      <c r="D533" s="100">
        <v>2026</v>
      </c>
      <c r="E533" s="102">
        <f t="shared" si="41"/>
        <v>0</v>
      </c>
      <c r="F533" s="102">
        <v>0</v>
      </c>
      <c r="G533" s="102">
        <v>0</v>
      </c>
      <c r="H533" s="102">
        <v>0</v>
      </c>
      <c r="I533" s="102">
        <v>0</v>
      </c>
      <c r="J533" s="1305"/>
      <c r="K533" s="1305"/>
      <c r="L533" s="1301"/>
    </row>
    <row r="534" spans="1:12" ht="15" customHeight="1" outlineLevel="1">
      <c r="A534" s="1305" t="s">
        <v>437</v>
      </c>
      <c r="B534" s="1306" t="s">
        <v>438</v>
      </c>
      <c r="C534" s="1307" t="s">
        <v>368</v>
      </c>
      <c r="D534" s="100" t="s">
        <v>3</v>
      </c>
      <c r="E534" s="102">
        <f t="shared" si="41"/>
        <v>66399.149999999994</v>
      </c>
      <c r="F534" s="102">
        <f>SUM(F535:F540)</f>
        <v>66399.149999999994</v>
      </c>
      <c r="G534" s="102">
        <f>SUM(G535:G540)</f>
        <v>0</v>
      </c>
      <c r="H534" s="102">
        <f>SUM(H535:H540)</f>
        <v>0</v>
      </c>
      <c r="I534" s="102">
        <f>SUM(I535:I540)</f>
        <v>0</v>
      </c>
      <c r="J534" s="1305" t="s">
        <v>439</v>
      </c>
      <c r="K534" s="1305" t="s">
        <v>416</v>
      </c>
    </row>
    <row r="535" spans="1:12" ht="15" customHeight="1" outlineLevel="1">
      <c r="A535" s="1305"/>
      <c r="B535" s="1306"/>
      <c r="C535" s="1307"/>
      <c r="D535" s="100">
        <v>2021</v>
      </c>
      <c r="E535" s="102">
        <f t="shared" si="41"/>
        <v>0</v>
      </c>
      <c r="F535" s="102">
        <v>0</v>
      </c>
      <c r="G535" s="102">
        <v>0</v>
      </c>
      <c r="H535" s="102">
        <v>0</v>
      </c>
      <c r="I535" s="102">
        <v>0</v>
      </c>
      <c r="J535" s="1305"/>
      <c r="K535" s="1305"/>
    </row>
    <row r="536" spans="1:12" ht="15" customHeight="1" outlineLevel="1">
      <c r="A536" s="1305"/>
      <c r="B536" s="1306"/>
      <c r="C536" s="1307"/>
      <c r="D536" s="100">
        <v>2022</v>
      </c>
      <c r="E536" s="102">
        <f t="shared" si="41"/>
        <v>66399.149999999994</v>
      </c>
      <c r="F536" s="102">
        <f>200000-21582.6-112018.25</f>
        <v>66399.149999999994</v>
      </c>
      <c r="G536" s="102">
        <v>0</v>
      </c>
      <c r="H536" s="102">
        <v>0</v>
      </c>
      <c r="I536" s="102">
        <v>0</v>
      </c>
      <c r="J536" s="1305"/>
      <c r="K536" s="1305"/>
    </row>
    <row r="537" spans="1:12" ht="15" customHeight="1" outlineLevel="1">
      <c r="A537" s="1305"/>
      <c r="B537" s="1306"/>
      <c r="C537" s="1307"/>
      <c r="D537" s="100">
        <v>2023</v>
      </c>
      <c r="E537" s="102">
        <f t="shared" si="41"/>
        <v>0</v>
      </c>
      <c r="F537" s="102">
        <v>0</v>
      </c>
      <c r="G537" s="102">
        <v>0</v>
      </c>
      <c r="H537" s="102">
        <v>0</v>
      </c>
      <c r="I537" s="102">
        <v>0</v>
      </c>
      <c r="J537" s="1305"/>
      <c r="K537" s="1305"/>
    </row>
    <row r="538" spans="1:12" ht="15" customHeight="1" outlineLevel="1">
      <c r="A538" s="1305"/>
      <c r="B538" s="1306"/>
      <c r="C538" s="1307"/>
      <c r="D538" s="100">
        <v>2024</v>
      </c>
      <c r="E538" s="102">
        <f t="shared" si="41"/>
        <v>0</v>
      </c>
      <c r="F538" s="102">
        <v>0</v>
      </c>
      <c r="G538" s="102">
        <v>0</v>
      </c>
      <c r="H538" s="102">
        <v>0</v>
      </c>
      <c r="I538" s="102">
        <v>0</v>
      </c>
      <c r="J538" s="1305"/>
      <c r="K538" s="1305"/>
    </row>
    <row r="539" spans="1:12" ht="15" customHeight="1" outlineLevel="1">
      <c r="A539" s="1305"/>
      <c r="B539" s="1306"/>
      <c r="C539" s="1307"/>
      <c r="D539" s="100">
        <v>2025</v>
      </c>
      <c r="E539" s="102">
        <v>0</v>
      </c>
      <c r="F539" s="102">
        <v>0</v>
      </c>
      <c r="G539" s="102">
        <v>0</v>
      </c>
      <c r="H539" s="102">
        <v>0</v>
      </c>
      <c r="I539" s="102">
        <v>0</v>
      </c>
      <c r="J539" s="1305"/>
      <c r="K539" s="1305"/>
    </row>
    <row r="540" spans="1:12" ht="15" customHeight="1" outlineLevel="1">
      <c r="A540" s="1305"/>
      <c r="B540" s="1306"/>
      <c r="C540" s="1307"/>
      <c r="D540" s="100">
        <v>2026</v>
      </c>
      <c r="E540" s="102">
        <f t="shared" si="41"/>
        <v>0</v>
      </c>
      <c r="F540" s="102">
        <v>0</v>
      </c>
      <c r="G540" s="102">
        <v>0</v>
      </c>
      <c r="H540" s="102">
        <v>0</v>
      </c>
      <c r="I540" s="102">
        <v>0</v>
      </c>
      <c r="J540" s="1305"/>
      <c r="K540" s="1305"/>
    </row>
    <row r="541" spans="1:12" ht="15" customHeight="1" outlineLevel="1">
      <c r="A541" s="1305" t="s">
        <v>440</v>
      </c>
      <c r="B541" s="1306" t="s">
        <v>441</v>
      </c>
      <c r="C541" s="1305">
        <v>2022</v>
      </c>
      <c r="D541" s="100" t="s">
        <v>3</v>
      </c>
      <c r="E541" s="102">
        <f t="shared" si="41"/>
        <v>0</v>
      </c>
      <c r="F541" s="102">
        <f>SUM(F542:F547)</f>
        <v>0</v>
      </c>
      <c r="G541" s="102">
        <f>SUM(G542:G547)</f>
        <v>0</v>
      </c>
      <c r="H541" s="102">
        <f>SUM(H542:H547)</f>
        <v>0</v>
      </c>
      <c r="I541" s="102">
        <f>SUM(I542:I547)</f>
        <v>0</v>
      </c>
      <c r="J541" s="1305" t="s">
        <v>442</v>
      </c>
      <c r="K541" s="1305" t="s">
        <v>129</v>
      </c>
    </row>
    <row r="542" spans="1:12" ht="15" customHeight="1" outlineLevel="1">
      <c r="A542" s="1305"/>
      <c r="B542" s="1306"/>
      <c r="C542" s="1305"/>
      <c r="D542" s="100">
        <v>2021</v>
      </c>
      <c r="E542" s="102">
        <f t="shared" si="41"/>
        <v>0</v>
      </c>
      <c r="F542" s="102">
        <v>0</v>
      </c>
      <c r="G542" s="102">
        <v>0</v>
      </c>
      <c r="H542" s="102">
        <v>0</v>
      </c>
      <c r="I542" s="102">
        <v>0</v>
      </c>
      <c r="J542" s="1305"/>
      <c r="K542" s="1305"/>
    </row>
    <row r="543" spans="1:12" ht="15" customHeight="1" outlineLevel="1">
      <c r="A543" s="1305"/>
      <c r="B543" s="1306"/>
      <c r="C543" s="1305"/>
      <c r="D543" s="100">
        <v>2022</v>
      </c>
      <c r="E543" s="102">
        <f t="shared" si="41"/>
        <v>0</v>
      </c>
      <c r="F543" s="102">
        <v>0</v>
      </c>
      <c r="G543" s="102">
        <v>0</v>
      </c>
      <c r="H543" s="102">
        <v>0</v>
      </c>
      <c r="I543" s="102">
        <v>0</v>
      </c>
      <c r="J543" s="1305"/>
      <c r="K543" s="1305"/>
    </row>
    <row r="544" spans="1:12" ht="15" customHeight="1" outlineLevel="1">
      <c r="A544" s="1305"/>
      <c r="B544" s="1306"/>
      <c r="C544" s="1305"/>
      <c r="D544" s="100">
        <v>2023</v>
      </c>
      <c r="E544" s="102">
        <f t="shared" si="41"/>
        <v>0</v>
      </c>
      <c r="F544" s="102">
        <v>0</v>
      </c>
      <c r="G544" s="102">
        <v>0</v>
      </c>
      <c r="H544" s="102">
        <v>0</v>
      </c>
      <c r="I544" s="102">
        <v>0</v>
      </c>
      <c r="J544" s="1305"/>
      <c r="K544" s="1305"/>
    </row>
    <row r="545" spans="1:12" ht="15" customHeight="1" outlineLevel="1">
      <c r="A545" s="1305"/>
      <c r="B545" s="1306"/>
      <c r="C545" s="1305"/>
      <c r="D545" s="100">
        <v>2024</v>
      </c>
      <c r="E545" s="102">
        <f t="shared" si="41"/>
        <v>0</v>
      </c>
      <c r="F545" s="102">
        <v>0</v>
      </c>
      <c r="G545" s="102">
        <v>0</v>
      </c>
      <c r="H545" s="102">
        <v>0</v>
      </c>
      <c r="I545" s="102">
        <v>0</v>
      </c>
      <c r="J545" s="1305"/>
      <c r="K545" s="1305"/>
    </row>
    <row r="546" spans="1:12" ht="15" customHeight="1" outlineLevel="1">
      <c r="A546" s="1305"/>
      <c r="B546" s="1306"/>
      <c r="C546" s="1305"/>
      <c r="D546" s="100">
        <v>2025</v>
      </c>
      <c r="E546" s="102">
        <v>0</v>
      </c>
      <c r="F546" s="102">
        <v>0</v>
      </c>
      <c r="G546" s="102">
        <v>0</v>
      </c>
      <c r="H546" s="102">
        <v>0</v>
      </c>
      <c r="I546" s="102">
        <v>0</v>
      </c>
      <c r="J546" s="1305"/>
      <c r="K546" s="1305"/>
    </row>
    <row r="547" spans="1:12" ht="15" customHeight="1" outlineLevel="1">
      <c r="A547" s="1305"/>
      <c r="B547" s="1306"/>
      <c r="C547" s="1305"/>
      <c r="D547" s="100">
        <v>2026</v>
      </c>
      <c r="E547" s="102">
        <f t="shared" si="41"/>
        <v>0</v>
      </c>
      <c r="F547" s="102">
        <v>0</v>
      </c>
      <c r="G547" s="102">
        <v>0</v>
      </c>
      <c r="H547" s="102">
        <v>0</v>
      </c>
      <c r="I547" s="102">
        <v>0</v>
      </c>
      <c r="J547" s="1305"/>
      <c r="K547" s="1305"/>
    </row>
    <row r="548" spans="1:12" ht="15" customHeight="1" outlineLevel="1">
      <c r="A548" s="1305" t="s">
        <v>443</v>
      </c>
      <c r="B548" s="1306" t="s">
        <v>444</v>
      </c>
      <c r="C548" s="1305">
        <v>2022</v>
      </c>
      <c r="D548" s="100" t="s">
        <v>3</v>
      </c>
      <c r="E548" s="102">
        <f t="shared" si="41"/>
        <v>6133.3262999999997</v>
      </c>
      <c r="F548" s="102">
        <f>SUM(F549:F554)</f>
        <v>5826.66</v>
      </c>
      <c r="G548" s="102">
        <v>0</v>
      </c>
      <c r="H548" s="102">
        <f>SUM(H549:H554)</f>
        <v>306.66629999999998</v>
      </c>
      <c r="I548" s="102">
        <f>SUM(I549:I554)</f>
        <v>0</v>
      </c>
      <c r="J548" s="1305" t="s">
        <v>445</v>
      </c>
      <c r="K548" s="1305" t="s">
        <v>129</v>
      </c>
      <c r="L548" s="1301"/>
    </row>
    <row r="549" spans="1:12" outlineLevel="1">
      <c r="A549" s="1305"/>
      <c r="B549" s="1306"/>
      <c r="C549" s="1305"/>
      <c r="D549" s="100">
        <v>2021</v>
      </c>
      <c r="E549" s="102">
        <f t="shared" si="41"/>
        <v>0</v>
      </c>
      <c r="F549" s="102">
        <v>0</v>
      </c>
      <c r="G549" s="102">
        <v>0</v>
      </c>
      <c r="H549" s="102">
        <v>0</v>
      </c>
      <c r="I549" s="102">
        <v>0</v>
      </c>
      <c r="J549" s="1305"/>
      <c r="K549" s="1305"/>
      <c r="L549" s="1301"/>
    </row>
    <row r="550" spans="1:12" outlineLevel="1">
      <c r="A550" s="1305"/>
      <c r="B550" s="1306"/>
      <c r="C550" s="1305"/>
      <c r="D550" s="100">
        <v>2022</v>
      </c>
      <c r="E550" s="102">
        <f t="shared" si="41"/>
        <v>6133.3262999999997</v>
      </c>
      <c r="F550" s="102">
        <v>5826.66</v>
      </c>
      <c r="G550" s="102">
        <v>0</v>
      </c>
      <c r="H550" s="102">
        <v>306.66629999999998</v>
      </c>
      <c r="I550" s="102">
        <v>0</v>
      </c>
      <c r="J550" s="1305"/>
      <c r="K550" s="1305"/>
      <c r="L550" s="1301"/>
    </row>
    <row r="551" spans="1:12" outlineLevel="1">
      <c r="A551" s="1305"/>
      <c r="B551" s="1306"/>
      <c r="C551" s="1305"/>
      <c r="D551" s="100">
        <v>2023</v>
      </c>
      <c r="E551" s="102">
        <f t="shared" si="41"/>
        <v>0</v>
      </c>
      <c r="F551" s="102">
        <v>0</v>
      </c>
      <c r="G551" s="102">
        <v>0</v>
      </c>
      <c r="H551" s="102">
        <v>0</v>
      </c>
      <c r="I551" s="102">
        <v>0</v>
      </c>
      <c r="J551" s="1305"/>
      <c r="K551" s="1305"/>
    </row>
    <row r="552" spans="1:12" outlineLevel="1">
      <c r="A552" s="1305"/>
      <c r="B552" s="1306"/>
      <c r="C552" s="1305"/>
      <c r="D552" s="100">
        <v>2024</v>
      </c>
      <c r="E552" s="102">
        <f t="shared" si="41"/>
        <v>0</v>
      </c>
      <c r="F552" s="102">
        <v>0</v>
      </c>
      <c r="G552" s="102">
        <v>0</v>
      </c>
      <c r="H552" s="102">
        <v>0</v>
      </c>
      <c r="I552" s="102">
        <v>0</v>
      </c>
      <c r="J552" s="1305"/>
      <c r="K552" s="1305"/>
    </row>
    <row r="553" spans="1:12" outlineLevel="1">
      <c r="A553" s="1305"/>
      <c r="B553" s="1306"/>
      <c r="C553" s="1305"/>
      <c r="D553" s="100">
        <v>2025</v>
      </c>
      <c r="E553" s="102">
        <v>0</v>
      </c>
      <c r="F553" s="102">
        <v>0</v>
      </c>
      <c r="G553" s="102">
        <v>0</v>
      </c>
      <c r="H553" s="102">
        <v>0</v>
      </c>
      <c r="I553" s="102">
        <v>0</v>
      </c>
      <c r="J553" s="1305"/>
      <c r="K553" s="1305"/>
    </row>
    <row r="554" spans="1:12" outlineLevel="1">
      <c r="A554" s="1305"/>
      <c r="B554" s="1306"/>
      <c r="C554" s="1305"/>
      <c r="D554" s="100">
        <v>2026</v>
      </c>
      <c r="E554" s="102">
        <f t="shared" si="41"/>
        <v>0</v>
      </c>
      <c r="F554" s="102">
        <v>0</v>
      </c>
      <c r="G554" s="102">
        <v>0</v>
      </c>
      <c r="H554" s="102">
        <v>0</v>
      </c>
      <c r="I554" s="102">
        <v>0</v>
      </c>
      <c r="J554" s="1305"/>
      <c r="K554" s="1305"/>
    </row>
    <row r="555" spans="1:12" outlineLevel="1">
      <c r="A555" s="1305" t="s">
        <v>446</v>
      </c>
      <c r="B555" s="1306" t="s">
        <v>447</v>
      </c>
      <c r="C555" s="1305">
        <v>2023</v>
      </c>
      <c r="D555" s="100" t="s">
        <v>3</v>
      </c>
      <c r="E555" s="102">
        <f t="shared" si="41"/>
        <v>0</v>
      </c>
      <c r="F555" s="102">
        <f>SUM(F556:F561)</f>
        <v>0</v>
      </c>
      <c r="G555" s="102">
        <f>SUM(G556:G561)</f>
        <v>0</v>
      </c>
      <c r="H555" s="102">
        <f>SUM(H556:H561)</f>
        <v>0</v>
      </c>
      <c r="I555" s="102">
        <f>SUM(I556:I561)</f>
        <v>0</v>
      </c>
      <c r="J555" s="1305" t="s">
        <v>448</v>
      </c>
      <c r="K555" s="1305" t="s">
        <v>65</v>
      </c>
    </row>
    <row r="556" spans="1:12" outlineLevel="1">
      <c r="A556" s="1305"/>
      <c r="B556" s="1306"/>
      <c r="C556" s="1305"/>
      <c r="D556" s="100">
        <v>2021</v>
      </c>
      <c r="E556" s="102">
        <f t="shared" si="41"/>
        <v>0</v>
      </c>
      <c r="F556" s="102">
        <v>0</v>
      </c>
      <c r="G556" s="102">
        <v>0</v>
      </c>
      <c r="H556" s="102">
        <v>0</v>
      </c>
      <c r="I556" s="102">
        <v>0</v>
      </c>
      <c r="J556" s="1305"/>
      <c r="K556" s="1305"/>
    </row>
    <row r="557" spans="1:12" outlineLevel="1">
      <c r="A557" s="1305"/>
      <c r="B557" s="1306"/>
      <c r="C557" s="1305"/>
      <c r="D557" s="100">
        <v>2022</v>
      </c>
      <c r="E557" s="102">
        <f t="shared" si="41"/>
        <v>0</v>
      </c>
      <c r="F557" s="102">
        <v>0</v>
      </c>
      <c r="G557" s="102">
        <v>0</v>
      </c>
      <c r="H557" s="102">
        <v>0</v>
      </c>
      <c r="I557" s="102">
        <v>0</v>
      </c>
      <c r="J557" s="1305"/>
      <c r="K557" s="1305"/>
    </row>
    <row r="558" spans="1:12" outlineLevel="1">
      <c r="A558" s="1305"/>
      <c r="B558" s="1306"/>
      <c r="C558" s="1305"/>
      <c r="D558" s="100">
        <v>2023</v>
      </c>
      <c r="E558" s="102">
        <f t="shared" si="41"/>
        <v>0</v>
      </c>
      <c r="F558" s="102">
        <v>0</v>
      </c>
      <c r="G558" s="102">
        <v>0</v>
      </c>
      <c r="H558" s="102">
        <v>0</v>
      </c>
      <c r="I558" s="102">
        <v>0</v>
      </c>
      <c r="J558" s="1305"/>
      <c r="K558" s="1305"/>
    </row>
    <row r="559" spans="1:12" outlineLevel="1">
      <c r="A559" s="1305"/>
      <c r="B559" s="1306"/>
      <c r="C559" s="1305"/>
      <c r="D559" s="100">
        <v>2024</v>
      </c>
      <c r="E559" s="102">
        <f t="shared" si="41"/>
        <v>0</v>
      </c>
      <c r="F559" s="102">
        <v>0</v>
      </c>
      <c r="G559" s="102">
        <v>0</v>
      </c>
      <c r="H559" s="102">
        <v>0</v>
      </c>
      <c r="I559" s="102">
        <v>0</v>
      </c>
      <c r="J559" s="1305"/>
      <c r="K559" s="1305"/>
    </row>
    <row r="560" spans="1:12" outlineLevel="1">
      <c r="A560" s="1305"/>
      <c r="B560" s="1306"/>
      <c r="C560" s="1305"/>
      <c r="D560" s="100">
        <v>2025</v>
      </c>
      <c r="E560" s="102">
        <v>0</v>
      </c>
      <c r="F560" s="102">
        <v>0</v>
      </c>
      <c r="G560" s="102">
        <v>0</v>
      </c>
      <c r="H560" s="102">
        <v>0</v>
      </c>
      <c r="I560" s="102">
        <v>0</v>
      </c>
      <c r="J560" s="1305"/>
      <c r="K560" s="1305"/>
    </row>
    <row r="561" spans="1:11" outlineLevel="1">
      <c r="A561" s="1305"/>
      <c r="B561" s="1306"/>
      <c r="C561" s="1305"/>
      <c r="D561" s="100">
        <v>2026</v>
      </c>
      <c r="E561" s="102">
        <f t="shared" si="41"/>
        <v>0</v>
      </c>
      <c r="F561" s="102">
        <v>0</v>
      </c>
      <c r="G561" s="102">
        <v>0</v>
      </c>
      <c r="H561" s="102">
        <v>0</v>
      </c>
      <c r="I561" s="102">
        <v>0</v>
      </c>
      <c r="J561" s="1305"/>
      <c r="K561" s="1305"/>
    </row>
    <row r="562" spans="1:11" outlineLevel="1">
      <c r="A562" s="1295" t="s">
        <v>449</v>
      </c>
      <c r="B562" s="1311" t="s">
        <v>450</v>
      </c>
      <c r="C562" s="1295">
        <v>2024</v>
      </c>
      <c r="D562" s="100" t="s">
        <v>3</v>
      </c>
      <c r="E562" s="102">
        <f>[7]НОВЫЙ_МИНСТРОЙ!E515</f>
        <v>17927</v>
      </c>
      <c r="F562" s="102">
        <f>[7]НОВЫЙ_МИНСТРОЙ!F515</f>
        <v>17927</v>
      </c>
      <c r="G562" s="102">
        <f>[7]НОВЫЙ_МИНСТРОЙ!G515</f>
        <v>0</v>
      </c>
      <c r="H562" s="102">
        <f>[7]НОВЫЙ_МИНСТРОЙ!H515</f>
        <v>0</v>
      </c>
      <c r="I562" s="102">
        <f>[7]НОВЫЙ_МИНСТРОЙ!I515</f>
        <v>0</v>
      </c>
      <c r="J562" s="1295" t="s">
        <v>451</v>
      </c>
      <c r="K562" s="1295" t="s">
        <v>452</v>
      </c>
    </row>
    <row r="563" spans="1:11" outlineLevel="1">
      <c r="A563" s="1296"/>
      <c r="B563" s="1312"/>
      <c r="C563" s="1296"/>
      <c r="D563" s="100">
        <v>2021</v>
      </c>
      <c r="E563" s="102">
        <f>[7]НОВЫЙ_МИНСТРОЙ!E516</f>
        <v>0</v>
      </c>
      <c r="F563" s="102">
        <f>[7]НОВЫЙ_МИНСТРОЙ!F516</f>
        <v>0</v>
      </c>
      <c r="G563" s="102">
        <f>[7]НОВЫЙ_МИНСТРОЙ!G516</f>
        <v>0</v>
      </c>
      <c r="H563" s="102">
        <f>[7]НОВЫЙ_МИНСТРОЙ!H516</f>
        <v>0</v>
      </c>
      <c r="I563" s="102">
        <f>[7]НОВЫЙ_МИНСТРОЙ!I516</f>
        <v>0</v>
      </c>
      <c r="J563" s="1296"/>
      <c r="K563" s="1296"/>
    </row>
    <row r="564" spans="1:11" outlineLevel="1">
      <c r="A564" s="1296"/>
      <c r="B564" s="1312"/>
      <c r="C564" s="1296"/>
      <c r="D564" s="100">
        <v>2022</v>
      </c>
      <c r="E564" s="102">
        <f>[7]НОВЫЙ_МИНСТРОЙ!E517</f>
        <v>0</v>
      </c>
      <c r="F564" s="102">
        <f>[7]НОВЫЙ_МИНСТРОЙ!F517</f>
        <v>0</v>
      </c>
      <c r="G564" s="102">
        <f>[7]НОВЫЙ_МИНСТРОЙ!G517</f>
        <v>0</v>
      </c>
      <c r="H564" s="102">
        <f>[7]НОВЫЙ_МИНСТРОЙ!H517</f>
        <v>0</v>
      </c>
      <c r="I564" s="102">
        <f>[7]НОВЫЙ_МИНСТРОЙ!I517</f>
        <v>0</v>
      </c>
      <c r="J564" s="1296"/>
      <c r="K564" s="1296"/>
    </row>
    <row r="565" spans="1:11" outlineLevel="1">
      <c r="A565" s="1296"/>
      <c r="B565" s="1312"/>
      <c r="C565" s="1296"/>
      <c r="D565" s="100">
        <v>2023</v>
      </c>
      <c r="E565" s="102">
        <f>[7]НОВЫЙ_МИНСТРОЙ!E518</f>
        <v>0</v>
      </c>
      <c r="F565" s="102">
        <f>[7]НОВЫЙ_МИНСТРОЙ!F518</f>
        <v>0</v>
      </c>
      <c r="G565" s="102">
        <f>[7]НОВЫЙ_МИНСТРОЙ!G518</f>
        <v>0</v>
      </c>
      <c r="H565" s="102">
        <f>[7]НОВЫЙ_МИНСТРОЙ!H518</f>
        <v>0</v>
      </c>
      <c r="I565" s="102">
        <f>[7]НОВЫЙ_МИНСТРОЙ!I518</f>
        <v>0</v>
      </c>
      <c r="J565" s="1296"/>
      <c r="K565" s="1296"/>
    </row>
    <row r="566" spans="1:11" outlineLevel="1">
      <c r="A566" s="1296"/>
      <c r="B566" s="1312"/>
      <c r="C566" s="1296"/>
      <c r="D566" s="108">
        <v>2024</v>
      </c>
      <c r="E566" s="109">
        <f>[7]НОВЫЙ_МИНСТРОЙ!E519</f>
        <v>17927</v>
      </c>
      <c r="F566" s="109">
        <f>[7]НОВЫЙ_МИНСТРОЙ!F519</f>
        <v>17927</v>
      </c>
      <c r="G566" s="109">
        <f>[7]НОВЫЙ_МИНСТРОЙ!G519</f>
        <v>0</v>
      </c>
      <c r="H566" s="109">
        <f>[7]НОВЫЙ_МИНСТРОЙ!H519</f>
        <v>0</v>
      </c>
      <c r="I566" s="109">
        <f>[7]НОВЫЙ_МИНСТРОЙ!I519</f>
        <v>0</v>
      </c>
      <c r="J566" s="1296"/>
      <c r="K566" s="1296"/>
    </row>
    <row r="567" spans="1:11" outlineLevel="1">
      <c r="A567" s="1296"/>
      <c r="B567" s="1312"/>
      <c r="C567" s="1297"/>
      <c r="D567" s="100">
        <v>2025</v>
      </c>
      <c r="E567" s="102">
        <f>[7]НОВЫЙ_МИНСТРОЙ!E520</f>
        <v>0</v>
      </c>
      <c r="F567" s="102">
        <f>[7]НОВЫЙ_МИНСТРОЙ!F520</f>
        <v>0</v>
      </c>
      <c r="G567" s="102">
        <f>[7]НОВЫЙ_МИНСТРОЙ!G520</f>
        <v>0</v>
      </c>
      <c r="H567" s="102">
        <f>[7]НОВЫЙ_МИНСТРОЙ!H520</f>
        <v>0</v>
      </c>
      <c r="I567" s="102">
        <f>[7]НОВЫЙ_МИНСТРОЙ!I520</f>
        <v>0</v>
      </c>
      <c r="J567" s="1296"/>
      <c r="K567" s="1296"/>
    </row>
    <row r="568" spans="1:11" outlineLevel="1">
      <c r="A568" s="1295" t="s">
        <v>453</v>
      </c>
      <c r="B568" s="1311" t="s">
        <v>454</v>
      </c>
      <c r="C568" s="1295">
        <v>2024</v>
      </c>
      <c r="D568" s="100" t="s">
        <v>3</v>
      </c>
      <c r="E568" s="102">
        <f>[7]НОВЫЙ_МИНСТРОЙ!E521</f>
        <v>36376.927109999997</v>
      </c>
      <c r="F568" s="102">
        <f>[7]НОВЫЙ_МИНСТРОЙ!F521</f>
        <v>36376.927109999997</v>
      </c>
      <c r="G568" s="102">
        <f>[7]НОВЫЙ_МИНСТРОЙ!G521</f>
        <v>0</v>
      </c>
      <c r="H568" s="102">
        <f>[7]НОВЫЙ_МИНСТРОЙ!H521</f>
        <v>0</v>
      </c>
      <c r="I568" s="102">
        <f>[7]НОВЫЙ_МИНСТРОЙ!I521</f>
        <v>0</v>
      </c>
      <c r="J568" s="1313" t="s">
        <v>455</v>
      </c>
      <c r="K568" s="1313" t="s">
        <v>452</v>
      </c>
    </row>
    <row r="569" spans="1:11" outlineLevel="1">
      <c r="A569" s="1296"/>
      <c r="B569" s="1312"/>
      <c r="C569" s="1296"/>
      <c r="D569" s="100">
        <v>2021</v>
      </c>
      <c r="E569" s="102">
        <f>[7]НОВЫЙ_МИНСТРОЙ!E522</f>
        <v>0</v>
      </c>
      <c r="F569" s="102">
        <f>[7]НОВЫЙ_МИНСТРОЙ!F522</f>
        <v>0</v>
      </c>
      <c r="G569" s="102">
        <f>[7]НОВЫЙ_МИНСТРОЙ!G522</f>
        <v>0</v>
      </c>
      <c r="H569" s="102">
        <f>[7]НОВЫЙ_МИНСТРОЙ!H522</f>
        <v>0</v>
      </c>
      <c r="I569" s="102">
        <f>[7]НОВЫЙ_МИНСТРОЙ!I522</f>
        <v>0</v>
      </c>
      <c r="J569" s="1314"/>
      <c r="K569" s="1314"/>
    </row>
    <row r="570" spans="1:11" outlineLevel="1">
      <c r="A570" s="1296"/>
      <c r="B570" s="1312"/>
      <c r="C570" s="1296"/>
      <c r="D570" s="100">
        <v>2022</v>
      </c>
      <c r="E570" s="102">
        <f>[7]НОВЫЙ_МИНСТРОЙ!E523</f>
        <v>0</v>
      </c>
      <c r="F570" s="102">
        <f>[7]НОВЫЙ_МИНСТРОЙ!F523</f>
        <v>0</v>
      </c>
      <c r="G570" s="102">
        <f>[7]НОВЫЙ_МИНСТРОЙ!G523</f>
        <v>0</v>
      </c>
      <c r="H570" s="102">
        <f>[7]НОВЫЙ_МИНСТРОЙ!H523</f>
        <v>0</v>
      </c>
      <c r="I570" s="102">
        <f>[7]НОВЫЙ_МИНСТРОЙ!I523</f>
        <v>0</v>
      </c>
      <c r="J570" s="1314"/>
      <c r="K570" s="1314"/>
    </row>
    <row r="571" spans="1:11" outlineLevel="1">
      <c r="A571" s="1296"/>
      <c r="B571" s="1312"/>
      <c r="C571" s="1296"/>
      <c r="D571" s="100">
        <v>2023</v>
      </c>
      <c r="E571" s="102">
        <f>[7]НОВЫЙ_МИНСТРОЙ!E524</f>
        <v>0</v>
      </c>
      <c r="F571" s="102">
        <f>[7]НОВЫЙ_МИНСТРОЙ!F524</f>
        <v>0</v>
      </c>
      <c r="G571" s="102">
        <f>[7]НОВЫЙ_МИНСТРОЙ!G524</f>
        <v>0</v>
      </c>
      <c r="H571" s="102">
        <f>[7]НОВЫЙ_МИНСТРОЙ!H524</f>
        <v>0</v>
      </c>
      <c r="I571" s="102">
        <f>[7]НОВЫЙ_МИНСТРОЙ!I524</f>
        <v>0</v>
      </c>
      <c r="J571" s="1314"/>
      <c r="K571" s="1314"/>
    </row>
    <row r="572" spans="1:11" outlineLevel="1">
      <c r="A572" s="1296"/>
      <c r="B572" s="1312"/>
      <c r="C572" s="1296"/>
      <c r="D572" s="108">
        <v>2024</v>
      </c>
      <c r="E572" s="109">
        <f>[7]НОВЫЙ_МИНСТРОЙ!E525</f>
        <v>36376.927109999997</v>
      </c>
      <c r="F572" s="109">
        <f>[7]НОВЫЙ_МИНСТРОЙ!F525</f>
        <v>36376.927109999997</v>
      </c>
      <c r="G572" s="109">
        <f>[7]НОВЫЙ_МИНСТРОЙ!G525</f>
        <v>0</v>
      </c>
      <c r="H572" s="109">
        <f>[7]НОВЫЙ_МИНСТРОЙ!H525</f>
        <v>0</v>
      </c>
      <c r="I572" s="109">
        <f>[7]НОВЫЙ_МИНСТРОЙ!I525</f>
        <v>0</v>
      </c>
      <c r="J572" s="1314"/>
      <c r="K572" s="1314"/>
    </row>
    <row r="573" spans="1:11" outlineLevel="1">
      <c r="A573" s="1296"/>
      <c r="B573" s="1312"/>
      <c r="C573" s="1297"/>
      <c r="D573" s="100">
        <v>2025</v>
      </c>
      <c r="E573" s="102">
        <f>[7]НОВЫЙ_МИНСТРОЙ!E526</f>
        <v>0</v>
      </c>
      <c r="F573" s="102">
        <f>[7]НОВЫЙ_МИНСТРОЙ!F526</f>
        <v>0</v>
      </c>
      <c r="G573" s="102">
        <f>[7]НОВЫЙ_МИНСТРОЙ!G526</f>
        <v>0</v>
      </c>
      <c r="H573" s="102">
        <f>[7]НОВЫЙ_МИНСТРОЙ!H526</f>
        <v>0</v>
      </c>
      <c r="I573" s="102">
        <f>[7]НОВЫЙ_МИНСТРОЙ!I526</f>
        <v>0</v>
      </c>
      <c r="J573" s="1314"/>
      <c r="K573" s="1314"/>
    </row>
    <row r="574" spans="1:11" ht="17.100000000000001" customHeight="1" outlineLevel="1">
      <c r="A574" s="1295" t="s">
        <v>456</v>
      </c>
      <c r="B574" s="1308" t="s">
        <v>60</v>
      </c>
      <c r="C574" s="1295" t="s">
        <v>235</v>
      </c>
      <c r="D574" s="100" t="s">
        <v>3</v>
      </c>
      <c r="E574" s="102">
        <f t="shared" si="41"/>
        <v>1097326.8677618264</v>
      </c>
      <c r="F574" s="102">
        <f>SUM(F575:F580)</f>
        <v>1062342.07305</v>
      </c>
      <c r="G574" s="102">
        <f>SUM(G575:G579)</f>
        <v>0</v>
      </c>
      <c r="H574" s="102">
        <f>SUM(H575:H579)</f>
        <v>34984.794711826275</v>
      </c>
      <c r="I574" s="102">
        <f>SUM(I582:I587)</f>
        <v>0</v>
      </c>
      <c r="J574" s="1295" t="s">
        <v>457</v>
      </c>
      <c r="K574" s="1295" t="s">
        <v>458</v>
      </c>
    </row>
    <row r="575" spans="1:11" ht="17.100000000000001" customHeight="1" outlineLevel="1">
      <c r="A575" s="1296"/>
      <c r="B575" s="1309"/>
      <c r="C575" s="1296"/>
      <c r="D575" s="100">
        <v>2021</v>
      </c>
      <c r="E575" s="102">
        <f t="shared" si="41"/>
        <v>195224.35576589749</v>
      </c>
      <c r="F575" s="102">
        <f>SUM(F582+F589+F596+F603+F610+F617+F624+F631+F638+F645+F652+F659+F666+F673+F680+F687+F694+F701+F708+F715+F722+F729+F736+F743+F750+F757+F764+F771+F778)</f>
        <v>179524.59972</v>
      </c>
      <c r="G575" s="102">
        <f>SUM(G582+G589+G596+G603+G610+G617+G624+G631+G638+G645+G652+G659+G666+G673+G680+G687+G694+G701+G708+G715+G722+G729+G736+G743+G750+G757+G764+G771+G778)</f>
        <v>0</v>
      </c>
      <c r="H575" s="102">
        <f>SUM(H582+H589+H596+H603+H610+H617+H624+H631+H638+H645+H652+H659+H666+H673+H680+H687+H694+H701+H708+H715+H722+H729+H736+H743+H750+H757+H764+H771+H778)</f>
        <v>15699.756045897479</v>
      </c>
      <c r="I575" s="102">
        <f>SUM(I583:I588)</f>
        <v>0</v>
      </c>
      <c r="J575" s="1296"/>
      <c r="K575" s="1296"/>
    </row>
    <row r="576" spans="1:11" ht="17.100000000000001" customHeight="1" outlineLevel="1">
      <c r="A576" s="1296"/>
      <c r="B576" s="1309"/>
      <c r="C576" s="1296"/>
      <c r="D576" s="100">
        <v>2022</v>
      </c>
      <c r="E576" s="102">
        <f t="shared" si="41"/>
        <v>369218.75899592874</v>
      </c>
      <c r="F576" s="102">
        <f>SUM(F583+F590+F597+F604+F611+F618+F625+F632+F639+F646+F653+F660+F667+F674+F681+F688+F695+F702+F709+F716+F723+F730+F737+F744+F751+F758+F765+F772+F779+F786+F793+F800+F807)</f>
        <v>355399.40232999995</v>
      </c>
      <c r="G576" s="102">
        <f>SUM(G583+G590+G597+G604+G611+G618+G625+G632+G639+G646+G653+G660+G667+G674+G681+G688+G695+G702+G709+G716+G723+G730+G737+G744+G751+G758+G765+G772+G779)</f>
        <v>0</v>
      </c>
      <c r="H576" s="102">
        <f>SUM(H583+H590+H597+H604+H611+H618+H625+H632+H639+H646+H653+H660+H667+H674+H681+H688+H695+H702+H709+H716+H723+H730+H737+H744+H751+H758+H765+H772+H779+H786+H793+H800+H807)</f>
        <v>13819.356665928797</v>
      </c>
      <c r="I576" s="102">
        <f>SUM(I584:I589)</f>
        <v>0</v>
      </c>
      <c r="J576" s="1296"/>
      <c r="K576" s="1296"/>
    </row>
    <row r="577" spans="1:11" ht="17.100000000000001" customHeight="1" outlineLevel="1">
      <c r="A577" s="1296"/>
      <c r="B577" s="1309"/>
      <c r="C577" s="1296"/>
      <c r="D577" s="100">
        <v>2023</v>
      </c>
      <c r="E577" s="102">
        <f t="shared" si="41"/>
        <v>127612.45300000001</v>
      </c>
      <c r="F577" s="102">
        <f>SUM(F584+F591+F598+F605+F612+F619+F626+F633+F640+F647+F654+F661+F668+F675+F682+F689+F696+F703+F710+F717+F724+F731+F738+F745+F752+F759+F766+F773+F780)</f>
        <v>122146.77100000001</v>
      </c>
      <c r="G577" s="102">
        <f>SUM(G584+G591+G598+G605+G612+G619+G626+G633+G640+G647+G654+G661+G668+G675+G682+G689+G696+G703+G710+G717+G724+G731+G738+G745+G752+G759+G766+G773+G780)</f>
        <v>0</v>
      </c>
      <c r="H577" s="102">
        <f>SUM(H584+H591+H598+H605+H612+H619+H626+H633+H640+H647+H654+H661+H668+H675+H682+H689+H696+H703+H710+H717+H724+H731+H738+H745+H752+H759+H766+H773+H780)</f>
        <v>5465.6819999999998</v>
      </c>
      <c r="I577" s="102">
        <f>SUM(I584+I591+I598+I605+I612+I619+I626+I633+I640+I647+I654+I661+I668+I675+I682+I689+I696+I703+I710+I717+I724+I731+I738+I745+I752+I759+I766+I773+I780)</f>
        <v>0</v>
      </c>
      <c r="J577" s="1296"/>
      <c r="K577" s="1296"/>
    </row>
    <row r="578" spans="1:11" outlineLevel="1">
      <c r="A578" s="1296"/>
      <c r="B578" s="1309"/>
      <c r="C578" s="1296"/>
      <c r="D578" s="108">
        <v>2024</v>
      </c>
      <c r="E578" s="109">
        <f t="shared" si="41"/>
        <v>10400</v>
      </c>
      <c r="F578" s="109">
        <f>SUM(F585+F592+F599+F606+F613+F620+F627+F634+F641+F648+F655+F662+F669+F676+F683+F690+F697+F704+F711+F718+F725+F732+F739+F746+F753+F760+F767+F774+F781+F816+F823)</f>
        <v>10400</v>
      </c>
      <c r="G578" s="109">
        <f>SUM(G585+G592+G599+G606+G613+G620+G627+G634+G641+G648+G655+G662+G669+G676+G683+G690+G697+G704+G711+G718+G725+G732+G739+G746+G753+G760+G767+G774+G781)</f>
        <v>0</v>
      </c>
      <c r="H578" s="109">
        <f>SUM(H585+H592+H599+H606+H613+H620+H627+H634+H641+H648+H655+H662+H669+H676+H683+H690+H697+H704+H711+H718+H725+H732+H739+H746+H753+H760+H767+H774+H781)</f>
        <v>0</v>
      </c>
      <c r="I578" s="109">
        <f>SUM(I585+I592+I599+I606+I613+I620+I627+I634+I641+I648+I655+I662+I669+I676+I683+I690+I697+I704+I711+I718+I725+I732+I739+I746+I753+I760+I767+I774+I781)</f>
        <v>0</v>
      </c>
      <c r="J578" s="1296"/>
      <c r="K578" s="1296"/>
    </row>
    <row r="579" spans="1:11" outlineLevel="1">
      <c r="A579" s="1296"/>
      <c r="B579" s="1309"/>
      <c r="C579" s="1296"/>
      <c r="D579" s="100">
        <v>2025</v>
      </c>
      <c r="E579" s="102">
        <f t="shared" si="41"/>
        <v>10400</v>
      </c>
      <c r="F579" s="102">
        <f>SUM(F587+F593+F601+F608+F615+F622+F629+F636+F643+F650+F657+F664+F671+F678+F685+F692+F699+F705+F713+F720+F727+F734+F741+F748+F755+F762+F769+F776+F783+F817+F824)</f>
        <v>10400</v>
      </c>
      <c r="G579" s="102">
        <f>SUM(G587+G593+G601+G608+G615+G622+G629+G636+G643+G650+G657+G664+G671+G678+G685+G692+G699+G705+G713+G720+G727+G734+G741+G748+G755+G762+G769+G776+G783)</f>
        <v>0</v>
      </c>
      <c r="H579" s="102">
        <f>SUM(H587+H593+H601+H608+H615+H622+H629+H636+H643+H650+H657+H664+H671+H678+H685+H692+H699+H705+H713+H720+H727+H734+H741+H748+H755+H762+H769+H776+H783)</f>
        <v>0</v>
      </c>
      <c r="I579" s="102">
        <f>SUM(I587+I593+I601+I608+I615+I622+I629+I636+I643+I650+I657+I664+I671+I678+I685+I692+I699+I705+I713+I720+I727+I734+I741+I748+I755+I762+I769+I776+I783)</f>
        <v>0</v>
      </c>
      <c r="J579" s="1296"/>
      <c r="K579" s="1296"/>
    </row>
    <row r="580" spans="1:11" outlineLevel="1">
      <c r="A580" s="1297"/>
      <c r="B580" s="1310"/>
      <c r="C580" s="1297"/>
      <c r="D580" s="100">
        <v>2026</v>
      </c>
      <c r="E580" s="102">
        <f t="shared" si="41"/>
        <v>384471.30000000005</v>
      </c>
      <c r="F580" s="102">
        <f>SUM(F594,F706,F818,F825)</f>
        <v>384471.30000000005</v>
      </c>
      <c r="G580" s="102">
        <f t="shared" ref="G580:I580" si="42">SUM(G594,G818,G825)</f>
        <v>0</v>
      </c>
      <c r="H580" s="102">
        <f t="shared" si="42"/>
        <v>0</v>
      </c>
      <c r="I580" s="102">
        <f t="shared" si="42"/>
        <v>0</v>
      </c>
      <c r="J580" s="1297"/>
      <c r="K580" s="1297"/>
    </row>
    <row r="581" spans="1:11" ht="17.100000000000001" customHeight="1" outlineLevel="1">
      <c r="A581" s="1305" t="s">
        <v>53</v>
      </c>
      <c r="B581" s="1306" t="s">
        <v>84</v>
      </c>
      <c r="C581" s="1295" t="s">
        <v>389</v>
      </c>
      <c r="D581" s="100" t="s">
        <v>3</v>
      </c>
      <c r="E581" s="102">
        <f t="shared" si="41"/>
        <v>54408.455999999998</v>
      </c>
      <c r="F581" s="102">
        <f>SUM(F582:F587)</f>
        <v>50810.661</v>
      </c>
      <c r="G581" s="102">
        <f>SUM(G582:G587)</f>
        <v>0</v>
      </c>
      <c r="H581" s="102">
        <f>SUM(H582:H587)</f>
        <v>3597.7950000000001</v>
      </c>
      <c r="I581" s="102">
        <f>SUM(I582:I587)</f>
        <v>0</v>
      </c>
      <c r="J581" s="1298" t="s">
        <v>459</v>
      </c>
      <c r="K581" s="1307" t="s">
        <v>139</v>
      </c>
    </row>
    <row r="582" spans="1:11" ht="17.100000000000001" customHeight="1" outlineLevel="1">
      <c r="A582" s="1305"/>
      <c r="B582" s="1306"/>
      <c r="C582" s="1296"/>
      <c r="D582" s="100">
        <v>2021</v>
      </c>
      <c r="E582" s="102">
        <f t="shared" si="41"/>
        <v>27027.03</v>
      </c>
      <c r="F582" s="102">
        <v>25000</v>
      </c>
      <c r="G582" s="102">
        <v>0</v>
      </c>
      <c r="H582" s="102">
        <v>2027.03</v>
      </c>
      <c r="I582" s="102">
        <v>0</v>
      </c>
      <c r="J582" s="1299"/>
      <c r="K582" s="1307"/>
    </row>
    <row r="583" spans="1:11" ht="17.100000000000001" customHeight="1" outlineLevel="1">
      <c r="A583" s="1305"/>
      <c r="B583" s="1306"/>
      <c r="C583" s="1296"/>
      <c r="D583" s="100">
        <v>2022</v>
      </c>
      <c r="E583" s="102">
        <f t="shared" si="41"/>
        <v>8067.7860000000001</v>
      </c>
      <c r="F583" s="102">
        <v>7462.7030000000004</v>
      </c>
      <c r="G583" s="102">
        <v>0</v>
      </c>
      <c r="H583" s="102">
        <v>605.08299999999997</v>
      </c>
      <c r="I583" s="102">
        <v>0</v>
      </c>
      <c r="J583" s="1299"/>
      <c r="K583" s="1307"/>
    </row>
    <row r="584" spans="1:11" ht="17.100000000000001" customHeight="1" outlineLevel="1">
      <c r="A584" s="1305"/>
      <c r="B584" s="1306"/>
      <c r="C584" s="1296"/>
      <c r="D584" s="100">
        <v>2023</v>
      </c>
      <c r="E584" s="102">
        <f t="shared" si="41"/>
        <v>19313.64</v>
      </c>
      <c r="F584" s="102">
        <f>24463.944-6115.986</f>
        <v>18347.957999999999</v>
      </c>
      <c r="G584" s="102">
        <v>0</v>
      </c>
      <c r="H584" s="102">
        <v>965.68200000000002</v>
      </c>
      <c r="I584" s="102">
        <v>0</v>
      </c>
      <c r="J584" s="1299"/>
      <c r="K584" s="1307"/>
    </row>
    <row r="585" spans="1:11" outlineLevel="1">
      <c r="A585" s="1305"/>
      <c r="B585" s="1306"/>
      <c r="C585" s="1296"/>
      <c r="D585" s="100">
        <v>2024</v>
      </c>
      <c r="E585" s="102">
        <f t="shared" si="41"/>
        <v>0</v>
      </c>
      <c r="F585" s="102">
        <v>0</v>
      </c>
      <c r="G585" s="102">
        <v>0</v>
      </c>
      <c r="H585" s="102">
        <v>0</v>
      </c>
      <c r="I585" s="102">
        <f>'334-ПП'!Q111</f>
        <v>0</v>
      </c>
      <c r="J585" s="1299"/>
      <c r="K585" s="1307"/>
    </row>
    <row r="586" spans="1:11" outlineLevel="1">
      <c r="A586" s="1305"/>
      <c r="B586" s="1306"/>
      <c r="C586" s="1296"/>
      <c r="D586" s="100">
        <v>2025</v>
      </c>
      <c r="E586" s="102">
        <v>0</v>
      </c>
      <c r="F586" s="102">
        <v>0</v>
      </c>
      <c r="G586" s="102">
        <v>0</v>
      </c>
      <c r="H586" s="102">
        <v>0</v>
      </c>
      <c r="I586" s="102">
        <v>0</v>
      </c>
      <c r="J586" s="1299"/>
      <c r="K586" s="1307"/>
    </row>
    <row r="587" spans="1:11" outlineLevel="1">
      <c r="A587" s="1305"/>
      <c r="B587" s="1306"/>
      <c r="C587" s="1297"/>
      <c r="D587" s="100">
        <v>2026</v>
      </c>
      <c r="E587" s="102">
        <f t="shared" si="41"/>
        <v>0</v>
      </c>
      <c r="F587" s="102">
        <v>0</v>
      </c>
      <c r="G587" s="102">
        <v>0</v>
      </c>
      <c r="H587" s="102">
        <v>0</v>
      </c>
      <c r="I587" s="102">
        <v>0</v>
      </c>
      <c r="J587" s="1300"/>
      <c r="K587" s="1307"/>
    </row>
    <row r="588" spans="1:11" ht="17.100000000000001" customHeight="1" outlineLevel="1">
      <c r="A588" s="1295" t="s">
        <v>126</v>
      </c>
      <c r="B588" s="1308" t="s">
        <v>19</v>
      </c>
      <c r="C588" s="1295" t="s">
        <v>235</v>
      </c>
      <c r="D588" s="100" t="s">
        <v>3</v>
      </c>
      <c r="E588" s="102">
        <f t="shared" si="41"/>
        <v>78406.856999999989</v>
      </c>
      <c r="F588" s="102">
        <f>SUM(F589:F594)</f>
        <v>78406.856999999989</v>
      </c>
      <c r="G588" s="102">
        <f>SUM(G589:G593)</f>
        <v>0</v>
      </c>
      <c r="H588" s="102">
        <f>SUM(H589:H593)</f>
        <v>0</v>
      </c>
      <c r="I588" s="102">
        <f>SUM(I589:I593)</f>
        <v>0</v>
      </c>
      <c r="J588" s="1295" t="s">
        <v>144</v>
      </c>
      <c r="K588" s="1295" t="s">
        <v>142</v>
      </c>
    </row>
    <row r="589" spans="1:11" ht="17.100000000000001" customHeight="1" outlineLevel="1">
      <c r="A589" s="1296"/>
      <c r="B589" s="1309"/>
      <c r="C589" s="1296"/>
      <c r="D589" s="100">
        <v>2021</v>
      </c>
      <c r="E589" s="102">
        <f t="shared" si="41"/>
        <v>6000</v>
      </c>
      <c r="F589" s="102">
        <v>6000</v>
      </c>
      <c r="G589" s="102">
        <v>0</v>
      </c>
      <c r="H589" s="102">
        <v>0</v>
      </c>
      <c r="I589" s="102">
        <v>0</v>
      </c>
      <c r="J589" s="1296"/>
      <c r="K589" s="1296"/>
    </row>
    <row r="590" spans="1:11" ht="17.100000000000001" customHeight="1" outlineLevel="1">
      <c r="A590" s="1296"/>
      <c r="B590" s="1309"/>
      <c r="C590" s="1296"/>
      <c r="D590" s="100">
        <v>2022</v>
      </c>
      <c r="E590" s="102">
        <f t="shared" si="41"/>
        <v>42479.56</v>
      </c>
      <c r="F590" s="102">
        <v>42479.56</v>
      </c>
      <c r="G590" s="102">
        <v>0</v>
      </c>
      <c r="H590" s="102">
        <v>0</v>
      </c>
      <c r="I590" s="102">
        <v>0</v>
      </c>
      <c r="J590" s="1296"/>
      <c r="K590" s="1296"/>
    </row>
    <row r="591" spans="1:11" ht="17.100000000000001" customHeight="1" outlineLevel="1">
      <c r="A591" s="1296"/>
      <c r="B591" s="1309"/>
      <c r="C591" s="1296"/>
      <c r="D591" s="100">
        <v>2023</v>
      </c>
      <c r="E591" s="102">
        <f t="shared" si="41"/>
        <v>11927.296999999999</v>
      </c>
      <c r="F591" s="102">
        <f>6000+5927.297</f>
        <v>11927.296999999999</v>
      </c>
      <c r="G591" s="102">
        <v>0</v>
      </c>
      <c r="H591" s="102">
        <v>0</v>
      </c>
      <c r="I591" s="102">
        <v>0</v>
      </c>
      <c r="J591" s="1296"/>
      <c r="K591" s="1296"/>
    </row>
    <row r="592" spans="1:11" outlineLevel="1">
      <c r="A592" s="1296"/>
      <c r="B592" s="1309"/>
      <c r="C592" s="1296"/>
      <c r="D592" s="108">
        <v>2024</v>
      </c>
      <c r="E592" s="109">
        <f t="shared" si="41"/>
        <v>6000</v>
      </c>
      <c r="F592" s="109">
        <f>6000</f>
        <v>6000</v>
      </c>
      <c r="G592" s="109">
        <v>0</v>
      </c>
      <c r="H592" s="109">
        <v>0</v>
      </c>
      <c r="I592" s="109">
        <v>0</v>
      </c>
      <c r="J592" s="1296"/>
      <c r="K592" s="1296"/>
    </row>
    <row r="593" spans="1:11" outlineLevel="1">
      <c r="A593" s="1296"/>
      <c r="B593" s="1309"/>
      <c r="C593" s="1296"/>
      <c r="D593" s="100">
        <v>2025</v>
      </c>
      <c r="E593" s="102">
        <f t="shared" si="41"/>
        <v>6000</v>
      </c>
      <c r="F593" s="102">
        <v>6000</v>
      </c>
      <c r="G593" s="102">
        <v>0</v>
      </c>
      <c r="H593" s="102">
        <v>0</v>
      </c>
      <c r="I593" s="102">
        <v>0</v>
      </c>
      <c r="J593" s="1296"/>
      <c r="K593" s="1296"/>
    </row>
    <row r="594" spans="1:11" outlineLevel="1">
      <c r="A594" s="1297"/>
      <c r="B594" s="1310"/>
      <c r="C594" s="1297"/>
      <c r="D594" s="100">
        <v>2026</v>
      </c>
      <c r="E594" s="102">
        <f>SUM(F594:I594)</f>
        <v>6000</v>
      </c>
      <c r="F594" s="102">
        <v>6000</v>
      </c>
      <c r="G594" s="102"/>
      <c r="H594" s="102"/>
      <c r="I594" s="102"/>
      <c r="J594" s="1297"/>
      <c r="K594" s="1297"/>
    </row>
    <row r="595" spans="1:11" ht="17.100000000000001" customHeight="1" outlineLevel="1">
      <c r="A595" s="1305" t="s">
        <v>460</v>
      </c>
      <c r="B595" s="1306" t="s">
        <v>461</v>
      </c>
      <c r="C595" s="1295" t="s">
        <v>389</v>
      </c>
      <c r="D595" s="100" t="s">
        <v>3</v>
      </c>
      <c r="E595" s="102">
        <f t="shared" si="41"/>
        <v>31683.69587</v>
      </c>
      <c r="F595" s="102">
        <f>SUM(F596:F601)</f>
        <v>31683.69587</v>
      </c>
      <c r="G595" s="102">
        <f>SUM(G596:G601)</f>
        <v>0</v>
      </c>
      <c r="H595" s="102">
        <f>SUM(H596:H601)</f>
        <v>0</v>
      </c>
      <c r="I595" s="102">
        <f>SUM(I596:I601)</f>
        <v>0</v>
      </c>
      <c r="J595" s="1305" t="s">
        <v>462</v>
      </c>
      <c r="K595" s="1305" t="s">
        <v>241</v>
      </c>
    </row>
    <row r="596" spans="1:11" ht="17.100000000000001" customHeight="1" outlineLevel="1">
      <c r="A596" s="1305"/>
      <c r="B596" s="1306"/>
      <c r="C596" s="1296"/>
      <c r="D596" s="100">
        <v>2021</v>
      </c>
      <c r="E596" s="102">
        <f t="shared" si="41"/>
        <v>3963.1770000000001</v>
      </c>
      <c r="F596" s="102">
        <f>3963177/1000</f>
        <v>3963.1770000000001</v>
      </c>
      <c r="G596" s="102">
        <v>0</v>
      </c>
      <c r="H596" s="102">
        <v>0</v>
      </c>
      <c r="I596" s="102">
        <v>0</v>
      </c>
      <c r="J596" s="1305"/>
      <c r="K596" s="1305"/>
    </row>
    <row r="597" spans="1:11" ht="17.100000000000001" customHeight="1" outlineLevel="1">
      <c r="A597" s="1305"/>
      <c r="B597" s="1306"/>
      <c r="C597" s="1296"/>
      <c r="D597" s="100">
        <v>2022</v>
      </c>
      <c r="E597" s="102">
        <f t="shared" si="41"/>
        <v>25913.068869999999</v>
      </c>
      <c r="F597" s="102">
        <f>32144.3+6312.158-13089.787+546.39787</f>
        <v>25913.068869999999</v>
      </c>
      <c r="G597" s="102">
        <v>0</v>
      </c>
      <c r="H597" s="102">
        <v>0</v>
      </c>
      <c r="I597" s="102">
        <v>0</v>
      </c>
      <c r="J597" s="1305"/>
      <c r="K597" s="1305"/>
    </row>
    <row r="598" spans="1:11" ht="17.100000000000001" customHeight="1" outlineLevel="1">
      <c r="A598" s="1305"/>
      <c r="B598" s="1306"/>
      <c r="C598" s="1296"/>
      <c r="D598" s="100">
        <v>2023</v>
      </c>
      <c r="E598" s="102">
        <f t="shared" ref="E598:E672" si="43">SUM(F598:I598)</f>
        <v>1807.45</v>
      </c>
      <c r="F598" s="102">
        <v>1807.45</v>
      </c>
      <c r="G598" s="102">
        <v>0</v>
      </c>
      <c r="H598" s="102">
        <v>0</v>
      </c>
      <c r="I598" s="102">
        <v>0</v>
      </c>
      <c r="J598" s="1305"/>
      <c r="K598" s="1305"/>
    </row>
    <row r="599" spans="1:11" outlineLevel="1">
      <c r="A599" s="1305"/>
      <c r="B599" s="1306"/>
      <c r="C599" s="1296"/>
      <c r="D599" s="100">
        <v>2024</v>
      </c>
      <c r="E599" s="102">
        <f t="shared" si="43"/>
        <v>0</v>
      </c>
      <c r="F599" s="102">
        <v>0</v>
      </c>
      <c r="G599" s="102">
        <v>0</v>
      </c>
      <c r="H599" s="102">
        <v>0</v>
      </c>
      <c r="I599" s="102">
        <v>0</v>
      </c>
      <c r="J599" s="1305"/>
      <c r="K599" s="1305"/>
    </row>
    <row r="600" spans="1:11" outlineLevel="1">
      <c r="A600" s="1305"/>
      <c r="B600" s="1306"/>
      <c r="C600" s="1296"/>
      <c r="D600" s="100">
        <v>2025</v>
      </c>
      <c r="E600" s="102">
        <v>0</v>
      </c>
      <c r="F600" s="102">
        <v>0</v>
      </c>
      <c r="G600" s="102">
        <v>0</v>
      </c>
      <c r="H600" s="102">
        <v>0</v>
      </c>
      <c r="I600" s="102">
        <v>0</v>
      </c>
      <c r="J600" s="1305"/>
      <c r="K600" s="1305"/>
    </row>
    <row r="601" spans="1:11" outlineLevel="1">
      <c r="A601" s="1305"/>
      <c r="B601" s="1306"/>
      <c r="C601" s="1297"/>
      <c r="D601" s="100">
        <v>2026</v>
      </c>
      <c r="E601" s="102">
        <f t="shared" si="43"/>
        <v>0</v>
      </c>
      <c r="F601" s="102">
        <v>0</v>
      </c>
      <c r="G601" s="102">
        <v>0</v>
      </c>
      <c r="H601" s="102">
        <v>0</v>
      </c>
      <c r="I601" s="102">
        <v>0</v>
      </c>
      <c r="J601" s="1305"/>
      <c r="K601" s="1305"/>
    </row>
    <row r="602" spans="1:11" ht="17.100000000000001" customHeight="1" outlineLevel="1">
      <c r="A602" s="1305" t="s">
        <v>463</v>
      </c>
      <c r="B602" s="1306" t="s">
        <v>464</v>
      </c>
      <c r="C602" s="1295">
        <v>2021</v>
      </c>
      <c r="D602" s="100" t="s">
        <v>3</v>
      </c>
      <c r="E602" s="102">
        <f t="shared" si="43"/>
        <v>22778.260870000002</v>
      </c>
      <c r="F602" s="102">
        <f>SUM(F603:F608)</f>
        <v>18860.400000000001</v>
      </c>
      <c r="G602" s="102">
        <f>SUM(G603:G608)</f>
        <v>0</v>
      </c>
      <c r="H602" s="102">
        <f>SUM(H603:H608)</f>
        <v>3917.86087</v>
      </c>
      <c r="I602" s="102">
        <f>SUM(I603:I608)</f>
        <v>0</v>
      </c>
      <c r="J602" s="1305" t="s">
        <v>465</v>
      </c>
      <c r="K602" s="1305" t="s">
        <v>139</v>
      </c>
    </row>
    <row r="603" spans="1:11" ht="17.100000000000001" customHeight="1" outlineLevel="1">
      <c r="A603" s="1305"/>
      <c r="B603" s="1306"/>
      <c r="C603" s="1296"/>
      <c r="D603" s="100">
        <v>2021</v>
      </c>
      <c r="E603" s="102">
        <f t="shared" si="43"/>
        <v>22778.260870000002</v>
      </c>
      <c r="F603" s="102">
        <v>18860.400000000001</v>
      </c>
      <c r="G603" s="102">
        <v>0</v>
      </c>
      <c r="H603" s="102">
        <v>3917.86087</v>
      </c>
      <c r="I603" s="102">
        <v>0</v>
      </c>
      <c r="J603" s="1305"/>
      <c r="K603" s="1305"/>
    </row>
    <row r="604" spans="1:11" ht="17.100000000000001" customHeight="1" outlineLevel="1">
      <c r="A604" s="1305"/>
      <c r="B604" s="1306"/>
      <c r="C604" s="1296"/>
      <c r="D604" s="100">
        <v>2022</v>
      </c>
      <c r="E604" s="102">
        <v>0</v>
      </c>
      <c r="F604" s="102">
        <v>0</v>
      </c>
      <c r="G604" s="102">
        <v>0</v>
      </c>
      <c r="H604" s="102">
        <v>0</v>
      </c>
      <c r="I604" s="102">
        <v>0</v>
      </c>
      <c r="J604" s="1305"/>
      <c r="K604" s="1305"/>
    </row>
    <row r="605" spans="1:11" ht="17.100000000000001" customHeight="1" outlineLevel="1">
      <c r="A605" s="1305"/>
      <c r="B605" s="1306"/>
      <c r="C605" s="1296"/>
      <c r="D605" s="100">
        <v>2023</v>
      </c>
      <c r="E605" s="102">
        <v>0</v>
      </c>
      <c r="F605" s="102">
        <v>0</v>
      </c>
      <c r="G605" s="102">
        <v>0</v>
      </c>
      <c r="H605" s="102">
        <v>0</v>
      </c>
      <c r="I605" s="102">
        <v>0</v>
      </c>
      <c r="J605" s="1305"/>
      <c r="K605" s="1305"/>
    </row>
    <row r="606" spans="1:11" outlineLevel="1">
      <c r="A606" s="1305"/>
      <c r="B606" s="1306"/>
      <c r="C606" s="1296"/>
      <c r="D606" s="100">
        <v>2024</v>
      </c>
      <c r="E606" s="102">
        <v>0</v>
      </c>
      <c r="F606" s="102">
        <v>0</v>
      </c>
      <c r="G606" s="102">
        <v>0</v>
      </c>
      <c r="H606" s="102">
        <v>0</v>
      </c>
      <c r="I606" s="102">
        <v>0</v>
      </c>
      <c r="J606" s="1305"/>
      <c r="K606" s="1305"/>
    </row>
    <row r="607" spans="1:11" outlineLevel="1">
      <c r="A607" s="1305"/>
      <c r="B607" s="1306"/>
      <c r="C607" s="1296"/>
      <c r="D607" s="100">
        <v>2025</v>
      </c>
      <c r="E607" s="102">
        <v>0</v>
      </c>
      <c r="F607" s="102">
        <v>0</v>
      </c>
      <c r="G607" s="102">
        <v>0</v>
      </c>
      <c r="H607" s="102">
        <v>0</v>
      </c>
      <c r="I607" s="102">
        <v>0</v>
      </c>
      <c r="J607" s="1305"/>
      <c r="K607" s="1305"/>
    </row>
    <row r="608" spans="1:11" outlineLevel="1">
      <c r="A608" s="1305"/>
      <c r="B608" s="1306"/>
      <c r="C608" s="1297"/>
      <c r="D608" s="100">
        <v>2026</v>
      </c>
      <c r="E608" s="102">
        <v>0</v>
      </c>
      <c r="F608" s="102">
        <v>0</v>
      </c>
      <c r="G608" s="102">
        <v>0</v>
      </c>
      <c r="H608" s="102">
        <v>0</v>
      </c>
      <c r="I608" s="102">
        <v>0</v>
      </c>
      <c r="J608" s="1305"/>
      <c r="K608" s="1305"/>
    </row>
    <row r="609" spans="1:11" ht="17.100000000000001" customHeight="1" outlineLevel="1">
      <c r="A609" s="1305" t="s">
        <v>466</v>
      </c>
      <c r="B609" s="1306" t="s">
        <v>467</v>
      </c>
      <c r="C609" s="1305">
        <v>2021</v>
      </c>
      <c r="D609" s="100" t="s">
        <v>3</v>
      </c>
      <c r="E609" s="102">
        <f t="shared" si="43"/>
        <v>13210.697336842104</v>
      </c>
      <c r="F609" s="102">
        <f>SUM(F610:F615)</f>
        <v>12550.162469999999</v>
      </c>
      <c r="G609" s="102">
        <f>SUM(G610:G615)</f>
        <v>0</v>
      </c>
      <c r="H609" s="102">
        <f>SUM(H610:H615)</f>
        <v>660.5348668421052</v>
      </c>
      <c r="I609" s="102">
        <f>SUM(I610:I615)</f>
        <v>0</v>
      </c>
      <c r="J609" s="1307" t="s">
        <v>468</v>
      </c>
      <c r="K609" s="1307" t="s">
        <v>129</v>
      </c>
    </row>
    <row r="610" spans="1:11" ht="17.100000000000001" customHeight="1" outlineLevel="1">
      <c r="A610" s="1305"/>
      <c r="B610" s="1306"/>
      <c r="C610" s="1305"/>
      <c r="D610" s="100">
        <v>2021</v>
      </c>
      <c r="E610" s="102">
        <f t="shared" si="43"/>
        <v>13210.697336842104</v>
      </c>
      <c r="F610" s="102">
        <v>12550.162469999999</v>
      </c>
      <c r="G610" s="102">
        <v>0</v>
      </c>
      <c r="H610" s="102">
        <f>F610/95*5</f>
        <v>660.5348668421052</v>
      </c>
      <c r="I610" s="102">
        <v>0</v>
      </c>
      <c r="J610" s="1307"/>
      <c r="K610" s="1307"/>
    </row>
    <row r="611" spans="1:11" ht="17.100000000000001" customHeight="1" outlineLevel="1">
      <c r="A611" s="1305"/>
      <c r="B611" s="1306"/>
      <c r="C611" s="1305"/>
      <c r="D611" s="100">
        <v>2022</v>
      </c>
      <c r="E611" s="102">
        <v>0</v>
      </c>
      <c r="F611" s="102">
        <v>0</v>
      </c>
      <c r="G611" s="102">
        <v>0</v>
      </c>
      <c r="H611" s="102">
        <v>0</v>
      </c>
      <c r="I611" s="102">
        <v>0</v>
      </c>
      <c r="J611" s="1307"/>
      <c r="K611" s="1307"/>
    </row>
    <row r="612" spans="1:11" ht="17.100000000000001" customHeight="1" outlineLevel="1">
      <c r="A612" s="1305"/>
      <c r="B612" s="1306"/>
      <c r="C612" s="1305"/>
      <c r="D612" s="100">
        <v>2023</v>
      </c>
      <c r="E612" s="102">
        <v>0</v>
      </c>
      <c r="F612" s="102">
        <v>0</v>
      </c>
      <c r="G612" s="102">
        <v>0</v>
      </c>
      <c r="H612" s="102">
        <v>0</v>
      </c>
      <c r="I612" s="102">
        <v>0</v>
      </c>
      <c r="J612" s="1307"/>
      <c r="K612" s="1307"/>
    </row>
    <row r="613" spans="1:11" outlineLevel="1">
      <c r="A613" s="1305"/>
      <c r="B613" s="1306"/>
      <c r="C613" s="1305"/>
      <c r="D613" s="100">
        <v>2024</v>
      </c>
      <c r="E613" s="102">
        <v>0</v>
      </c>
      <c r="F613" s="102">
        <v>0</v>
      </c>
      <c r="G613" s="102">
        <v>0</v>
      </c>
      <c r="H613" s="102">
        <v>0</v>
      </c>
      <c r="I613" s="102">
        <v>0</v>
      </c>
      <c r="J613" s="1307"/>
      <c r="K613" s="1307"/>
    </row>
    <row r="614" spans="1:11" outlineLevel="1">
      <c r="A614" s="1305"/>
      <c r="B614" s="1306"/>
      <c r="C614" s="1305"/>
      <c r="D614" s="100">
        <v>2025</v>
      </c>
      <c r="E614" s="102">
        <v>0</v>
      </c>
      <c r="F614" s="102">
        <v>0</v>
      </c>
      <c r="G614" s="102">
        <v>0</v>
      </c>
      <c r="H614" s="102">
        <v>0</v>
      </c>
      <c r="I614" s="102">
        <v>0</v>
      </c>
      <c r="J614" s="1307"/>
      <c r="K614" s="1307"/>
    </row>
    <row r="615" spans="1:11" outlineLevel="1">
      <c r="A615" s="1305"/>
      <c r="B615" s="1306"/>
      <c r="C615" s="1305"/>
      <c r="D615" s="100">
        <v>2026</v>
      </c>
      <c r="E615" s="102">
        <v>0</v>
      </c>
      <c r="F615" s="102">
        <v>0</v>
      </c>
      <c r="G615" s="102">
        <v>0</v>
      </c>
      <c r="H615" s="102">
        <v>0</v>
      </c>
      <c r="I615" s="102">
        <v>0</v>
      </c>
      <c r="J615" s="1307"/>
      <c r="K615" s="1307"/>
    </row>
    <row r="616" spans="1:11" ht="17.100000000000001" customHeight="1" outlineLevel="1">
      <c r="A616" s="1305" t="s">
        <v>469</v>
      </c>
      <c r="B616" s="1306" t="s">
        <v>470</v>
      </c>
      <c r="C616" s="1305">
        <v>2021</v>
      </c>
      <c r="D616" s="100" t="s">
        <v>3</v>
      </c>
      <c r="E616" s="102">
        <f t="shared" si="43"/>
        <v>7451.59</v>
      </c>
      <c r="F616" s="102">
        <f>SUM(F617:F622)</f>
        <v>7079.0105000000003</v>
      </c>
      <c r="G616" s="102">
        <f>SUM(G617:G622)</f>
        <v>0</v>
      </c>
      <c r="H616" s="102">
        <f>SUM(H617:H622)</f>
        <v>372.5795</v>
      </c>
      <c r="I616" s="102">
        <f>SUM(I617:I622)</f>
        <v>0</v>
      </c>
      <c r="J616" s="1307" t="s">
        <v>471</v>
      </c>
      <c r="K616" s="1307" t="s">
        <v>129</v>
      </c>
    </row>
    <row r="617" spans="1:11" ht="17.100000000000001" customHeight="1" outlineLevel="1">
      <c r="A617" s="1305"/>
      <c r="B617" s="1306"/>
      <c r="C617" s="1305"/>
      <c r="D617" s="100">
        <v>2021</v>
      </c>
      <c r="E617" s="102">
        <f t="shared" si="43"/>
        <v>7451.59</v>
      </c>
      <c r="F617" s="102">
        <v>7079.0105000000003</v>
      </c>
      <c r="G617" s="102">
        <v>0</v>
      </c>
      <c r="H617" s="102">
        <f>F617/95*5</f>
        <v>372.5795</v>
      </c>
      <c r="I617" s="102">
        <v>0</v>
      </c>
      <c r="J617" s="1307"/>
      <c r="K617" s="1307"/>
    </row>
    <row r="618" spans="1:11" ht="17.100000000000001" customHeight="1" outlineLevel="1">
      <c r="A618" s="1305"/>
      <c r="B618" s="1306"/>
      <c r="C618" s="1305"/>
      <c r="D618" s="100">
        <v>2022</v>
      </c>
      <c r="E618" s="102">
        <v>0</v>
      </c>
      <c r="F618" s="102">
        <v>0</v>
      </c>
      <c r="G618" s="102">
        <v>0</v>
      </c>
      <c r="H618" s="102">
        <v>0</v>
      </c>
      <c r="I618" s="102">
        <v>0</v>
      </c>
      <c r="J618" s="1307"/>
      <c r="K618" s="1307"/>
    </row>
    <row r="619" spans="1:11" ht="17.100000000000001" customHeight="1" outlineLevel="1">
      <c r="A619" s="1305"/>
      <c r="B619" s="1306"/>
      <c r="C619" s="1305"/>
      <c r="D619" s="100">
        <v>2023</v>
      </c>
      <c r="E619" s="102">
        <v>0</v>
      </c>
      <c r="F619" s="102">
        <v>0</v>
      </c>
      <c r="G619" s="102">
        <v>0</v>
      </c>
      <c r="H619" s="102">
        <v>0</v>
      </c>
      <c r="I619" s="102">
        <v>0</v>
      </c>
      <c r="J619" s="1307"/>
      <c r="K619" s="1307"/>
    </row>
    <row r="620" spans="1:11" outlineLevel="1">
      <c r="A620" s="1305"/>
      <c r="B620" s="1306"/>
      <c r="C620" s="1305"/>
      <c r="D620" s="100">
        <v>2024</v>
      </c>
      <c r="E620" s="102">
        <v>0</v>
      </c>
      <c r="F620" s="102">
        <v>0</v>
      </c>
      <c r="G620" s="102">
        <v>0</v>
      </c>
      <c r="H620" s="102">
        <v>0</v>
      </c>
      <c r="I620" s="102">
        <v>0</v>
      </c>
      <c r="J620" s="1307"/>
      <c r="K620" s="1307"/>
    </row>
    <row r="621" spans="1:11" outlineLevel="1">
      <c r="A621" s="1305"/>
      <c r="B621" s="1306"/>
      <c r="C621" s="1305"/>
      <c r="D621" s="100">
        <v>2025</v>
      </c>
      <c r="E621" s="102">
        <v>0</v>
      </c>
      <c r="F621" s="102">
        <v>0</v>
      </c>
      <c r="G621" s="102">
        <v>0</v>
      </c>
      <c r="H621" s="102">
        <v>0</v>
      </c>
      <c r="I621" s="102">
        <v>0</v>
      </c>
      <c r="J621" s="1307"/>
      <c r="K621" s="1307"/>
    </row>
    <row r="622" spans="1:11" outlineLevel="1">
      <c r="A622" s="1305"/>
      <c r="B622" s="1306"/>
      <c r="C622" s="1305"/>
      <c r="D622" s="100">
        <v>2026</v>
      </c>
      <c r="E622" s="102">
        <v>0</v>
      </c>
      <c r="F622" s="102">
        <v>0</v>
      </c>
      <c r="G622" s="102">
        <v>0</v>
      </c>
      <c r="H622" s="102">
        <v>0</v>
      </c>
      <c r="I622" s="102">
        <v>0</v>
      </c>
      <c r="J622" s="1307"/>
      <c r="K622" s="1307"/>
    </row>
    <row r="623" spans="1:11" ht="17.100000000000001" customHeight="1" outlineLevel="1">
      <c r="A623" s="1305" t="s">
        <v>472</v>
      </c>
      <c r="B623" s="1306" t="s">
        <v>473</v>
      </c>
      <c r="C623" s="1305">
        <v>2021</v>
      </c>
      <c r="D623" s="100" t="s">
        <v>3</v>
      </c>
      <c r="E623" s="102">
        <f t="shared" si="43"/>
        <v>50013.516600000003</v>
      </c>
      <c r="F623" s="102">
        <f>SUM(F624:F629)</f>
        <v>47512.840770000003</v>
      </c>
      <c r="G623" s="102">
        <f>SUM(G624:G629)</f>
        <v>0</v>
      </c>
      <c r="H623" s="102">
        <f>SUM(H624:H629)</f>
        <v>2500.6758300000001</v>
      </c>
      <c r="I623" s="102">
        <f>SUM(I624:I629)</f>
        <v>0</v>
      </c>
      <c r="J623" s="1305" t="s">
        <v>474</v>
      </c>
      <c r="K623" s="1305" t="s">
        <v>129</v>
      </c>
    </row>
    <row r="624" spans="1:11" ht="17.100000000000001" customHeight="1" outlineLevel="1">
      <c r="A624" s="1305"/>
      <c r="B624" s="1306"/>
      <c r="C624" s="1305"/>
      <c r="D624" s="100">
        <v>2021</v>
      </c>
      <c r="E624" s="102">
        <f t="shared" si="43"/>
        <v>50013.516600000003</v>
      </c>
      <c r="F624" s="102">
        <v>47512.840770000003</v>
      </c>
      <c r="G624" s="102">
        <v>0</v>
      </c>
      <c r="H624" s="102">
        <f>F624/95*5</f>
        <v>2500.6758300000001</v>
      </c>
      <c r="I624" s="102">
        <v>0</v>
      </c>
      <c r="J624" s="1305"/>
      <c r="K624" s="1305"/>
    </row>
    <row r="625" spans="1:11" ht="17.100000000000001" customHeight="1" outlineLevel="1">
      <c r="A625" s="1305"/>
      <c r="B625" s="1306"/>
      <c r="C625" s="1305"/>
      <c r="D625" s="100">
        <v>2022</v>
      </c>
      <c r="E625" s="102">
        <v>0</v>
      </c>
      <c r="F625" s="102">
        <v>0</v>
      </c>
      <c r="G625" s="102">
        <v>0</v>
      </c>
      <c r="H625" s="102">
        <v>0</v>
      </c>
      <c r="I625" s="102">
        <v>0</v>
      </c>
      <c r="J625" s="1305"/>
      <c r="K625" s="1305"/>
    </row>
    <row r="626" spans="1:11" ht="17.100000000000001" customHeight="1" outlineLevel="1">
      <c r="A626" s="1305"/>
      <c r="B626" s="1306"/>
      <c r="C626" s="1305"/>
      <c r="D626" s="100">
        <v>2023</v>
      </c>
      <c r="E626" s="102">
        <v>0</v>
      </c>
      <c r="F626" s="102">
        <v>0</v>
      </c>
      <c r="G626" s="102">
        <v>0</v>
      </c>
      <c r="H626" s="102">
        <v>0</v>
      </c>
      <c r="I626" s="102">
        <v>0</v>
      </c>
      <c r="J626" s="1305"/>
      <c r="K626" s="1305"/>
    </row>
    <row r="627" spans="1:11" outlineLevel="1">
      <c r="A627" s="1305"/>
      <c r="B627" s="1306"/>
      <c r="C627" s="1305"/>
      <c r="D627" s="100">
        <v>2024</v>
      </c>
      <c r="E627" s="102">
        <v>0</v>
      </c>
      <c r="F627" s="102">
        <v>0</v>
      </c>
      <c r="G627" s="102">
        <v>0</v>
      </c>
      <c r="H627" s="102">
        <v>0</v>
      </c>
      <c r="I627" s="102">
        <v>0</v>
      </c>
      <c r="J627" s="1305"/>
      <c r="K627" s="1305"/>
    </row>
    <row r="628" spans="1:11" outlineLevel="1">
      <c r="A628" s="1305"/>
      <c r="B628" s="1306"/>
      <c r="C628" s="1305"/>
      <c r="D628" s="100">
        <v>2025</v>
      </c>
      <c r="E628" s="102">
        <v>0</v>
      </c>
      <c r="F628" s="102">
        <v>0</v>
      </c>
      <c r="G628" s="102">
        <v>0</v>
      </c>
      <c r="H628" s="102">
        <v>0</v>
      </c>
      <c r="I628" s="102">
        <v>0</v>
      </c>
      <c r="J628" s="1305"/>
      <c r="K628" s="1305"/>
    </row>
    <row r="629" spans="1:11" ht="20.25" customHeight="1" outlineLevel="1">
      <c r="A629" s="1305"/>
      <c r="B629" s="1306"/>
      <c r="C629" s="1305"/>
      <c r="D629" s="100">
        <v>2026</v>
      </c>
      <c r="E629" s="102">
        <v>0</v>
      </c>
      <c r="F629" s="102">
        <v>0</v>
      </c>
      <c r="G629" s="102">
        <v>0</v>
      </c>
      <c r="H629" s="102">
        <v>0</v>
      </c>
      <c r="I629" s="102">
        <v>0</v>
      </c>
      <c r="J629" s="1305"/>
      <c r="K629" s="1305"/>
    </row>
    <row r="630" spans="1:11" ht="16.5" customHeight="1" outlineLevel="1">
      <c r="A630" s="1305" t="s">
        <v>475</v>
      </c>
      <c r="B630" s="1306" t="s">
        <v>476</v>
      </c>
      <c r="C630" s="1295">
        <v>2021</v>
      </c>
      <c r="D630" s="100" t="s">
        <v>3</v>
      </c>
      <c r="E630" s="102">
        <f t="shared" si="43"/>
        <v>9928.3460643185299</v>
      </c>
      <c r="F630" s="102">
        <f>SUM(F631:F636)</f>
        <v>6483.2099799999996</v>
      </c>
      <c r="G630" s="102">
        <f>SUM(G631:G636)</f>
        <v>0</v>
      </c>
      <c r="H630" s="102">
        <f>SUM(H631:H636)</f>
        <v>3445.1360843185298</v>
      </c>
      <c r="I630" s="102">
        <f>SUM(I631:I636)</f>
        <v>0</v>
      </c>
      <c r="J630" s="1305" t="s">
        <v>477</v>
      </c>
      <c r="K630" s="1305" t="s">
        <v>129</v>
      </c>
    </row>
    <row r="631" spans="1:11" ht="21.75" customHeight="1" outlineLevel="1">
      <c r="A631" s="1305"/>
      <c r="B631" s="1306"/>
      <c r="C631" s="1296"/>
      <c r="D631" s="100">
        <v>2021</v>
      </c>
      <c r="E631" s="102">
        <f t="shared" si="43"/>
        <v>9928.3460643185299</v>
      </c>
      <c r="F631" s="102">
        <v>6483.2099799999996</v>
      </c>
      <c r="G631" s="102">
        <v>0</v>
      </c>
      <c r="H631" s="102">
        <f>F631/65.3*34.7</f>
        <v>3445.1360843185298</v>
      </c>
      <c r="I631" s="102">
        <v>0</v>
      </c>
      <c r="J631" s="1305"/>
      <c r="K631" s="1305"/>
    </row>
    <row r="632" spans="1:11" ht="26.25" customHeight="1" outlineLevel="1">
      <c r="A632" s="1305"/>
      <c r="B632" s="1306"/>
      <c r="C632" s="1296"/>
      <c r="D632" s="100">
        <v>2022</v>
      </c>
      <c r="E632" s="102">
        <v>0</v>
      </c>
      <c r="F632" s="102">
        <v>0</v>
      </c>
      <c r="G632" s="102">
        <v>0</v>
      </c>
      <c r="H632" s="102">
        <v>0</v>
      </c>
      <c r="I632" s="102">
        <v>0</v>
      </c>
      <c r="J632" s="1305"/>
      <c r="K632" s="1305"/>
    </row>
    <row r="633" spans="1:11" ht="20.25" customHeight="1" outlineLevel="1">
      <c r="A633" s="1305"/>
      <c r="B633" s="1306"/>
      <c r="C633" s="1296"/>
      <c r="D633" s="100">
        <v>2023</v>
      </c>
      <c r="E633" s="102">
        <v>0</v>
      </c>
      <c r="F633" s="102">
        <v>0</v>
      </c>
      <c r="G633" s="102">
        <v>0</v>
      </c>
      <c r="H633" s="102">
        <v>0</v>
      </c>
      <c r="I633" s="102">
        <v>0</v>
      </c>
      <c r="J633" s="1305"/>
      <c r="K633" s="1305"/>
    </row>
    <row r="634" spans="1:11" ht="20.25" customHeight="1" outlineLevel="1">
      <c r="A634" s="1305"/>
      <c r="B634" s="1306"/>
      <c r="C634" s="1296"/>
      <c r="D634" s="100">
        <v>2024</v>
      </c>
      <c r="E634" s="102">
        <v>0</v>
      </c>
      <c r="F634" s="102">
        <v>0</v>
      </c>
      <c r="G634" s="102">
        <v>0</v>
      </c>
      <c r="H634" s="102">
        <v>0</v>
      </c>
      <c r="I634" s="102">
        <v>0</v>
      </c>
      <c r="J634" s="1305"/>
      <c r="K634" s="1305"/>
    </row>
    <row r="635" spans="1:11" ht="20.25" customHeight="1" outlineLevel="1">
      <c r="A635" s="1305"/>
      <c r="B635" s="1306"/>
      <c r="C635" s="1296"/>
      <c r="D635" s="100">
        <v>2025</v>
      </c>
      <c r="E635" s="102">
        <v>0</v>
      </c>
      <c r="F635" s="102">
        <v>0</v>
      </c>
      <c r="G635" s="102">
        <v>0</v>
      </c>
      <c r="H635" s="102">
        <v>0</v>
      </c>
      <c r="I635" s="102">
        <v>0</v>
      </c>
      <c r="J635" s="1305"/>
      <c r="K635" s="1305"/>
    </row>
    <row r="636" spans="1:11" ht="18.75" customHeight="1" outlineLevel="1">
      <c r="A636" s="1305"/>
      <c r="B636" s="1306"/>
      <c r="C636" s="1297"/>
      <c r="D636" s="100">
        <v>2026</v>
      </c>
      <c r="E636" s="102">
        <v>0</v>
      </c>
      <c r="F636" s="102">
        <v>0</v>
      </c>
      <c r="G636" s="102">
        <v>0</v>
      </c>
      <c r="H636" s="102">
        <v>0</v>
      </c>
      <c r="I636" s="102">
        <v>0</v>
      </c>
      <c r="J636" s="1305"/>
      <c r="K636" s="1305"/>
    </row>
    <row r="637" spans="1:11" ht="15" customHeight="1" outlineLevel="1">
      <c r="A637" s="1305" t="s">
        <v>478</v>
      </c>
      <c r="B637" s="1306" t="s">
        <v>479</v>
      </c>
      <c r="C637" s="1305">
        <v>2021</v>
      </c>
      <c r="D637" s="100" t="s">
        <v>3</v>
      </c>
      <c r="E637" s="102">
        <f t="shared" si="43"/>
        <v>0</v>
      </c>
      <c r="F637" s="102">
        <f>SUM(F638:F643)</f>
        <v>0</v>
      </c>
      <c r="G637" s="102">
        <f>SUM(G638:G643)</f>
        <v>0</v>
      </c>
      <c r="H637" s="102">
        <f>SUM(H638:H643)</f>
        <v>0</v>
      </c>
      <c r="I637" s="102">
        <f>SUM(I638:I643)</f>
        <v>0</v>
      </c>
      <c r="J637" s="1305" t="s">
        <v>480</v>
      </c>
      <c r="K637" s="1305" t="s">
        <v>129</v>
      </c>
    </row>
    <row r="638" spans="1:11" ht="15" customHeight="1" outlineLevel="1">
      <c r="A638" s="1305"/>
      <c r="B638" s="1306"/>
      <c r="C638" s="1305"/>
      <c r="D638" s="100">
        <v>2021</v>
      </c>
      <c r="E638" s="102">
        <f t="shared" si="43"/>
        <v>0</v>
      </c>
      <c r="F638" s="102">
        <v>0</v>
      </c>
      <c r="G638" s="102">
        <v>0</v>
      </c>
      <c r="H638" s="102">
        <f>F638/95*5</f>
        <v>0</v>
      </c>
      <c r="I638" s="102">
        <v>0</v>
      </c>
      <c r="J638" s="1305"/>
      <c r="K638" s="1305"/>
    </row>
    <row r="639" spans="1:11" ht="15" customHeight="1" outlineLevel="1">
      <c r="A639" s="1305"/>
      <c r="B639" s="1306"/>
      <c r="C639" s="1305"/>
      <c r="D639" s="100">
        <v>2022</v>
      </c>
      <c r="E639" s="102">
        <v>0</v>
      </c>
      <c r="F639" s="102">
        <v>0</v>
      </c>
      <c r="G639" s="102">
        <v>0</v>
      </c>
      <c r="H639" s="102">
        <v>0</v>
      </c>
      <c r="I639" s="102">
        <v>0</v>
      </c>
      <c r="J639" s="1305"/>
      <c r="K639" s="1305"/>
    </row>
    <row r="640" spans="1:11" ht="15" customHeight="1" outlineLevel="1">
      <c r="A640" s="1305"/>
      <c r="B640" s="1306"/>
      <c r="C640" s="1305"/>
      <c r="D640" s="100">
        <v>2023</v>
      </c>
      <c r="E640" s="102">
        <v>0</v>
      </c>
      <c r="F640" s="102">
        <v>0</v>
      </c>
      <c r="G640" s="102">
        <v>0</v>
      </c>
      <c r="H640" s="102">
        <v>0</v>
      </c>
      <c r="I640" s="102">
        <v>0</v>
      </c>
      <c r="J640" s="1305"/>
      <c r="K640" s="1305"/>
    </row>
    <row r="641" spans="1:11" ht="15" customHeight="1" outlineLevel="1">
      <c r="A641" s="1305"/>
      <c r="B641" s="1306"/>
      <c r="C641" s="1305"/>
      <c r="D641" s="100">
        <v>2024</v>
      </c>
      <c r="E641" s="102">
        <v>0</v>
      </c>
      <c r="F641" s="102">
        <v>0</v>
      </c>
      <c r="G641" s="102">
        <v>0</v>
      </c>
      <c r="H641" s="102">
        <v>0</v>
      </c>
      <c r="I641" s="102">
        <v>0</v>
      </c>
      <c r="J641" s="1305"/>
      <c r="K641" s="1305"/>
    </row>
    <row r="642" spans="1:11" ht="15" customHeight="1" outlineLevel="1">
      <c r="A642" s="1305"/>
      <c r="B642" s="1306"/>
      <c r="C642" s="1305"/>
      <c r="D642" s="100">
        <v>2025</v>
      </c>
      <c r="E642" s="102">
        <v>0</v>
      </c>
      <c r="F642" s="102">
        <v>0</v>
      </c>
      <c r="G642" s="102">
        <v>0</v>
      </c>
      <c r="H642" s="102">
        <v>0</v>
      </c>
      <c r="I642" s="102">
        <v>0</v>
      </c>
      <c r="J642" s="1305"/>
      <c r="K642" s="1305"/>
    </row>
    <row r="643" spans="1:11" ht="15" customHeight="1" outlineLevel="1">
      <c r="A643" s="1305"/>
      <c r="B643" s="1306"/>
      <c r="C643" s="1305"/>
      <c r="D643" s="100">
        <v>2026</v>
      </c>
      <c r="E643" s="102">
        <v>0</v>
      </c>
      <c r="F643" s="102">
        <v>0</v>
      </c>
      <c r="G643" s="102">
        <v>0</v>
      </c>
      <c r="H643" s="102">
        <v>0</v>
      </c>
      <c r="I643" s="102">
        <v>0</v>
      </c>
      <c r="J643" s="1305"/>
      <c r="K643" s="1305"/>
    </row>
    <row r="644" spans="1:11" ht="15" customHeight="1" outlineLevel="1">
      <c r="A644" s="1305" t="s">
        <v>481</v>
      </c>
      <c r="B644" s="1306" t="s">
        <v>482</v>
      </c>
      <c r="C644" s="1305">
        <v>2021</v>
      </c>
      <c r="D644" s="100" t="s">
        <v>3</v>
      </c>
      <c r="E644" s="102">
        <f t="shared" si="43"/>
        <v>28829.676842105262</v>
      </c>
      <c r="F644" s="102">
        <f>SUM(F645:F650)</f>
        <v>27388.192999999999</v>
      </c>
      <c r="G644" s="102">
        <f>SUM(G645:G650)</f>
        <v>0</v>
      </c>
      <c r="H644" s="102">
        <f>SUM(H645:H650)</f>
        <v>1441.483842105263</v>
      </c>
      <c r="I644" s="102">
        <f>SUM(I645:I650)</f>
        <v>0</v>
      </c>
      <c r="J644" s="1307" t="s">
        <v>483</v>
      </c>
      <c r="K644" s="1307" t="s">
        <v>129</v>
      </c>
    </row>
    <row r="645" spans="1:11" ht="15" customHeight="1" outlineLevel="1">
      <c r="A645" s="1305"/>
      <c r="B645" s="1306"/>
      <c r="C645" s="1305"/>
      <c r="D645" s="100">
        <v>2021</v>
      </c>
      <c r="E645" s="102">
        <f t="shared" si="43"/>
        <v>28829.676842105262</v>
      </c>
      <c r="F645" s="102">
        <v>27388.192999999999</v>
      </c>
      <c r="G645" s="102">
        <v>0</v>
      </c>
      <c r="H645" s="102">
        <f>F645/95*5</f>
        <v>1441.483842105263</v>
      </c>
      <c r="I645" s="102">
        <v>0</v>
      </c>
      <c r="J645" s="1307"/>
      <c r="K645" s="1307"/>
    </row>
    <row r="646" spans="1:11" ht="15" customHeight="1" outlineLevel="1">
      <c r="A646" s="1305"/>
      <c r="B646" s="1306"/>
      <c r="C646" s="1305"/>
      <c r="D646" s="100">
        <v>2022</v>
      </c>
      <c r="E646" s="102">
        <v>0</v>
      </c>
      <c r="F646" s="102">
        <v>0</v>
      </c>
      <c r="G646" s="102">
        <v>0</v>
      </c>
      <c r="H646" s="102">
        <v>0</v>
      </c>
      <c r="I646" s="102">
        <v>0</v>
      </c>
      <c r="J646" s="1307"/>
      <c r="K646" s="1307"/>
    </row>
    <row r="647" spans="1:11" ht="15" customHeight="1" outlineLevel="1">
      <c r="A647" s="1305"/>
      <c r="B647" s="1306"/>
      <c r="C647" s="1305"/>
      <c r="D647" s="100">
        <v>2023</v>
      </c>
      <c r="E647" s="102">
        <v>0</v>
      </c>
      <c r="F647" s="102">
        <v>0</v>
      </c>
      <c r="G647" s="102">
        <v>0</v>
      </c>
      <c r="H647" s="102">
        <v>0</v>
      </c>
      <c r="I647" s="102">
        <v>0</v>
      </c>
      <c r="J647" s="1307"/>
      <c r="K647" s="1307"/>
    </row>
    <row r="648" spans="1:11" ht="15" customHeight="1" outlineLevel="1">
      <c r="A648" s="1305"/>
      <c r="B648" s="1306"/>
      <c r="C648" s="1305"/>
      <c r="D648" s="100">
        <v>2024</v>
      </c>
      <c r="E648" s="102">
        <v>0</v>
      </c>
      <c r="F648" s="102">
        <v>0</v>
      </c>
      <c r="G648" s="102">
        <v>0</v>
      </c>
      <c r="H648" s="102">
        <v>0</v>
      </c>
      <c r="I648" s="102">
        <v>0</v>
      </c>
      <c r="J648" s="1307"/>
      <c r="K648" s="1307"/>
    </row>
    <row r="649" spans="1:11" ht="15" customHeight="1" outlineLevel="1">
      <c r="A649" s="1305"/>
      <c r="B649" s="1306"/>
      <c r="C649" s="1305"/>
      <c r="D649" s="100">
        <v>2025</v>
      </c>
      <c r="E649" s="102">
        <v>0</v>
      </c>
      <c r="F649" s="102">
        <v>0</v>
      </c>
      <c r="G649" s="102">
        <v>0</v>
      </c>
      <c r="H649" s="102">
        <v>0</v>
      </c>
      <c r="I649" s="102">
        <v>0</v>
      </c>
      <c r="J649" s="1307"/>
      <c r="K649" s="1307"/>
    </row>
    <row r="650" spans="1:11" ht="13.5" customHeight="1" outlineLevel="1">
      <c r="A650" s="1305"/>
      <c r="B650" s="1306"/>
      <c r="C650" s="1305"/>
      <c r="D650" s="100">
        <v>2026</v>
      </c>
      <c r="E650" s="102">
        <v>0</v>
      </c>
      <c r="F650" s="102">
        <v>0</v>
      </c>
      <c r="G650" s="102">
        <v>0</v>
      </c>
      <c r="H650" s="102">
        <v>0</v>
      </c>
      <c r="I650" s="102">
        <v>0</v>
      </c>
      <c r="J650" s="1307"/>
      <c r="K650" s="1307"/>
    </row>
    <row r="651" spans="1:11" ht="16.5" customHeight="1" outlineLevel="1">
      <c r="A651" s="1305" t="s">
        <v>484</v>
      </c>
      <c r="B651" s="1306" t="s">
        <v>485</v>
      </c>
      <c r="C651" s="1305" t="s">
        <v>282</v>
      </c>
      <c r="D651" s="100" t="s">
        <v>3</v>
      </c>
      <c r="E651" s="102">
        <f t="shared" si="43"/>
        <v>4724.9217200000003</v>
      </c>
      <c r="F651" s="102">
        <f>SUM(F652:F657)</f>
        <v>4431.9217200000003</v>
      </c>
      <c r="G651" s="102">
        <f>SUM(G652:G657)</f>
        <v>0</v>
      </c>
      <c r="H651" s="102">
        <f>SUM(H652:H657)</f>
        <v>293</v>
      </c>
      <c r="I651" s="102">
        <f>SUM(I652:I657)</f>
        <v>0</v>
      </c>
      <c r="J651" s="1305" t="s">
        <v>486</v>
      </c>
      <c r="K651" s="1305" t="s">
        <v>129</v>
      </c>
    </row>
    <row r="652" spans="1:11" ht="15" customHeight="1" outlineLevel="1">
      <c r="A652" s="1305"/>
      <c r="B652" s="1306"/>
      <c r="C652" s="1305"/>
      <c r="D652" s="100">
        <v>2021</v>
      </c>
      <c r="E652" s="102">
        <f t="shared" si="43"/>
        <v>2270.6600000000003</v>
      </c>
      <c r="F652" s="102">
        <v>2100.36</v>
      </c>
      <c r="G652" s="102">
        <v>0</v>
      </c>
      <c r="H652" s="102">
        <v>170.3</v>
      </c>
      <c r="I652" s="102">
        <v>0</v>
      </c>
      <c r="J652" s="1305"/>
      <c r="K652" s="1305"/>
    </row>
    <row r="653" spans="1:11" ht="18.75" customHeight="1" outlineLevel="1">
      <c r="A653" s="1305"/>
      <c r="B653" s="1306"/>
      <c r="C653" s="1305"/>
      <c r="D653" s="100">
        <v>2022</v>
      </c>
      <c r="E653" s="102">
        <f t="shared" si="43"/>
        <v>2454.26172</v>
      </c>
      <c r="F653" s="102">
        <v>2331.5617200000002</v>
      </c>
      <c r="G653" s="102">
        <v>0</v>
      </c>
      <c r="H653" s="102">
        <v>122.7</v>
      </c>
      <c r="I653" s="102">
        <v>0</v>
      </c>
      <c r="J653" s="1305"/>
      <c r="K653" s="1305"/>
    </row>
    <row r="654" spans="1:11" ht="17.25" customHeight="1" outlineLevel="1">
      <c r="A654" s="1305"/>
      <c r="B654" s="1306"/>
      <c r="C654" s="1305"/>
      <c r="D654" s="100">
        <v>2023</v>
      </c>
      <c r="E654" s="102">
        <f t="shared" si="43"/>
        <v>0</v>
      </c>
      <c r="F654" s="102">
        <v>0</v>
      </c>
      <c r="G654" s="102">
        <v>0</v>
      </c>
      <c r="H654" s="102">
        <v>0</v>
      </c>
      <c r="I654" s="102">
        <v>0</v>
      </c>
      <c r="J654" s="1305"/>
      <c r="K654" s="1305"/>
    </row>
    <row r="655" spans="1:11" ht="15" customHeight="1" outlineLevel="1">
      <c r="A655" s="1305"/>
      <c r="B655" s="1306"/>
      <c r="C655" s="1305"/>
      <c r="D655" s="100">
        <v>2024</v>
      </c>
      <c r="E655" s="102">
        <f t="shared" si="43"/>
        <v>0</v>
      </c>
      <c r="F655" s="102">
        <v>0</v>
      </c>
      <c r="G655" s="102">
        <v>0</v>
      </c>
      <c r="H655" s="102">
        <v>0</v>
      </c>
      <c r="I655" s="102">
        <v>0</v>
      </c>
      <c r="J655" s="1305"/>
      <c r="K655" s="1305"/>
    </row>
    <row r="656" spans="1:11" ht="15" customHeight="1" outlineLevel="1">
      <c r="A656" s="1305"/>
      <c r="B656" s="1306"/>
      <c r="C656" s="1305"/>
      <c r="D656" s="100">
        <v>2025</v>
      </c>
      <c r="E656" s="102">
        <v>0</v>
      </c>
      <c r="F656" s="102">
        <v>0</v>
      </c>
      <c r="G656" s="102">
        <v>0</v>
      </c>
      <c r="H656" s="102">
        <v>0</v>
      </c>
      <c r="I656" s="102">
        <v>0</v>
      </c>
      <c r="J656" s="1305"/>
      <c r="K656" s="1305"/>
    </row>
    <row r="657" spans="1:11" ht="14.25" customHeight="1" outlineLevel="1">
      <c r="A657" s="1305"/>
      <c r="B657" s="1306"/>
      <c r="C657" s="1305"/>
      <c r="D657" s="100">
        <v>2026</v>
      </c>
      <c r="E657" s="102">
        <f t="shared" si="43"/>
        <v>0</v>
      </c>
      <c r="F657" s="102">
        <v>0</v>
      </c>
      <c r="G657" s="102">
        <v>0</v>
      </c>
      <c r="H657" s="102">
        <v>0</v>
      </c>
      <c r="I657" s="102">
        <v>0</v>
      </c>
      <c r="J657" s="1305"/>
      <c r="K657" s="1305"/>
    </row>
    <row r="658" spans="1:11" ht="12.75" customHeight="1" outlineLevel="1">
      <c r="A658" s="1305" t="s">
        <v>487</v>
      </c>
      <c r="B658" s="1306" t="s">
        <v>488</v>
      </c>
      <c r="C658" s="1305">
        <v>2021</v>
      </c>
      <c r="D658" s="100" t="s">
        <v>3</v>
      </c>
      <c r="E658" s="102">
        <f t="shared" si="43"/>
        <v>0</v>
      </c>
      <c r="F658" s="102">
        <v>0</v>
      </c>
      <c r="G658" s="102">
        <v>0</v>
      </c>
      <c r="H658" s="102">
        <v>0</v>
      </c>
      <c r="I658" s="102">
        <v>0</v>
      </c>
      <c r="J658" s="1305" t="s">
        <v>489</v>
      </c>
      <c r="K658" s="1305" t="s">
        <v>37</v>
      </c>
    </row>
    <row r="659" spans="1:11" ht="12.75" customHeight="1" outlineLevel="1">
      <c r="A659" s="1305"/>
      <c r="B659" s="1306"/>
      <c r="C659" s="1305"/>
      <c r="D659" s="100">
        <v>2021</v>
      </c>
      <c r="E659" s="102">
        <f t="shared" si="43"/>
        <v>0</v>
      </c>
      <c r="F659" s="102">
        <v>0</v>
      </c>
      <c r="G659" s="102">
        <v>0</v>
      </c>
      <c r="H659" s="102">
        <v>0</v>
      </c>
      <c r="I659" s="102">
        <v>0</v>
      </c>
      <c r="J659" s="1305"/>
      <c r="K659" s="1305"/>
    </row>
    <row r="660" spans="1:11" ht="12.75" customHeight="1" outlineLevel="1">
      <c r="A660" s="1305"/>
      <c r="B660" s="1306"/>
      <c r="C660" s="1305"/>
      <c r="D660" s="100">
        <v>2022</v>
      </c>
      <c r="E660" s="102">
        <f t="shared" si="43"/>
        <v>0</v>
      </c>
      <c r="F660" s="102">
        <v>0</v>
      </c>
      <c r="G660" s="102">
        <v>0</v>
      </c>
      <c r="H660" s="102">
        <v>0</v>
      </c>
      <c r="I660" s="102">
        <v>0</v>
      </c>
      <c r="J660" s="1305"/>
      <c r="K660" s="1305"/>
    </row>
    <row r="661" spans="1:11" ht="12.75" customHeight="1" outlineLevel="1">
      <c r="A661" s="1305"/>
      <c r="B661" s="1306"/>
      <c r="C661" s="1305"/>
      <c r="D661" s="100">
        <v>2023</v>
      </c>
      <c r="E661" s="102">
        <f t="shared" si="43"/>
        <v>0</v>
      </c>
      <c r="F661" s="102">
        <v>0</v>
      </c>
      <c r="G661" s="102">
        <v>0</v>
      </c>
      <c r="H661" s="102">
        <v>0</v>
      </c>
      <c r="I661" s="102">
        <v>0</v>
      </c>
      <c r="J661" s="1305"/>
      <c r="K661" s="1305"/>
    </row>
    <row r="662" spans="1:11" ht="12.75" customHeight="1" outlineLevel="1">
      <c r="A662" s="1305"/>
      <c r="B662" s="1306"/>
      <c r="C662" s="1305"/>
      <c r="D662" s="100">
        <v>2024</v>
      </c>
      <c r="E662" s="102">
        <f t="shared" si="43"/>
        <v>0</v>
      </c>
      <c r="F662" s="102">
        <v>0</v>
      </c>
      <c r="G662" s="102">
        <v>0</v>
      </c>
      <c r="H662" s="102">
        <v>0</v>
      </c>
      <c r="I662" s="102">
        <v>0</v>
      </c>
      <c r="J662" s="1305"/>
      <c r="K662" s="1305"/>
    </row>
    <row r="663" spans="1:11" ht="12.75" customHeight="1" outlineLevel="1">
      <c r="A663" s="1305"/>
      <c r="B663" s="1306"/>
      <c r="C663" s="1305"/>
      <c r="D663" s="100">
        <v>2025</v>
      </c>
      <c r="E663" s="102">
        <v>0</v>
      </c>
      <c r="F663" s="102">
        <v>0</v>
      </c>
      <c r="G663" s="102">
        <v>0</v>
      </c>
      <c r="H663" s="102">
        <v>0</v>
      </c>
      <c r="I663" s="102">
        <v>0</v>
      </c>
      <c r="J663" s="1305"/>
      <c r="K663" s="1305"/>
    </row>
    <row r="664" spans="1:11" ht="12.75" customHeight="1" outlineLevel="1">
      <c r="A664" s="1305"/>
      <c r="B664" s="1306"/>
      <c r="C664" s="1305"/>
      <c r="D664" s="100">
        <v>2026</v>
      </c>
      <c r="E664" s="102">
        <f t="shared" si="43"/>
        <v>0</v>
      </c>
      <c r="F664" s="102">
        <v>0</v>
      </c>
      <c r="G664" s="102">
        <v>0</v>
      </c>
      <c r="H664" s="102">
        <v>0</v>
      </c>
      <c r="I664" s="102">
        <v>0</v>
      </c>
      <c r="J664" s="1305"/>
      <c r="K664" s="1305"/>
    </row>
    <row r="665" spans="1:11" ht="12.75" customHeight="1" outlineLevel="1">
      <c r="A665" s="1305" t="s">
        <v>490</v>
      </c>
      <c r="B665" s="1306" t="s">
        <v>491</v>
      </c>
      <c r="C665" s="1305">
        <v>2021</v>
      </c>
      <c r="D665" s="100" t="s">
        <v>3</v>
      </c>
      <c r="E665" s="102">
        <f t="shared" si="43"/>
        <v>468.3</v>
      </c>
      <c r="F665" s="102">
        <f>SUM(F666:F671)</f>
        <v>468.3</v>
      </c>
      <c r="G665" s="102">
        <f>SUM(G666:G671)</f>
        <v>0</v>
      </c>
      <c r="H665" s="102">
        <f>SUM(H666:H671)</f>
        <v>0</v>
      </c>
      <c r="I665" s="102">
        <f>SUM(I666:I671)</f>
        <v>0</v>
      </c>
      <c r="J665" s="1305" t="s">
        <v>492</v>
      </c>
      <c r="K665" s="1305" t="s">
        <v>140</v>
      </c>
    </row>
    <row r="666" spans="1:11" ht="12.75" customHeight="1" outlineLevel="1">
      <c r="A666" s="1305"/>
      <c r="B666" s="1306"/>
      <c r="C666" s="1305"/>
      <c r="D666" s="100">
        <v>2021</v>
      </c>
      <c r="E666" s="102">
        <f t="shared" si="43"/>
        <v>468.3</v>
      </c>
      <c r="F666" s="102">
        <v>468.3</v>
      </c>
      <c r="G666" s="102">
        <v>0</v>
      </c>
      <c r="H666" s="102">
        <v>0</v>
      </c>
      <c r="I666" s="102">
        <v>0</v>
      </c>
      <c r="J666" s="1305"/>
      <c r="K666" s="1305"/>
    </row>
    <row r="667" spans="1:11" ht="12.75" customHeight="1" outlineLevel="1">
      <c r="A667" s="1305"/>
      <c r="B667" s="1306"/>
      <c r="C667" s="1305"/>
      <c r="D667" s="100">
        <v>2022</v>
      </c>
      <c r="E667" s="102">
        <f t="shared" si="43"/>
        <v>0</v>
      </c>
      <c r="F667" s="102">
        <v>0</v>
      </c>
      <c r="G667" s="102">
        <v>0</v>
      </c>
      <c r="H667" s="102">
        <v>0</v>
      </c>
      <c r="I667" s="102">
        <v>0</v>
      </c>
      <c r="J667" s="1305"/>
      <c r="K667" s="1305"/>
    </row>
    <row r="668" spans="1:11" ht="12.75" customHeight="1" outlineLevel="1">
      <c r="A668" s="1305"/>
      <c r="B668" s="1306"/>
      <c r="C668" s="1305"/>
      <c r="D668" s="100">
        <v>2023</v>
      </c>
      <c r="E668" s="102">
        <f t="shared" si="43"/>
        <v>0</v>
      </c>
      <c r="F668" s="102">
        <v>0</v>
      </c>
      <c r="G668" s="102">
        <v>0</v>
      </c>
      <c r="H668" s="102">
        <v>0</v>
      </c>
      <c r="I668" s="102">
        <v>0</v>
      </c>
      <c r="J668" s="1305"/>
      <c r="K668" s="1305"/>
    </row>
    <row r="669" spans="1:11" ht="12.75" customHeight="1" outlineLevel="1">
      <c r="A669" s="1305"/>
      <c r="B669" s="1306"/>
      <c r="C669" s="1305"/>
      <c r="D669" s="100">
        <v>2024</v>
      </c>
      <c r="E669" s="102">
        <f t="shared" si="43"/>
        <v>0</v>
      </c>
      <c r="F669" s="102">
        <v>0</v>
      </c>
      <c r="G669" s="102">
        <v>0</v>
      </c>
      <c r="H669" s="102">
        <v>0</v>
      </c>
      <c r="I669" s="102">
        <v>0</v>
      </c>
      <c r="J669" s="1305"/>
      <c r="K669" s="1305"/>
    </row>
    <row r="670" spans="1:11" ht="12.75" customHeight="1" outlineLevel="1">
      <c r="A670" s="1305"/>
      <c r="B670" s="1306"/>
      <c r="C670" s="1305"/>
      <c r="D670" s="100">
        <v>2025</v>
      </c>
      <c r="E670" s="102">
        <v>0</v>
      </c>
      <c r="F670" s="102">
        <v>0</v>
      </c>
      <c r="G670" s="102">
        <v>0</v>
      </c>
      <c r="H670" s="102">
        <v>0</v>
      </c>
      <c r="I670" s="102">
        <v>0</v>
      </c>
      <c r="J670" s="1305"/>
      <c r="K670" s="1305"/>
    </row>
    <row r="671" spans="1:11" ht="12.75" customHeight="1" outlineLevel="1">
      <c r="A671" s="1305"/>
      <c r="B671" s="1306"/>
      <c r="C671" s="1305"/>
      <c r="D671" s="100">
        <v>2026</v>
      </c>
      <c r="E671" s="102">
        <f t="shared" si="43"/>
        <v>0</v>
      </c>
      <c r="F671" s="102">
        <v>0</v>
      </c>
      <c r="G671" s="102">
        <v>0</v>
      </c>
      <c r="H671" s="102">
        <v>0</v>
      </c>
      <c r="I671" s="102">
        <v>0</v>
      </c>
      <c r="J671" s="1305"/>
      <c r="K671" s="1305"/>
    </row>
    <row r="672" spans="1:11" ht="18" customHeight="1" outlineLevel="1">
      <c r="A672" s="1305" t="s">
        <v>493</v>
      </c>
      <c r="B672" s="1306" t="s">
        <v>494</v>
      </c>
      <c r="C672" s="1305">
        <v>2021</v>
      </c>
      <c r="D672" s="100" t="s">
        <v>3</v>
      </c>
      <c r="E672" s="102">
        <f t="shared" si="43"/>
        <v>8226.4694736842102</v>
      </c>
      <c r="F672" s="102">
        <f>SUM(F673:F678)</f>
        <v>7815.1459999999997</v>
      </c>
      <c r="G672" s="102">
        <f>SUM(G673:G678)</f>
        <v>0</v>
      </c>
      <c r="H672" s="102">
        <f>SUM(H673:H678)</f>
        <v>411.32347368421051</v>
      </c>
      <c r="I672" s="102">
        <f>SUM(I673:I678)</f>
        <v>0</v>
      </c>
      <c r="J672" s="1305" t="s">
        <v>495</v>
      </c>
      <c r="K672" s="1305" t="s">
        <v>129</v>
      </c>
    </row>
    <row r="673" spans="1:11" ht="18" customHeight="1" outlineLevel="1">
      <c r="A673" s="1305"/>
      <c r="B673" s="1306"/>
      <c r="C673" s="1305"/>
      <c r="D673" s="100">
        <v>2021</v>
      </c>
      <c r="E673" s="102">
        <f t="shared" ref="E673:E746" si="44">SUM(F673:I673)</f>
        <v>8226.4694736842102</v>
      </c>
      <c r="F673" s="102">
        <v>7815.1459999999997</v>
      </c>
      <c r="G673" s="102">
        <v>0</v>
      </c>
      <c r="H673" s="102">
        <f t="shared" ref="H673:H674" si="45">F673/95*5</f>
        <v>411.32347368421051</v>
      </c>
      <c r="I673" s="102">
        <v>0</v>
      </c>
      <c r="J673" s="1305"/>
      <c r="K673" s="1305"/>
    </row>
    <row r="674" spans="1:11" ht="18" customHeight="1" outlineLevel="1">
      <c r="A674" s="1305"/>
      <c r="B674" s="1306"/>
      <c r="C674" s="1305"/>
      <c r="D674" s="100">
        <v>2022</v>
      </c>
      <c r="E674" s="102">
        <f t="shared" si="44"/>
        <v>0</v>
      </c>
      <c r="F674" s="102">
        <v>0</v>
      </c>
      <c r="G674" s="102">
        <v>0</v>
      </c>
      <c r="H674" s="102">
        <f t="shared" si="45"/>
        <v>0</v>
      </c>
      <c r="I674" s="102">
        <v>0</v>
      </c>
      <c r="J674" s="1305"/>
      <c r="K674" s="1305"/>
    </row>
    <row r="675" spans="1:11" ht="18" customHeight="1" outlineLevel="1">
      <c r="A675" s="1305"/>
      <c r="B675" s="1306"/>
      <c r="C675" s="1305"/>
      <c r="D675" s="100">
        <v>2023</v>
      </c>
      <c r="E675" s="102">
        <f t="shared" si="44"/>
        <v>0</v>
      </c>
      <c r="F675" s="102">
        <v>0</v>
      </c>
      <c r="G675" s="102">
        <v>0</v>
      </c>
      <c r="H675" s="102">
        <v>0</v>
      </c>
      <c r="I675" s="102">
        <v>0</v>
      </c>
      <c r="J675" s="1305"/>
      <c r="K675" s="1305"/>
    </row>
    <row r="676" spans="1:11" ht="18" customHeight="1" outlineLevel="1">
      <c r="A676" s="1305"/>
      <c r="B676" s="1306"/>
      <c r="C676" s="1305"/>
      <c r="D676" s="100">
        <v>2024</v>
      </c>
      <c r="E676" s="102">
        <f t="shared" si="44"/>
        <v>0</v>
      </c>
      <c r="F676" s="102">
        <v>0</v>
      </c>
      <c r="G676" s="102">
        <v>0</v>
      </c>
      <c r="H676" s="102">
        <v>0</v>
      </c>
      <c r="I676" s="102">
        <v>0</v>
      </c>
      <c r="J676" s="1305"/>
      <c r="K676" s="1305"/>
    </row>
    <row r="677" spans="1:11" ht="18" customHeight="1" outlineLevel="1">
      <c r="A677" s="1305"/>
      <c r="B677" s="1306"/>
      <c r="C677" s="1305"/>
      <c r="D677" s="100">
        <v>2025</v>
      </c>
      <c r="E677" s="102">
        <v>0</v>
      </c>
      <c r="F677" s="102">
        <v>0</v>
      </c>
      <c r="G677" s="102">
        <v>0</v>
      </c>
      <c r="H677" s="102">
        <v>0</v>
      </c>
      <c r="I677" s="102">
        <v>0</v>
      </c>
      <c r="J677" s="1305"/>
      <c r="K677" s="1305"/>
    </row>
    <row r="678" spans="1:11" ht="18" customHeight="1" outlineLevel="1">
      <c r="A678" s="1305"/>
      <c r="B678" s="1306"/>
      <c r="C678" s="1305"/>
      <c r="D678" s="100">
        <v>2026</v>
      </c>
      <c r="E678" s="102">
        <f t="shared" si="44"/>
        <v>0</v>
      </c>
      <c r="F678" s="102">
        <v>0</v>
      </c>
      <c r="G678" s="102">
        <v>0</v>
      </c>
      <c r="H678" s="102">
        <v>0</v>
      </c>
      <c r="I678" s="102">
        <v>0</v>
      </c>
      <c r="J678" s="1305"/>
      <c r="K678" s="1305"/>
    </row>
    <row r="679" spans="1:11" ht="18" customHeight="1" outlineLevel="1">
      <c r="A679" s="1305" t="s">
        <v>496</v>
      </c>
      <c r="B679" s="1306" t="s">
        <v>497</v>
      </c>
      <c r="C679" s="1305">
        <v>2021</v>
      </c>
      <c r="D679" s="100" t="s">
        <v>3</v>
      </c>
      <c r="E679" s="102">
        <f t="shared" si="44"/>
        <v>15056.631578947368</v>
      </c>
      <c r="F679" s="102">
        <f>SUM(F680:F685)</f>
        <v>14303.8</v>
      </c>
      <c r="G679" s="102">
        <f>SUM(G680:G685)</f>
        <v>0</v>
      </c>
      <c r="H679" s="102">
        <f>SUM(H680:H685)</f>
        <v>752.83157894736837</v>
      </c>
      <c r="I679" s="102">
        <v>0</v>
      </c>
      <c r="J679" s="1305" t="s">
        <v>498</v>
      </c>
      <c r="K679" s="1305" t="s">
        <v>129</v>
      </c>
    </row>
    <row r="680" spans="1:11" ht="18" customHeight="1" outlineLevel="1">
      <c r="A680" s="1305"/>
      <c r="B680" s="1306"/>
      <c r="C680" s="1305"/>
      <c r="D680" s="100">
        <v>2021</v>
      </c>
      <c r="E680" s="102">
        <f t="shared" si="44"/>
        <v>15056.631578947368</v>
      </c>
      <c r="F680" s="102">
        <v>14303.8</v>
      </c>
      <c r="G680" s="102">
        <v>0</v>
      </c>
      <c r="H680" s="102">
        <f>F680/95*5</f>
        <v>752.83157894736837</v>
      </c>
      <c r="I680" s="102">
        <v>0</v>
      </c>
      <c r="J680" s="1305"/>
      <c r="K680" s="1305"/>
    </row>
    <row r="681" spans="1:11" ht="18" customHeight="1" outlineLevel="1">
      <c r="A681" s="1305"/>
      <c r="B681" s="1306"/>
      <c r="C681" s="1305"/>
      <c r="D681" s="100">
        <v>2022</v>
      </c>
      <c r="E681" s="102">
        <f t="shared" si="44"/>
        <v>0</v>
      </c>
      <c r="F681" s="102">
        <v>0</v>
      </c>
      <c r="G681" s="102">
        <v>0</v>
      </c>
      <c r="H681" s="102">
        <v>0</v>
      </c>
      <c r="I681" s="102">
        <v>0</v>
      </c>
      <c r="J681" s="1305"/>
      <c r="K681" s="1305"/>
    </row>
    <row r="682" spans="1:11" ht="18" customHeight="1" outlineLevel="1">
      <c r="A682" s="1305"/>
      <c r="B682" s="1306"/>
      <c r="C682" s="1305"/>
      <c r="D682" s="100">
        <v>2023</v>
      </c>
      <c r="E682" s="102">
        <f t="shared" si="44"/>
        <v>0</v>
      </c>
      <c r="F682" s="102">
        <v>0</v>
      </c>
      <c r="G682" s="102">
        <v>0</v>
      </c>
      <c r="H682" s="102">
        <v>0</v>
      </c>
      <c r="I682" s="102">
        <v>0</v>
      </c>
      <c r="J682" s="1305"/>
      <c r="K682" s="1305"/>
    </row>
    <row r="683" spans="1:11" ht="18" customHeight="1" outlineLevel="1">
      <c r="A683" s="1305"/>
      <c r="B683" s="1306"/>
      <c r="C683" s="1305"/>
      <c r="D683" s="100">
        <v>2024</v>
      </c>
      <c r="E683" s="102">
        <f t="shared" si="44"/>
        <v>0</v>
      </c>
      <c r="F683" s="102">
        <v>0</v>
      </c>
      <c r="G683" s="102">
        <v>0</v>
      </c>
      <c r="H683" s="102">
        <v>0</v>
      </c>
      <c r="I683" s="102">
        <v>0</v>
      </c>
      <c r="J683" s="1305"/>
      <c r="K683" s="1305"/>
    </row>
    <row r="684" spans="1:11" ht="18" customHeight="1" outlineLevel="1">
      <c r="A684" s="1305"/>
      <c r="B684" s="1306"/>
      <c r="C684" s="1305"/>
      <c r="D684" s="100">
        <v>2025</v>
      </c>
      <c r="E684" s="102">
        <v>0</v>
      </c>
      <c r="F684" s="102">
        <v>0</v>
      </c>
      <c r="G684" s="102">
        <v>0</v>
      </c>
      <c r="H684" s="102">
        <v>0</v>
      </c>
      <c r="I684" s="102">
        <v>0</v>
      </c>
      <c r="J684" s="1305"/>
      <c r="K684" s="1305"/>
    </row>
    <row r="685" spans="1:11" ht="18" customHeight="1" outlineLevel="1">
      <c r="A685" s="1305"/>
      <c r="B685" s="1306"/>
      <c r="C685" s="1305"/>
      <c r="D685" s="100">
        <v>2026</v>
      </c>
      <c r="E685" s="102">
        <f t="shared" si="44"/>
        <v>0</v>
      </c>
      <c r="F685" s="102">
        <v>0</v>
      </c>
      <c r="G685" s="102">
        <v>0</v>
      </c>
      <c r="H685" s="102">
        <v>0</v>
      </c>
      <c r="I685" s="102">
        <v>0</v>
      </c>
      <c r="J685" s="1305"/>
      <c r="K685" s="1305"/>
    </row>
    <row r="686" spans="1:11" ht="12.75" customHeight="1" outlineLevel="1">
      <c r="A686" s="1305" t="s">
        <v>499</v>
      </c>
      <c r="B686" s="1306" t="s">
        <v>500</v>
      </c>
      <c r="C686" s="1305">
        <v>2022</v>
      </c>
      <c r="D686" s="100" t="s">
        <v>3</v>
      </c>
      <c r="E686" s="102">
        <f t="shared" si="44"/>
        <v>20912.768100000001</v>
      </c>
      <c r="F686" s="102">
        <f>SUM(F687:F692)</f>
        <v>20912.768100000001</v>
      </c>
      <c r="G686" s="102">
        <f>SUM(G687:G692)</f>
        <v>0</v>
      </c>
      <c r="H686" s="102">
        <f>SUM(H687:H692)</f>
        <v>0</v>
      </c>
      <c r="I686" s="102">
        <f>SUM(I687:I692)</f>
        <v>0</v>
      </c>
      <c r="J686" s="1305" t="s">
        <v>501</v>
      </c>
      <c r="K686" s="1305" t="s">
        <v>502</v>
      </c>
    </row>
    <row r="687" spans="1:11" ht="12.75" customHeight="1" outlineLevel="1">
      <c r="A687" s="1305"/>
      <c r="B687" s="1306"/>
      <c r="C687" s="1305"/>
      <c r="D687" s="100">
        <v>2021</v>
      </c>
      <c r="E687" s="102">
        <f t="shared" si="44"/>
        <v>0</v>
      </c>
      <c r="F687" s="102">
        <v>0</v>
      </c>
      <c r="G687" s="102">
        <v>0</v>
      </c>
      <c r="H687" s="102">
        <v>0</v>
      </c>
      <c r="I687" s="102">
        <v>0</v>
      </c>
      <c r="J687" s="1305"/>
      <c r="K687" s="1305"/>
    </row>
    <row r="688" spans="1:11" ht="12.75" customHeight="1" outlineLevel="1">
      <c r="A688" s="1305"/>
      <c r="B688" s="1306"/>
      <c r="C688" s="1305"/>
      <c r="D688" s="100">
        <v>2022</v>
      </c>
      <c r="E688" s="102">
        <f t="shared" si="44"/>
        <v>20912.768100000001</v>
      </c>
      <c r="F688" s="102">
        <v>20912.768100000001</v>
      </c>
      <c r="G688" s="102">
        <v>0</v>
      </c>
      <c r="H688" s="102">
        <v>0</v>
      </c>
      <c r="I688" s="102">
        <v>0</v>
      </c>
      <c r="J688" s="1305"/>
      <c r="K688" s="1305"/>
    </row>
    <row r="689" spans="1:11" ht="12.75" customHeight="1" outlineLevel="1">
      <c r="A689" s="1305"/>
      <c r="B689" s="1306"/>
      <c r="C689" s="1305"/>
      <c r="D689" s="100">
        <v>2023</v>
      </c>
      <c r="E689" s="102">
        <f t="shared" si="44"/>
        <v>0</v>
      </c>
      <c r="F689" s="102">
        <v>0</v>
      </c>
      <c r="G689" s="102">
        <v>0</v>
      </c>
      <c r="H689" s="102">
        <v>0</v>
      </c>
      <c r="I689" s="102">
        <v>0</v>
      </c>
      <c r="J689" s="1305"/>
      <c r="K689" s="1305"/>
    </row>
    <row r="690" spans="1:11" ht="12.75" customHeight="1" outlineLevel="1">
      <c r="A690" s="1305"/>
      <c r="B690" s="1306"/>
      <c r="C690" s="1305"/>
      <c r="D690" s="100">
        <v>2024</v>
      </c>
      <c r="E690" s="102">
        <f t="shared" si="44"/>
        <v>0</v>
      </c>
      <c r="F690" s="102">
        <v>0</v>
      </c>
      <c r="G690" s="102">
        <v>0</v>
      </c>
      <c r="H690" s="102">
        <v>0</v>
      </c>
      <c r="I690" s="102">
        <v>0</v>
      </c>
      <c r="J690" s="1305"/>
      <c r="K690" s="1305"/>
    </row>
    <row r="691" spans="1:11" ht="12.75" customHeight="1" outlineLevel="1">
      <c r="A691" s="1305"/>
      <c r="B691" s="1306"/>
      <c r="C691" s="1305"/>
      <c r="D691" s="100">
        <v>2025</v>
      </c>
      <c r="E691" s="102">
        <v>0</v>
      </c>
      <c r="F691" s="102">
        <v>0</v>
      </c>
      <c r="G691" s="102">
        <v>0</v>
      </c>
      <c r="H691" s="102">
        <v>0</v>
      </c>
      <c r="I691" s="102">
        <v>0</v>
      </c>
      <c r="J691" s="1305"/>
      <c r="K691" s="1305"/>
    </row>
    <row r="692" spans="1:11" ht="12.75" customHeight="1" outlineLevel="1">
      <c r="A692" s="1305"/>
      <c r="B692" s="1306"/>
      <c r="C692" s="1305"/>
      <c r="D692" s="100">
        <v>2026</v>
      </c>
      <c r="E692" s="102">
        <f t="shared" si="44"/>
        <v>0</v>
      </c>
      <c r="F692" s="102">
        <v>0</v>
      </c>
      <c r="G692" s="102">
        <v>0</v>
      </c>
      <c r="H692" s="102">
        <v>0</v>
      </c>
      <c r="I692" s="102">
        <v>0</v>
      </c>
      <c r="J692" s="1305"/>
      <c r="K692" s="1305"/>
    </row>
    <row r="693" spans="1:11" ht="12.75" customHeight="1" outlineLevel="1">
      <c r="A693" s="1305" t="s">
        <v>503</v>
      </c>
      <c r="B693" s="1306" t="s">
        <v>123</v>
      </c>
      <c r="C693" s="1305" t="s">
        <v>368</v>
      </c>
      <c r="D693" s="100" t="s">
        <v>3</v>
      </c>
      <c r="E693" s="102">
        <f t="shared" si="44"/>
        <v>150000</v>
      </c>
      <c r="F693" s="102">
        <f>SUM(F694:F699)</f>
        <v>142500</v>
      </c>
      <c r="G693" s="102">
        <f>SUM(G694:G699)</f>
        <v>0</v>
      </c>
      <c r="H693" s="102">
        <f>SUM(H694:H699)</f>
        <v>7500</v>
      </c>
      <c r="I693" s="102">
        <f>SUM(I694:I699)</f>
        <v>0</v>
      </c>
      <c r="J693" s="1305" t="s">
        <v>143</v>
      </c>
      <c r="K693" s="1305" t="s">
        <v>129</v>
      </c>
    </row>
    <row r="694" spans="1:11" ht="12.75" customHeight="1" outlineLevel="1">
      <c r="A694" s="1305"/>
      <c r="B694" s="1306"/>
      <c r="C694" s="1305"/>
      <c r="D694" s="100">
        <v>2021</v>
      </c>
      <c r="E694" s="102">
        <f t="shared" si="44"/>
        <v>0</v>
      </c>
      <c r="F694" s="102">
        <v>0</v>
      </c>
      <c r="G694" s="102">
        <v>0</v>
      </c>
      <c r="H694" s="102">
        <v>0</v>
      </c>
      <c r="I694" s="102">
        <v>0</v>
      </c>
      <c r="J694" s="1305"/>
      <c r="K694" s="1305"/>
    </row>
    <row r="695" spans="1:11" ht="12.75" customHeight="1" outlineLevel="1">
      <c r="A695" s="1305"/>
      <c r="B695" s="1306"/>
      <c r="C695" s="1305"/>
      <c r="D695" s="100">
        <v>2022</v>
      </c>
      <c r="E695" s="102">
        <f t="shared" si="44"/>
        <v>70000</v>
      </c>
      <c r="F695" s="102">
        <v>66500</v>
      </c>
      <c r="G695" s="102">
        <v>0</v>
      </c>
      <c r="H695" s="102">
        <v>3500</v>
      </c>
      <c r="I695" s="102">
        <v>0</v>
      </c>
      <c r="J695" s="1305"/>
      <c r="K695" s="1305"/>
    </row>
    <row r="696" spans="1:11" ht="12.75" customHeight="1" outlineLevel="1">
      <c r="A696" s="1305"/>
      <c r="B696" s="1306"/>
      <c r="C696" s="1305"/>
      <c r="D696" s="100">
        <v>2023</v>
      </c>
      <c r="E696" s="102">
        <f t="shared" si="44"/>
        <v>80000</v>
      </c>
      <c r="F696" s="102">
        <v>76000</v>
      </c>
      <c r="G696" s="102">
        <v>0</v>
      </c>
      <c r="H696" s="102">
        <v>4000</v>
      </c>
      <c r="I696" s="102">
        <v>0</v>
      </c>
      <c r="J696" s="1305"/>
      <c r="K696" s="1305"/>
    </row>
    <row r="697" spans="1:11" ht="12.75" customHeight="1" outlineLevel="1">
      <c r="A697" s="1305"/>
      <c r="B697" s="1306"/>
      <c r="C697" s="1305"/>
      <c r="D697" s="100">
        <v>2024</v>
      </c>
      <c r="E697" s="102">
        <f t="shared" si="44"/>
        <v>0</v>
      </c>
      <c r="F697" s="102">
        <v>0</v>
      </c>
      <c r="G697" s="102">
        <v>0</v>
      </c>
      <c r="H697" s="102">
        <v>0</v>
      </c>
      <c r="I697" s="102">
        <v>0</v>
      </c>
      <c r="J697" s="1305"/>
      <c r="K697" s="1305"/>
    </row>
    <row r="698" spans="1:11" ht="12.75" customHeight="1" outlineLevel="1">
      <c r="A698" s="1305"/>
      <c r="B698" s="1306"/>
      <c r="C698" s="1305"/>
      <c r="D698" s="100">
        <v>2025</v>
      </c>
      <c r="E698" s="102">
        <v>0</v>
      </c>
      <c r="F698" s="102">
        <v>0</v>
      </c>
      <c r="G698" s="102">
        <v>0</v>
      </c>
      <c r="H698" s="102">
        <v>0</v>
      </c>
      <c r="I698" s="102">
        <v>0</v>
      </c>
      <c r="J698" s="1305"/>
      <c r="K698" s="1305"/>
    </row>
    <row r="699" spans="1:11" outlineLevel="1">
      <c r="A699" s="1305"/>
      <c r="B699" s="1306"/>
      <c r="C699" s="1305"/>
      <c r="D699" s="100">
        <v>2026</v>
      </c>
      <c r="E699" s="102">
        <f t="shared" si="44"/>
        <v>0</v>
      </c>
      <c r="F699" s="102">
        <v>0</v>
      </c>
      <c r="G699" s="102">
        <v>0</v>
      </c>
      <c r="H699" s="102">
        <v>0</v>
      </c>
      <c r="I699" s="102">
        <v>0</v>
      </c>
      <c r="J699" s="1305"/>
      <c r="K699" s="1305"/>
    </row>
    <row r="700" spans="1:11" ht="14.25" customHeight="1" outlineLevel="1">
      <c r="A700" s="1295" t="s">
        <v>127</v>
      </c>
      <c r="B700" s="1308" t="s">
        <v>124</v>
      </c>
      <c r="C700" s="1295" t="s">
        <v>272</v>
      </c>
      <c r="D700" s="100" t="s">
        <v>3</v>
      </c>
      <c r="E700" s="102">
        <f t="shared" si="44"/>
        <v>22000</v>
      </c>
      <c r="F700" s="102">
        <f>SUM(F701:F706)</f>
        <v>22000</v>
      </c>
      <c r="G700" s="102">
        <f>SUM(G701:G705)</f>
        <v>0</v>
      </c>
      <c r="H700" s="102">
        <f>SUM(H701:H705)</f>
        <v>0</v>
      </c>
      <c r="I700" s="102">
        <f>SUM(I701:I705)</f>
        <v>0</v>
      </c>
      <c r="J700" s="1295" t="s">
        <v>504</v>
      </c>
      <c r="K700" s="1295" t="s">
        <v>142</v>
      </c>
    </row>
    <row r="701" spans="1:11" ht="12.75" customHeight="1" outlineLevel="1">
      <c r="A701" s="1296"/>
      <c r="B701" s="1309"/>
      <c r="C701" s="1296"/>
      <c r="D701" s="100">
        <v>2021</v>
      </c>
      <c r="E701" s="102">
        <f t="shared" si="44"/>
        <v>0</v>
      </c>
      <c r="F701" s="102">
        <v>0</v>
      </c>
      <c r="G701" s="102">
        <v>0</v>
      </c>
      <c r="H701" s="102">
        <v>0</v>
      </c>
      <c r="I701" s="102">
        <v>0</v>
      </c>
      <c r="J701" s="1296"/>
      <c r="K701" s="1296"/>
    </row>
    <row r="702" spans="1:11" ht="14.25" customHeight="1" outlineLevel="1">
      <c r="A702" s="1296"/>
      <c r="B702" s="1309"/>
      <c r="C702" s="1296"/>
      <c r="D702" s="100">
        <v>2022</v>
      </c>
      <c r="E702" s="102">
        <f t="shared" si="44"/>
        <v>4400</v>
      </c>
      <c r="F702" s="102">
        <v>4400</v>
      </c>
      <c r="G702" s="102">
        <v>0</v>
      </c>
      <c r="H702" s="102">
        <v>0</v>
      </c>
      <c r="I702" s="102">
        <v>0</v>
      </c>
      <c r="J702" s="1296"/>
      <c r="K702" s="1296"/>
    </row>
    <row r="703" spans="1:11" ht="14.25" customHeight="1" outlineLevel="1">
      <c r="A703" s="1296"/>
      <c r="B703" s="1309"/>
      <c r="C703" s="1296"/>
      <c r="D703" s="100">
        <v>2023</v>
      </c>
      <c r="E703" s="102">
        <f t="shared" si="44"/>
        <v>4400</v>
      </c>
      <c r="F703" s="102">
        <v>4400</v>
      </c>
      <c r="G703" s="102">
        <v>0</v>
      </c>
      <c r="H703" s="102">
        <v>0</v>
      </c>
      <c r="I703" s="102">
        <v>0</v>
      </c>
      <c r="J703" s="1296"/>
      <c r="K703" s="1296"/>
    </row>
    <row r="704" spans="1:11" ht="12" customHeight="1" outlineLevel="1">
      <c r="A704" s="1296"/>
      <c r="B704" s="1309"/>
      <c r="C704" s="1296"/>
      <c r="D704" s="108">
        <v>2024</v>
      </c>
      <c r="E704" s="109">
        <f t="shared" si="44"/>
        <v>4400</v>
      </c>
      <c r="F704" s="109">
        <v>4400</v>
      </c>
      <c r="G704" s="109">
        <v>0</v>
      </c>
      <c r="H704" s="109">
        <v>0</v>
      </c>
      <c r="I704" s="109">
        <v>0</v>
      </c>
      <c r="J704" s="1296"/>
      <c r="K704" s="1296"/>
    </row>
    <row r="705" spans="1:11" ht="15" customHeight="1" outlineLevel="1">
      <c r="A705" s="1296"/>
      <c r="B705" s="1309"/>
      <c r="C705" s="1296"/>
      <c r="D705" s="100">
        <v>2025</v>
      </c>
      <c r="E705" s="102">
        <f t="shared" si="44"/>
        <v>4400</v>
      </c>
      <c r="F705" s="102">
        <v>4400</v>
      </c>
      <c r="G705" s="102">
        <v>0</v>
      </c>
      <c r="H705" s="102">
        <v>0</v>
      </c>
      <c r="I705" s="102">
        <v>0</v>
      </c>
      <c r="J705" s="1296"/>
      <c r="K705" s="1296"/>
    </row>
    <row r="706" spans="1:11" ht="15" customHeight="1" outlineLevel="1">
      <c r="A706" s="1297"/>
      <c r="B706" s="1310"/>
      <c r="C706" s="1297"/>
      <c r="D706" s="100">
        <v>2026</v>
      </c>
      <c r="E706" s="102">
        <f t="shared" si="44"/>
        <v>4400</v>
      </c>
      <c r="F706" s="102">
        <v>4400</v>
      </c>
      <c r="G706" s="102">
        <v>0</v>
      </c>
      <c r="H706" s="102">
        <v>0</v>
      </c>
      <c r="I706" s="102">
        <v>0</v>
      </c>
      <c r="J706" s="1297"/>
      <c r="K706" s="1297"/>
    </row>
    <row r="707" spans="1:11" ht="12.75" customHeight="1" outlineLevel="1">
      <c r="A707" s="1305" t="s">
        <v>505</v>
      </c>
      <c r="B707" s="1306" t="s">
        <v>506</v>
      </c>
      <c r="C707" s="1305">
        <v>2022</v>
      </c>
      <c r="D707" s="100" t="s">
        <v>3</v>
      </c>
      <c r="E707" s="102">
        <f t="shared" si="44"/>
        <v>65500</v>
      </c>
      <c r="F707" s="102">
        <f>SUM(F708:F713)</f>
        <v>62225</v>
      </c>
      <c r="G707" s="102">
        <f>SUM(G708:G713)</f>
        <v>0</v>
      </c>
      <c r="H707" s="102">
        <f>SUM(H708:H713)</f>
        <v>3275</v>
      </c>
      <c r="I707" s="102">
        <f>SUM(I708:I713)</f>
        <v>0</v>
      </c>
      <c r="J707" s="1305" t="s">
        <v>507</v>
      </c>
      <c r="K707" s="1305" t="s">
        <v>129</v>
      </c>
    </row>
    <row r="708" spans="1:11" ht="12.75" customHeight="1" outlineLevel="1">
      <c r="A708" s="1305"/>
      <c r="B708" s="1306"/>
      <c r="C708" s="1305"/>
      <c r="D708" s="100">
        <v>2021</v>
      </c>
      <c r="E708" s="102">
        <f t="shared" si="44"/>
        <v>0</v>
      </c>
      <c r="F708" s="102">
        <v>0</v>
      </c>
      <c r="G708" s="102">
        <v>0</v>
      </c>
      <c r="H708" s="102">
        <v>0</v>
      </c>
      <c r="I708" s="102">
        <v>0</v>
      </c>
      <c r="J708" s="1305"/>
      <c r="K708" s="1305"/>
    </row>
    <row r="709" spans="1:11" ht="12.75" customHeight="1" outlineLevel="1">
      <c r="A709" s="1305"/>
      <c r="B709" s="1306"/>
      <c r="C709" s="1305"/>
      <c r="D709" s="100">
        <v>2022</v>
      </c>
      <c r="E709" s="102">
        <f t="shared" si="44"/>
        <v>65500</v>
      </c>
      <c r="F709" s="102">
        <v>62225</v>
      </c>
      <c r="G709" s="102">
        <v>0</v>
      </c>
      <c r="H709" s="102">
        <v>3275</v>
      </c>
      <c r="I709" s="102">
        <v>0</v>
      </c>
      <c r="J709" s="1305"/>
      <c r="K709" s="1305"/>
    </row>
    <row r="710" spans="1:11" ht="12.75" customHeight="1" outlineLevel="1">
      <c r="A710" s="1305"/>
      <c r="B710" s="1306"/>
      <c r="C710" s="1305"/>
      <c r="D710" s="100">
        <v>2023</v>
      </c>
      <c r="E710" s="102">
        <f t="shared" si="44"/>
        <v>0</v>
      </c>
      <c r="F710" s="102">
        <v>0</v>
      </c>
      <c r="G710" s="102">
        <v>0</v>
      </c>
      <c r="H710" s="102">
        <v>0</v>
      </c>
      <c r="I710" s="102">
        <v>0</v>
      </c>
      <c r="J710" s="1305"/>
      <c r="K710" s="1305"/>
    </row>
    <row r="711" spans="1:11" ht="12.75" customHeight="1" outlineLevel="1">
      <c r="A711" s="1305"/>
      <c r="B711" s="1306"/>
      <c r="C711" s="1305"/>
      <c r="D711" s="100">
        <v>2024</v>
      </c>
      <c r="E711" s="102">
        <f t="shared" si="44"/>
        <v>0</v>
      </c>
      <c r="F711" s="102">
        <v>0</v>
      </c>
      <c r="G711" s="102">
        <v>0</v>
      </c>
      <c r="H711" s="102">
        <v>0</v>
      </c>
      <c r="I711" s="102">
        <v>0</v>
      </c>
      <c r="J711" s="1305"/>
      <c r="K711" s="1305"/>
    </row>
    <row r="712" spans="1:11" ht="12.75" customHeight="1" outlineLevel="1">
      <c r="A712" s="1305"/>
      <c r="B712" s="1306"/>
      <c r="C712" s="1305"/>
      <c r="D712" s="100">
        <v>2025</v>
      </c>
      <c r="E712" s="102">
        <v>0</v>
      </c>
      <c r="F712" s="102">
        <v>0</v>
      </c>
      <c r="G712" s="102">
        <v>0</v>
      </c>
      <c r="H712" s="102">
        <v>0</v>
      </c>
      <c r="I712" s="102">
        <v>0</v>
      </c>
      <c r="J712" s="1305"/>
      <c r="K712" s="1305"/>
    </row>
    <row r="713" spans="1:11" ht="12.75" customHeight="1" outlineLevel="1">
      <c r="A713" s="1305"/>
      <c r="B713" s="1306"/>
      <c r="C713" s="1305"/>
      <c r="D713" s="100">
        <v>2026</v>
      </c>
      <c r="E713" s="102">
        <f t="shared" si="44"/>
        <v>0</v>
      </c>
      <c r="F713" s="102">
        <v>0</v>
      </c>
      <c r="G713" s="102">
        <v>0</v>
      </c>
      <c r="H713" s="102">
        <v>0</v>
      </c>
      <c r="I713" s="102">
        <v>0</v>
      </c>
      <c r="J713" s="1305"/>
      <c r="K713" s="1305"/>
    </row>
    <row r="714" spans="1:11" ht="12.75" customHeight="1" outlineLevel="1">
      <c r="A714" s="1305" t="s">
        <v>508</v>
      </c>
      <c r="B714" s="1306" t="s">
        <v>509</v>
      </c>
      <c r="C714" s="1305">
        <v>2022</v>
      </c>
      <c r="D714" s="100" t="s">
        <v>3</v>
      </c>
      <c r="E714" s="102">
        <f t="shared" si="44"/>
        <v>3010.9325454545456</v>
      </c>
      <c r="F714" s="102">
        <f>SUM(F715:F720)</f>
        <v>2980.8232200000002</v>
      </c>
      <c r="G714" s="102">
        <f>SUM(G715:G720)</f>
        <v>0</v>
      </c>
      <c r="H714" s="102">
        <f>SUM(H715:H720)</f>
        <v>30.109325454545456</v>
      </c>
      <c r="I714" s="102">
        <f>SUM(I715:I720)</f>
        <v>0</v>
      </c>
      <c r="J714" s="1305" t="s">
        <v>510</v>
      </c>
      <c r="K714" s="1305" t="s">
        <v>129</v>
      </c>
    </row>
    <row r="715" spans="1:11" ht="12.75" customHeight="1" outlineLevel="1">
      <c r="A715" s="1305"/>
      <c r="B715" s="1306"/>
      <c r="C715" s="1305"/>
      <c r="D715" s="100">
        <v>2021</v>
      </c>
      <c r="E715" s="102">
        <f t="shared" si="44"/>
        <v>0</v>
      </c>
      <c r="F715" s="102">
        <v>0</v>
      </c>
      <c r="G715" s="102">
        <f>SUM(G716:G721)</f>
        <v>0</v>
      </c>
      <c r="H715" s="102">
        <v>0</v>
      </c>
      <c r="I715" s="102">
        <f>SUM(I716:I721)</f>
        <v>0</v>
      </c>
      <c r="J715" s="1305"/>
      <c r="K715" s="1305"/>
    </row>
    <row r="716" spans="1:11" ht="12.75" customHeight="1" outlineLevel="1">
      <c r="A716" s="1305"/>
      <c r="B716" s="1306"/>
      <c r="C716" s="1305"/>
      <c r="D716" s="100">
        <v>2022</v>
      </c>
      <c r="E716" s="102">
        <f t="shared" si="44"/>
        <v>3010.9325454545456</v>
      </c>
      <c r="F716" s="102">
        <v>2980.8232200000002</v>
      </c>
      <c r="G716" s="102">
        <f>SUM(G717:G722)</f>
        <v>0</v>
      </c>
      <c r="H716" s="102">
        <f>F716/99*1</f>
        <v>30.109325454545456</v>
      </c>
      <c r="I716" s="102">
        <f>SUM(I717:I722)</f>
        <v>0</v>
      </c>
      <c r="J716" s="1305"/>
      <c r="K716" s="1305"/>
    </row>
    <row r="717" spans="1:11" ht="12.75" customHeight="1" outlineLevel="1">
      <c r="A717" s="1305"/>
      <c r="B717" s="1306"/>
      <c r="C717" s="1305"/>
      <c r="D717" s="100">
        <v>2023</v>
      </c>
      <c r="E717" s="102">
        <f t="shared" si="44"/>
        <v>0</v>
      </c>
      <c r="F717" s="102">
        <v>0</v>
      </c>
      <c r="G717" s="102">
        <f>SUM(G718:G723)</f>
        <v>0</v>
      </c>
      <c r="H717" s="102">
        <v>0</v>
      </c>
      <c r="I717" s="102">
        <f>SUM(I718:I723)</f>
        <v>0</v>
      </c>
      <c r="J717" s="1305"/>
      <c r="K717" s="1305"/>
    </row>
    <row r="718" spans="1:11" ht="12.75" customHeight="1" outlineLevel="1">
      <c r="A718" s="1305"/>
      <c r="B718" s="1306"/>
      <c r="C718" s="1305"/>
      <c r="D718" s="100">
        <v>2024</v>
      </c>
      <c r="E718" s="102">
        <f t="shared" si="44"/>
        <v>0</v>
      </c>
      <c r="F718" s="102">
        <v>0</v>
      </c>
      <c r="G718" s="102">
        <f>SUM(G720:G724)</f>
        <v>0</v>
      </c>
      <c r="H718" s="102">
        <v>0</v>
      </c>
      <c r="I718" s="102">
        <f>SUM(I720:I724)</f>
        <v>0</v>
      </c>
      <c r="J718" s="1305"/>
      <c r="K718" s="1305"/>
    </row>
    <row r="719" spans="1:11" ht="12.75" customHeight="1" outlineLevel="1">
      <c r="A719" s="1305"/>
      <c r="B719" s="1306"/>
      <c r="C719" s="1305"/>
      <c r="D719" s="100">
        <v>2025</v>
      </c>
      <c r="E719" s="102">
        <v>0</v>
      </c>
      <c r="F719" s="102">
        <v>0</v>
      </c>
      <c r="G719" s="102">
        <v>0</v>
      </c>
      <c r="H719" s="102">
        <v>0</v>
      </c>
      <c r="I719" s="102">
        <v>0</v>
      </c>
      <c r="J719" s="1305"/>
      <c r="K719" s="1305"/>
    </row>
    <row r="720" spans="1:11" ht="12.75" customHeight="1" outlineLevel="1">
      <c r="A720" s="1305"/>
      <c r="B720" s="1306"/>
      <c r="C720" s="1305"/>
      <c r="D720" s="100">
        <v>2026</v>
      </c>
      <c r="E720" s="102">
        <f t="shared" si="44"/>
        <v>0</v>
      </c>
      <c r="F720" s="102">
        <v>0</v>
      </c>
      <c r="G720" s="102">
        <f t="shared" ref="G720:G748" si="46">SUM(G721:G725)</f>
        <v>0</v>
      </c>
      <c r="H720" s="102">
        <v>0</v>
      </c>
      <c r="I720" s="102">
        <f t="shared" ref="I720:I748" si="47">SUM(I721:I725)</f>
        <v>0</v>
      </c>
      <c r="J720" s="1305"/>
      <c r="K720" s="1305"/>
    </row>
    <row r="721" spans="1:11" ht="12.75" customHeight="1" outlineLevel="1">
      <c r="A721" s="1305" t="s">
        <v>511</v>
      </c>
      <c r="B721" s="1306" t="s">
        <v>512</v>
      </c>
      <c r="C721" s="1305">
        <v>2022</v>
      </c>
      <c r="D721" s="100" t="s">
        <v>3</v>
      </c>
      <c r="E721" s="102">
        <f t="shared" si="44"/>
        <v>9956.0763399999996</v>
      </c>
      <c r="F721" s="102">
        <f>SUM(F722:F727)</f>
        <v>9458.2733399999997</v>
      </c>
      <c r="G721" s="102">
        <f>SUM(G722:G727)</f>
        <v>0</v>
      </c>
      <c r="H721" s="102">
        <f>SUM(H722:H727)</f>
        <v>497.803</v>
      </c>
      <c r="I721" s="102">
        <f>SUM(I722:I727)</f>
        <v>0</v>
      </c>
      <c r="J721" s="1305" t="s">
        <v>513</v>
      </c>
      <c r="K721" s="1305" t="s">
        <v>129</v>
      </c>
    </row>
    <row r="722" spans="1:11" ht="12.75" customHeight="1" outlineLevel="1">
      <c r="A722" s="1305"/>
      <c r="B722" s="1306"/>
      <c r="C722" s="1305"/>
      <c r="D722" s="100">
        <v>2021</v>
      </c>
      <c r="E722" s="102">
        <f t="shared" si="44"/>
        <v>0</v>
      </c>
      <c r="F722" s="102">
        <v>0</v>
      </c>
      <c r="G722" s="102">
        <f>SUM(G723:G728)</f>
        <v>0</v>
      </c>
      <c r="H722" s="102">
        <v>0</v>
      </c>
      <c r="I722" s="102">
        <f>SUM(I723:I728)</f>
        <v>0</v>
      </c>
      <c r="J722" s="1305"/>
      <c r="K722" s="1305"/>
    </row>
    <row r="723" spans="1:11" ht="12.75" customHeight="1" outlineLevel="1">
      <c r="A723" s="1305"/>
      <c r="B723" s="1306"/>
      <c r="C723" s="1305"/>
      <c r="D723" s="100">
        <v>2022</v>
      </c>
      <c r="E723" s="102">
        <f t="shared" si="44"/>
        <v>9956.0763399999996</v>
      </c>
      <c r="F723" s="102">
        <v>9458.2733399999997</v>
      </c>
      <c r="G723" s="102">
        <f>SUM(G724:G729)</f>
        <v>0</v>
      </c>
      <c r="H723" s="102">
        <v>497.803</v>
      </c>
      <c r="I723" s="102">
        <f>SUM(I724:I729)</f>
        <v>0</v>
      </c>
      <c r="J723" s="1305"/>
      <c r="K723" s="1305"/>
    </row>
    <row r="724" spans="1:11" ht="12.75" customHeight="1" outlineLevel="1">
      <c r="A724" s="1305"/>
      <c r="B724" s="1306"/>
      <c r="C724" s="1305"/>
      <c r="D724" s="100">
        <v>2023</v>
      </c>
      <c r="E724" s="102">
        <f t="shared" si="44"/>
        <v>0</v>
      </c>
      <c r="F724" s="102">
        <v>0</v>
      </c>
      <c r="G724" s="102">
        <f>SUM(G725:G730)</f>
        <v>0</v>
      </c>
      <c r="H724" s="102">
        <v>0</v>
      </c>
      <c r="I724" s="102">
        <f>SUM(I725:I730)</f>
        <v>0</v>
      </c>
      <c r="J724" s="1305"/>
      <c r="K724" s="1305"/>
    </row>
    <row r="725" spans="1:11" ht="12.75" customHeight="1" outlineLevel="1">
      <c r="A725" s="1305"/>
      <c r="B725" s="1306"/>
      <c r="C725" s="1305"/>
      <c r="D725" s="100">
        <v>2024</v>
      </c>
      <c r="E725" s="102">
        <f t="shared" si="44"/>
        <v>0</v>
      </c>
      <c r="F725" s="102">
        <v>0</v>
      </c>
      <c r="G725" s="102">
        <f>SUM(G727:G731)</f>
        <v>0</v>
      </c>
      <c r="H725" s="102">
        <v>0</v>
      </c>
      <c r="I725" s="102">
        <f>SUM(I727:I731)</f>
        <v>0</v>
      </c>
      <c r="J725" s="1305"/>
      <c r="K725" s="1305"/>
    </row>
    <row r="726" spans="1:11" ht="12.75" customHeight="1" outlineLevel="1">
      <c r="A726" s="1305"/>
      <c r="B726" s="1306"/>
      <c r="C726" s="1305"/>
      <c r="D726" s="100">
        <v>2025</v>
      </c>
      <c r="E726" s="102">
        <v>0</v>
      </c>
      <c r="F726" s="102">
        <v>0</v>
      </c>
      <c r="G726" s="102">
        <v>0</v>
      </c>
      <c r="H726" s="102">
        <v>0</v>
      </c>
      <c r="I726" s="102">
        <v>0</v>
      </c>
      <c r="J726" s="1305"/>
      <c r="K726" s="1305"/>
    </row>
    <row r="727" spans="1:11" ht="12.75" customHeight="1" outlineLevel="1">
      <c r="A727" s="1305"/>
      <c r="B727" s="1306"/>
      <c r="C727" s="1305"/>
      <c r="D727" s="100">
        <v>2026</v>
      </c>
      <c r="E727" s="102">
        <f t="shared" si="44"/>
        <v>0</v>
      </c>
      <c r="F727" s="102">
        <v>0</v>
      </c>
      <c r="G727" s="102">
        <f t="shared" si="46"/>
        <v>0</v>
      </c>
      <c r="H727" s="102">
        <v>0</v>
      </c>
      <c r="I727" s="102">
        <f t="shared" si="47"/>
        <v>0</v>
      </c>
      <c r="J727" s="1305"/>
      <c r="K727" s="1305"/>
    </row>
    <row r="728" spans="1:11" ht="12.75" customHeight="1" outlineLevel="1">
      <c r="A728" s="1305" t="s">
        <v>514</v>
      </c>
      <c r="B728" s="1306" t="s">
        <v>515</v>
      </c>
      <c r="C728" s="1305">
        <v>2022</v>
      </c>
      <c r="D728" s="100" t="s">
        <v>3</v>
      </c>
      <c r="E728" s="102">
        <f t="shared" si="44"/>
        <v>3320.7358421052631</v>
      </c>
      <c r="F728" s="102">
        <f>SUM(F729:F734)</f>
        <v>3154.6990500000002</v>
      </c>
      <c r="G728" s="102">
        <f>SUM(G729:G734)</f>
        <v>0</v>
      </c>
      <c r="H728" s="102">
        <f>SUM(H729:H734)</f>
        <v>166.03679210526315</v>
      </c>
      <c r="I728" s="102">
        <f>SUM(I729:I734)</f>
        <v>0</v>
      </c>
      <c r="J728" s="1305" t="s">
        <v>516</v>
      </c>
      <c r="K728" s="1305" t="s">
        <v>129</v>
      </c>
    </row>
    <row r="729" spans="1:11" ht="12.75" customHeight="1" outlineLevel="1">
      <c r="A729" s="1305"/>
      <c r="B729" s="1306"/>
      <c r="C729" s="1305"/>
      <c r="D729" s="100">
        <v>2021</v>
      </c>
      <c r="E729" s="102">
        <f t="shared" si="44"/>
        <v>0</v>
      </c>
      <c r="F729" s="102">
        <v>0</v>
      </c>
      <c r="G729" s="102">
        <f>SUM(G730:G735)</f>
        <v>0</v>
      </c>
      <c r="H729" s="102">
        <v>0</v>
      </c>
      <c r="I729" s="102">
        <f>SUM(I730:I735)</f>
        <v>0</v>
      </c>
      <c r="J729" s="1305"/>
      <c r="K729" s="1305"/>
    </row>
    <row r="730" spans="1:11" ht="12.75" customHeight="1" outlineLevel="1">
      <c r="A730" s="1305"/>
      <c r="B730" s="1306"/>
      <c r="C730" s="1305"/>
      <c r="D730" s="100">
        <v>2022</v>
      </c>
      <c r="E730" s="102">
        <f t="shared" si="44"/>
        <v>3320.7358421052631</v>
      </c>
      <c r="F730" s="102">
        <v>3154.6990500000002</v>
      </c>
      <c r="G730" s="102">
        <f>SUM(G731:G736)</f>
        <v>0</v>
      </c>
      <c r="H730" s="102">
        <f>F730/95*5</f>
        <v>166.03679210526315</v>
      </c>
      <c r="I730" s="102">
        <f>SUM(I731:I736)</f>
        <v>0</v>
      </c>
      <c r="J730" s="1305"/>
      <c r="K730" s="1305"/>
    </row>
    <row r="731" spans="1:11" ht="12.75" customHeight="1" outlineLevel="1">
      <c r="A731" s="1305"/>
      <c r="B731" s="1306"/>
      <c r="C731" s="1305"/>
      <c r="D731" s="100">
        <v>2023</v>
      </c>
      <c r="E731" s="102">
        <f t="shared" si="44"/>
        <v>0</v>
      </c>
      <c r="F731" s="102">
        <v>0</v>
      </c>
      <c r="G731" s="102">
        <f>SUM(G732:G737)</f>
        <v>0</v>
      </c>
      <c r="H731" s="102">
        <v>0</v>
      </c>
      <c r="I731" s="102">
        <f>SUM(I732:I737)</f>
        <v>0</v>
      </c>
      <c r="J731" s="1305"/>
      <c r="K731" s="1305"/>
    </row>
    <row r="732" spans="1:11" ht="12.75" customHeight="1" outlineLevel="1">
      <c r="A732" s="1305"/>
      <c r="B732" s="1306"/>
      <c r="C732" s="1305"/>
      <c r="D732" s="100">
        <v>2024</v>
      </c>
      <c r="E732" s="102">
        <f t="shared" si="44"/>
        <v>0</v>
      </c>
      <c r="F732" s="102">
        <v>0</v>
      </c>
      <c r="G732" s="102">
        <f>SUM(G734:G738)</f>
        <v>0</v>
      </c>
      <c r="H732" s="102">
        <v>0</v>
      </c>
      <c r="I732" s="102">
        <f>SUM(I734:I738)</f>
        <v>0</v>
      </c>
      <c r="J732" s="1305"/>
      <c r="K732" s="1305"/>
    </row>
    <row r="733" spans="1:11" ht="12.75" customHeight="1" outlineLevel="1">
      <c r="A733" s="1305"/>
      <c r="B733" s="1306"/>
      <c r="C733" s="1305"/>
      <c r="D733" s="100">
        <v>2025</v>
      </c>
      <c r="E733" s="102">
        <v>0</v>
      </c>
      <c r="F733" s="102">
        <v>0</v>
      </c>
      <c r="G733" s="102">
        <v>0</v>
      </c>
      <c r="H733" s="102">
        <v>0</v>
      </c>
      <c r="I733" s="102">
        <v>0</v>
      </c>
      <c r="J733" s="1305"/>
      <c r="K733" s="1305"/>
    </row>
    <row r="734" spans="1:11" ht="12.75" customHeight="1" outlineLevel="1">
      <c r="A734" s="1305"/>
      <c r="B734" s="1306"/>
      <c r="C734" s="1305"/>
      <c r="D734" s="100">
        <v>2026</v>
      </c>
      <c r="E734" s="102">
        <f t="shared" si="44"/>
        <v>0</v>
      </c>
      <c r="F734" s="102">
        <v>0</v>
      </c>
      <c r="G734" s="102">
        <f t="shared" si="46"/>
        <v>0</v>
      </c>
      <c r="H734" s="102">
        <v>0</v>
      </c>
      <c r="I734" s="102">
        <f t="shared" si="47"/>
        <v>0</v>
      </c>
      <c r="J734" s="1305"/>
      <c r="K734" s="1305"/>
    </row>
    <row r="735" spans="1:11" ht="12.75" customHeight="1" outlineLevel="1">
      <c r="A735" s="1305" t="s">
        <v>517</v>
      </c>
      <c r="B735" s="1306" t="s">
        <v>518</v>
      </c>
      <c r="C735" s="1305">
        <v>2022</v>
      </c>
      <c r="D735" s="100" t="s">
        <v>3</v>
      </c>
      <c r="E735" s="102">
        <f t="shared" si="44"/>
        <v>17129.317905263157</v>
      </c>
      <c r="F735" s="102">
        <f>SUM(F736:F741)</f>
        <v>16272.852010000001</v>
      </c>
      <c r="G735" s="102">
        <f>SUM(G736:G741)</f>
        <v>0</v>
      </c>
      <c r="H735" s="102">
        <f>SUM(H736:H741)</f>
        <v>856.4658952631579</v>
      </c>
      <c r="I735" s="102">
        <f>SUM(I736:I741)</f>
        <v>0</v>
      </c>
      <c r="J735" s="1305" t="s">
        <v>519</v>
      </c>
      <c r="K735" s="1305" t="s">
        <v>129</v>
      </c>
    </row>
    <row r="736" spans="1:11" ht="12.75" customHeight="1" outlineLevel="1">
      <c r="A736" s="1305"/>
      <c r="B736" s="1306"/>
      <c r="C736" s="1305"/>
      <c r="D736" s="100">
        <v>2021</v>
      </c>
      <c r="E736" s="102">
        <f t="shared" si="44"/>
        <v>0</v>
      </c>
      <c r="F736" s="102">
        <v>0</v>
      </c>
      <c r="G736" s="102">
        <f>SUM(G737:G742)</f>
        <v>0</v>
      </c>
      <c r="H736" s="102">
        <v>0</v>
      </c>
      <c r="I736" s="102">
        <f>SUM(I737:I742)</f>
        <v>0</v>
      </c>
      <c r="J736" s="1305"/>
      <c r="K736" s="1305"/>
    </row>
    <row r="737" spans="1:11" ht="12.75" customHeight="1" outlineLevel="1">
      <c r="A737" s="1305"/>
      <c r="B737" s="1306"/>
      <c r="C737" s="1305"/>
      <c r="D737" s="100">
        <v>2022</v>
      </c>
      <c r="E737" s="102">
        <f t="shared" si="44"/>
        <v>17129.317905263157</v>
      </c>
      <c r="F737" s="102">
        <v>16272.852010000001</v>
      </c>
      <c r="G737" s="102">
        <f>SUM(G738:G743)</f>
        <v>0</v>
      </c>
      <c r="H737" s="102">
        <f>F737/95*5</f>
        <v>856.4658952631579</v>
      </c>
      <c r="I737" s="102">
        <f>SUM(I738:I743)</f>
        <v>0</v>
      </c>
      <c r="J737" s="1305"/>
      <c r="K737" s="1305"/>
    </row>
    <row r="738" spans="1:11" ht="12.75" customHeight="1" outlineLevel="1">
      <c r="A738" s="1305"/>
      <c r="B738" s="1306"/>
      <c r="C738" s="1305"/>
      <c r="D738" s="100">
        <v>2023</v>
      </c>
      <c r="E738" s="102">
        <f t="shared" si="44"/>
        <v>0</v>
      </c>
      <c r="F738" s="102">
        <v>0</v>
      </c>
      <c r="G738" s="102">
        <f>SUM(G739:G744)</f>
        <v>0</v>
      </c>
      <c r="H738" s="102">
        <v>0</v>
      </c>
      <c r="I738" s="102">
        <f>SUM(I739:I744)</f>
        <v>0</v>
      </c>
      <c r="J738" s="1305"/>
      <c r="K738" s="1305"/>
    </row>
    <row r="739" spans="1:11" ht="12.75" customHeight="1" outlineLevel="1">
      <c r="A739" s="1305"/>
      <c r="B739" s="1306"/>
      <c r="C739" s="1305"/>
      <c r="D739" s="100">
        <v>2024</v>
      </c>
      <c r="E739" s="102">
        <f t="shared" si="44"/>
        <v>0</v>
      </c>
      <c r="F739" s="102">
        <v>0</v>
      </c>
      <c r="G739" s="102">
        <f>SUM(G741:G745)</f>
        <v>0</v>
      </c>
      <c r="H739" s="102">
        <v>0</v>
      </c>
      <c r="I739" s="102">
        <f>SUM(I741:I745)</f>
        <v>0</v>
      </c>
      <c r="J739" s="1305"/>
      <c r="K739" s="1305"/>
    </row>
    <row r="740" spans="1:11" ht="12.75" customHeight="1" outlineLevel="1">
      <c r="A740" s="1305"/>
      <c r="B740" s="1306"/>
      <c r="C740" s="1305"/>
      <c r="D740" s="100">
        <v>2025</v>
      </c>
      <c r="E740" s="102">
        <v>0</v>
      </c>
      <c r="F740" s="102">
        <v>0</v>
      </c>
      <c r="G740" s="102">
        <v>0</v>
      </c>
      <c r="H740" s="102">
        <v>0</v>
      </c>
      <c r="I740" s="102">
        <v>0</v>
      </c>
      <c r="J740" s="1305"/>
      <c r="K740" s="1305"/>
    </row>
    <row r="741" spans="1:11" ht="12.75" customHeight="1" outlineLevel="1">
      <c r="A741" s="1305"/>
      <c r="B741" s="1306"/>
      <c r="C741" s="1305"/>
      <c r="D741" s="100">
        <v>2026</v>
      </c>
      <c r="E741" s="102">
        <f t="shared" si="44"/>
        <v>0</v>
      </c>
      <c r="F741" s="102">
        <v>0</v>
      </c>
      <c r="G741" s="102">
        <f t="shared" si="46"/>
        <v>0</v>
      </c>
      <c r="H741" s="102">
        <v>0</v>
      </c>
      <c r="I741" s="102">
        <f t="shared" si="47"/>
        <v>0</v>
      </c>
      <c r="J741" s="1305"/>
      <c r="K741" s="1305"/>
    </row>
    <row r="742" spans="1:11" ht="12.75" customHeight="1" outlineLevel="1">
      <c r="A742" s="1305" t="s">
        <v>520</v>
      </c>
      <c r="B742" s="1306" t="s">
        <v>521</v>
      </c>
      <c r="C742" s="1305">
        <v>2022</v>
      </c>
      <c r="D742" s="100" t="s">
        <v>3</v>
      </c>
      <c r="E742" s="102">
        <f t="shared" si="44"/>
        <v>5286.9536799999996</v>
      </c>
      <c r="F742" s="102">
        <f>SUM(F743:F748)</f>
        <v>5022.6066799999999</v>
      </c>
      <c r="G742" s="102">
        <f>SUM(G743:G748)</f>
        <v>0</v>
      </c>
      <c r="H742" s="102">
        <f>SUM(H743:H748)</f>
        <v>264.34699999999998</v>
      </c>
      <c r="I742" s="102">
        <f>SUM(I743:I748)</f>
        <v>0</v>
      </c>
      <c r="J742" s="1305" t="s">
        <v>522</v>
      </c>
      <c r="K742" s="1305" t="s">
        <v>129</v>
      </c>
    </row>
    <row r="743" spans="1:11" ht="12.75" customHeight="1" outlineLevel="1">
      <c r="A743" s="1305"/>
      <c r="B743" s="1306"/>
      <c r="C743" s="1305"/>
      <c r="D743" s="100">
        <v>2021</v>
      </c>
      <c r="E743" s="102">
        <f t="shared" si="44"/>
        <v>0</v>
      </c>
      <c r="F743" s="102">
        <v>0</v>
      </c>
      <c r="G743" s="102">
        <f>SUM(G744:G749)</f>
        <v>0</v>
      </c>
      <c r="H743" s="102">
        <v>0</v>
      </c>
      <c r="I743" s="102">
        <f>SUM(I744:I749)</f>
        <v>0</v>
      </c>
      <c r="J743" s="1305"/>
      <c r="K743" s="1305"/>
    </row>
    <row r="744" spans="1:11" ht="12.75" customHeight="1" outlineLevel="1">
      <c r="A744" s="1305"/>
      <c r="B744" s="1306"/>
      <c r="C744" s="1305"/>
      <c r="D744" s="100">
        <v>2022</v>
      </c>
      <c r="E744" s="102">
        <f t="shared" si="44"/>
        <v>5286.9536799999996</v>
      </c>
      <c r="F744" s="102">
        <v>5022.6066799999999</v>
      </c>
      <c r="G744" s="102">
        <f>SUM(G745:G750)</f>
        <v>0</v>
      </c>
      <c r="H744" s="102">
        <v>264.34699999999998</v>
      </c>
      <c r="I744" s="102">
        <f>SUM(I745:I750)</f>
        <v>0</v>
      </c>
      <c r="J744" s="1305"/>
      <c r="K744" s="1305"/>
    </row>
    <row r="745" spans="1:11" ht="12.75" customHeight="1" outlineLevel="1">
      <c r="A745" s="1305"/>
      <c r="B745" s="1306"/>
      <c r="C745" s="1305"/>
      <c r="D745" s="100">
        <v>2023</v>
      </c>
      <c r="E745" s="102">
        <f t="shared" si="44"/>
        <v>0</v>
      </c>
      <c r="F745" s="102">
        <v>0</v>
      </c>
      <c r="G745" s="102">
        <f>SUM(G746:G751)</f>
        <v>0</v>
      </c>
      <c r="H745" s="102">
        <v>0</v>
      </c>
      <c r="I745" s="102">
        <f>SUM(I746:I751)</f>
        <v>0</v>
      </c>
      <c r="J745" s="1305"/>
      <c r="K745" s="1305"/>
    </row>
    <row r="746" spans="1:11" ht="12.75" customHeight="1" outlineLevel="1">
      <c r="A746" s="1305"/>
      <c r="B746" s="1306"/>
      <c r="C746" s="1305"/>
      <c r="D746" s="100">
        <v>2024</v>
      </c>
      <c r="E746" s="102">
        <f t="shared" si="44"/>
        <v>0</v>
      </c>
      <c r="F746" s="102">
        <v>0</v>
      </c>
      <c r="G746" s="102">
        <f>SUM(G748:G752)</f>
        <v>0</v>
      </c>
      <c r="H746" s="102">
        <v>0</v>
      </c>
      <c r="I746" s="102">
        <f>SUM(I748:I752)</f>
        <v>0</v>
      </c>
      <c r="J746" s="1305"/>
      <c r="K746" s="1305"/>
    </row>
    <row r="747" spans="1:11" ht="12.75" customHeight="1" outlineLevel="1">
      <c r="A747" s="1305"/>
      <c r="B747" s="1306"/>
      <c r="C747" s="1305"/>
      <c r="D747" s="100">
        <v>2025</v>
      </c>
      <c r="E747" s="102">
        <v>0</v>
      </c>
      <c r="F747" s="102">
        <v>0</v>
      </c>
      <c r="G747" s="102">
        <v>0</v>
      </c>
      <c r="H747" s="102">
        <v>0</v>
      </c>
      <c r="I747" s="102">
        <v>0</v>
      </c>
      <c r="J747" s="1305"/>
      <c r="K747" s="1305"/>
    </row>
    <row r="748" spans="1:11" ht="12.75" customHeight="1" outlineLevel="1">
      <c r="A748" s="1305"/>
      <c r="B748" s="1306"/>
      <c r="C748" s="1305"/>
      <c r="D748" s="100">
        <v>2026</v>
      </c>
      <c r="E748" s="102">
        <f t="shared" ref="E748:F835" si="48">SUM(F748:I748)</f>
        <v>0</v>
      </c>
      <c r="F748" s="102">
        <v>0</v>
      </c>
      <c r="G748" s="102">
        <f t="shared" si="46"/>
        <v>0</v>
      </c>
      <c r="H748" s="102">
        <v>0</v>
      </c>
      <c r="I748" s="102">
        <f t="shared" si="47"/>
        <v>0</v>
      </c>
      <c r="J748" s="1305"/>
      <c r="K748" s="1305"/>
    </row>
    <row r="749" spans="1:11" ht="12.75" customHeight="1" outlineLevel="1">
      <c r="A749" s="1305" t="s">
        <v>523</v>
      </c>
      <c r="B749" s="1306" t="s">
        <v>524</v>
      </c>
      <c r="C749" s="1305">
        <v>2022</v>
      </c>
      <c r="D749" s="100" t="s">
        <v>3</v>
      </c>
      <c r="E749" s="102">
        <f t="shared" si="48"/>
        <v>2973.9789052631577</v>
      </c>
      <c r="F749" s="102">
        <f>SUM(F750:F755)</f>
        <v>2825.2799599999998</v>
      </c>
      <c r="G749" s="102">
        <f>SUM(G750:G755)</f>
        <v>0</v>
      </c>
      <c r="H749" s="102">
        <f>SUM(H750:H755)</f>
        <v>148.69894526315787</v>
      </c>
      <c r="I749" s="102">
        <f>SUM(I750:I755)</f>
        <v>0</v>
      </c>
      <c r="J749" s="1305" t="s">
        <v>525</v>
      </c>
      <c r="K749" s="1305" t="s">
        <v>129</v>
      </c>
    </row>
    <row r="750" spans="1:11" ht="12.75" customHeight="1" outlineLevel="1">
      <c r="A750" s="1305"/>
      <c r="B750" s="1306"/>
      <c r="C750" s="1305"/>
      <c r="D750" s="100">
        <v>2021</v>
      </c>
      <c r="E750" s="102">
        <f t="shared" si="48"/>
        <v>0</v>
      </c>
      <c r="F750" s="102">
        <v>0</v>
      </c>
      <c r="G750" s="102">
        <f>SUM(G751:G756)</f>
        <v>0</v>
      </c>
      <c r="H750" s="102">
        <v>0</v>
      </c>
      <c r="I750" s="102">
        <v>0</v>
      </c>
      <c r="J750" s="1305"/>
      <c r="K750" s="1305"/>
    </row>
    <row r="751" spans="1:11" ht="12.75" customHeight="1" outlineLevel="1">
      <c r="A751" s="1305"/>
      <c r="B751" s="1306"/>
      <c r="C751" s="1305"/>
      <c r="D751" s="100">
        <v>2022</v>
      </c>
      <c r="E751" s="102">
        <f t="shared" si="48"/>
        <v>2973.9789052631577</v>
      </c>
      <c r="F751" s="102">
        <v>2825.2799599999998</v>
      </c>
      <c r="G751" s="102">
        <f>SUM(G752:G757)</f>
        <v>0</v>
      </c>
      <c r="H751" s="102">
        <f>F751/95*5</f>
        <v>148.69894526315787</v>
      </c>
      <c r="I751" s="102">
        <v>0</v>
      </c>
      <c r="J751" s="1305"/>
      <c r="K751" s="1305"/>
    </row>
    <row r="752" spans="1:11" ht="12.75" customHeight="1" outlineLevel="1">
      <c r="A752" s="1305"/>
      <c r="B752" s="1306"/>
      <c r="C752" s="1305"/>
      <c r="D752" s="100">
        <v>2023</v>
      </c>
      <c r="E752" s="102">
        <f t="shared" si="48"/>
        <v>0</v>
      </c>
      <c r="F752" s="102">
        <v>0</v>
      </c>
      <c r="G752" s="102">
        <v>0</v>
      </c>
      <c r="H752" s="102">
        <v>0</v>
      </c>
      <c r="I752" s="102">
        <v>0</v>
      </c>
      <c r="J752" s="1305"/>
      <c r="K752" s="1305"/>
    </row>
    <row r="753" spans="1:11" ht="12.75" customHeight="1" outlineLevel="1">
      <c r="A753" s="1305"/>
      <c r="B753" s="1306"/>
      <c r="C753" s="1305"/>
      <c r="D753" s="100">
        <v>2024</v>
      </c>
      <c r="E753" s="102">
        <f t="shared" si="48"/>
        <v>0</v>
      </c>
      <c r="F753" s="102">
        <v>0</v>
      </c>
      <c r="G753" s="102">
        <v>0</v>
      </c>
      <c r="H753" s="102">
        <v>0</v>
      </c>
      <c r="I753" s="102">
        <v>0</v>
      </c>
      <c r="J753" s="1305"/>
      <c r="K753" s="1305"/>
    </row>
    <row r="754" spans="1:11" ht="12.75" customHeight="1" outlineLevel="1">
      <c r="A754" s="1305"/>
      <c r="B754" s="1306"/>
      <c r="C754" s="1305"/>
      <c r="D754" s="100">
        <v>2025</v>
      </c>
      <c r="E754" s="102">
        <v>0</v>
      </c>
      <c r="F754" s="102">
        <v>0</v>
      </c>
      <c r="G754" s="102">
        <v>0</v>
      </c>
      <c r="H754" s="102">
        <v>0</v>
      </c>
      <c r="I754" s="102">
        <v>0</v>
      </c>
      <c r="J754" s="1305"/>
      <c r="K754" s="1305"/>
    </row>
    <row r="755" spans="1:11" ht="12.75" customHeight="1" outlineLevel="1">
      <c r="A755" s="1305"/>
      <c r="B755" s="1306"/>
      <c r="C755" s="1305"/>
      <c r="D755" s="100">
        <v>2026</v>
      </c>
      <c r="E755" s="102">
        <f t="shared" si="48"/>
        <v>0</v>
      </c>
      <c r="F755" s="102">
        <v>0</v>
      </c>
      <c r="G755" s="102">
        <v>0</v>
      </c>
      <c r="H755" s="102">
        <v>0</v>
      </c>
      <c r="I755" s="102">
        <v>0</v>
      </c>
      <c r="J755" s="1305"/>
      <c r="K755" s="1305"/>
    </row>
    <row r="756" spans="1:11" ht="12.75" customHeight="1" outlineLevel="1">
      <c r="A756" s="1305" t="s">
        <v>54</v>
      </c>
      <c r="B756" s="1306" t="s">
        <v>125</v>
      </c>
      <c r="C756" s="1305" t="s">
        <v>368</v>
      </c>
      <c r="D756" s="100" t="s">
        <v>3</v>
      </c>
      <c r="E756" s="102">
        <f t="shared" si="48"/>
        <v>26151.575000000001</v>
      </c>
      <c r="F756" s="102">
        <f>SUM(F757:F762)</f>
        <v>24843.99625</v>
      </c>
      <c r="G756" s="102">
        <f>SUM(G757:G762)</f>
        <v>0</v>
      </c>
      <c r="H756" s="102">
        <f>SUM(H757:H762)</f>
        <v>1307.5787500000001</v>
      </c>
      <c r="I756" s="102">
        <f>SUM(I757:I762)</f>
        <v>0</v>
      </c>
      <c r="J756" s="1305" t="s">
        <v>141</v>
      </c>
      <c r="K756" s="1305" t="s">
        <v>129</v>
      </c>
    </row>
    <row r="757" spans="1:11" ht="12.75" customHeight="1" outlineLevel="1">
      <c r="A757" s="1305"/>
      <c r="B757" s="1306"/>
      <c r="C757" s="1305"/>
      <c r="D757" s="100">
        <v>2021</v>
      </c>
      <c r="E757" s="102">
        <f t="shared" si="48"/>
        <v>0</v>
      </c>
      <c r="F757" s="102">
        <v>0</v>
      </c>
      <c r="G757" s="102">
        <v>0</v>
      </c>
      <c r="H757" s="102">
        <v>0</v>
      </c>
      <c r="I757" s="102">
        <f>SUM(I758:I762)</f>
        <v>0</v>
      </c>
      <c r="J757" s="1305"/>
      <c r="K757" s="1305"/>
    </row>
    <row r="758" spans="1:11" ht="12.75" customHeight="1" outlineLevel="1">
      <c r="A758" s="1305"/>
      <c r="B758" s="1306"/>
      <c r="C758" s="1305"/>
      <c r="D758" s="100">
        <v>2022</v>
      </c>
      <c r="E758" s="102">
        <f t="shared" si="48"/>
        <v>16151.575000000001</v>
      </c>
      <c r="F758" s="102">
        <v>15343.99625</v>
      </c>
      <c r="G758" s="102">
        <v>0</v>
      </c>
      <c r="H758" s="102">
        <f>F758*5/95</f>
        <v>807.57875000000001</v>
      </c>
      <c r="I758" s="102">
        <f>SUM(I759:I762)</f>
        <v>0</v>
      </c>
      <c r="J758" s="1305"/>
      <c r="K758" s="1305"/>
    </row>
    <row r="759" spans="1:11" ht="12.75" customHeight="1" outlineLevel="1">
      <c r="A759" s="1305"/>
      <c r="B759" s="1306"/>
      <c r="C759" s="1305"/>
      <c r="D759" s="100">
        <v>2023</v>
      </c>
      <c r="E759" s="102">
        <f t="shared" si="48"/>
        <v>10000</v>
      </c>
      <c r="F759" s="102">
        <v>9500</v>
      </c>
      <c r="G759" s="102">
        <v>0</v>
      </c>
      <c r="H759" s="102">
        <v>500</v>
      </c>
      <c r="I759" s="102">
        <f>SUM(I760:I762)</f>
        <v>0</v>
      </c>
      <c r="J759" s="1305"/>
      <c r="K759" s="1305"/>
    </row>
    <row r="760" spans="1:11" ht="12.75" customHeight="1" outlineLevel="1">
      <c r="A760" s="1305"/>
      <c r="B760" s="1306"/>
      <c r="C760" s="1305"/>
      <c r="D760" s="100">
        <v>2024</v>
      </c>
      <c r="E760" s="102">
        <f t="shared" si="48"/>
        <v>0</v>
      </c>
      <c r="F760" s="102">
        <v>0</v>
      </c>
      <c r="G760" s="102">
        <v>0</v>
      </c>
      <c r="H760" s="102">
        <v>0</v>
      </c>
      <c r="I760" s="102">
        <v>0</v>
      </c>
      <c r="J760" s="1305"/>
      <c r="K760" s="1305"/>
    </row>
    <row r="761" spans="1:11" ht="12.75" customHeight="1" outlineLevel="1">
      <c r="A761" s="1305"/>
      <c r="B761" s="1306"/>
      <c r="C761" s="1305"/>
      <c r="D761" s="100">
        <v>2025</v>
      </c>
      <c r="E761" s="102">
        <v>0</v>
      </c>
      <c r="F761" s="102">
        <v>0</v>
      </c>
      <c r="G761" s="102">
        <v>0</v>
      </c>
      <c r="H761" s="102">
        <v>0</v>
      </c>
      <c r="I761" s="102">
        <v>0</v>
      </c>
      <c r="J761" s="1305"/>
      <c r="K761" s="1305"/>
    </row>
    <row r="762" spans="1:11" ht="12.75" customHeight="1" outlineLevel="1">
      <c r="A762" s="1305"/>
      <c r="B762" s="1306"/>
      <c r="C762" s="1305"/>
      <c r="D762" s="100">
        <v>2026</v>
      </c>
      <c r="E762" s="102">
        <f t="shared" si="48"/>
        <v>0</v>
      </c>
      <c r="F762" s="102">
        <v>0</v>
      </c>
      <c r="G762" s="102">
        <v>0</v>
      </c>
      <c r="H762" s="102">
        <v>0</v>
      </c>
      <c r="I762" s="102">
        <v>0</v>
      </c>
      <c r="J762" s="1305"/>
      <c r="K762" s="1305"/>
    </row>
    <row r="763" spans="1:11" ht="12.75" customHeight="1" outlineLevel="1">
      <c r="A763" s="1305" t="s">
        <v>526</v>
      </c>
      <c r="B763" s="1306" t="s">
        <v>527</v>
      </c>
      <c r="C763" s="1305" t="s">
        <v>368</v>
      </c>
      <c r="D763" s="100" t="s">
        <v>3</v>
      </c>
      <c r="E763" s="102">
        <f t="shared" si="48"/>
        <v>11451.6183</v>
      </c>
      <c r="F763" s="102">
        <f>SUM(F764:F769)</f>
        <v>11451.6183</v>
      </c>
      <c r="G763" s="102">
        <f>SUM(G764:G769)</f>
        <v>0</v>
      </c>
      <c r="H763" s="102">
        <f>SUM(H764:H769)</f>
        <v>0</v>
      </c>
      <c r="I763" s="102">
        <f>SUM(I764:I769)</f>
        <v>0</v>
      </c>
      <c r="J763" s="1307" t="s">
        <v>528</v>
      </c>
      <c r="K763" s="1307" t="s">
        <v>529</v>
      </c>
    </row>
    <row r="764" spans="1:11" ht="12.75" customHeight="1" outlineLevel="1">
      <c r="A764" s="1305"/>
      <c r="B764" s="1306"/>
      <c r="C764" s="1305"/>
      <c r="D764" s="100">
        <v>2021</v>
      </c>
      <c r="E764" s="102">
        <f t="shared" si="48"/>
        <v>0</v>
      </c>
      <c r="F764" s="102">
        <v>0</v>
      </c>
      <c r="G764" s="102">
        <v>0</v>
      </c>
      <c r="H764" s="102">
        <v>0</v>
      </c>
      <c r="I764" s="102">
        <v>0</v>
      </c>
      <c r="J764" s="1307"/>
      <c r="K764" s="1307"/>
    </row>
    <row r="765" spans="1:11" ht="12.75" customHeight="1" outlineLevel="1">
      <c r="A765" s="1305"/>
      <c r="B765" s="1306"/>
      <c r="C765" s="1305"/>
      <c r="D765" s="100">
        <v>2022</v>
      </c>
      <c r="E765" s="102">
        <f t="shared" si="48"/>
        <v>11287.552299999999</v>
      </c>
      <c r="F765" s="102">
        <v>11287.552299999999</v>
      </c>
      <c r="G765" s="102">
        <v>0</v>
      </c>
      <c r="H765" s="102">
        <v>0</v>
      </c>
      <c r="I765" s="102">
        <v>0</v>
      </c>
      <c r="J765" s="1307"/>
      <c r="K765" s="1307"/>
    </row>
    <row r="766" spans="1:11" ht="12.75" customHeight="1" outlineLevel="1">
      <c r="A766" s="1305"/>
      <c r="B766" s="1306"/>
      <c r="C766" s="1305"/>
      <c r="D766" s="100">
        <v>2023</v>
      </c>
      <c r="E766" s="102">
        <f t="shared" si="48"/>
        <v>164.066</v>
      </c>
      <c r="F766" s="102">
        <v>164.066</v>
      </c>
      <c r="G766" s="102">
        <v>0</v>
      </c>
      <c r="H766" s="102">
        <v>0</v>
      </c>
      <c r="I766" s="102">
        <v>0</v>
      </c>
      <c r="J766" s="1307"/>
      <c r="K766" s="1307"/>
    </row>
    <row r="767" spans="1:11" ht="12.75" customHeight="1" outlineLevel="1">
      <c r="A767" s="1305"/>
      <c r="B767" s="1306"/>
      <c r="C767" s="1305"/>
      <c r="D767" s="100">
        <v>2024</v>
      </c>
      <c r="E767" s="102">
        <f t="shared" si="48"/>
        <v>0</v>
      </c>
      <c r="F767" s="102">
        <v>0</v>
      </c>
      <c r="G767" s="102">
        <v>0</v>
      </c>
      <c r="H767" s="102">
        <v>0</v>
      </c>
      <c r="I767" s="102">
        <v>0</v>
      </c>
      <c r="J767" s="1307"/>
      <c r="K767" s="1307"/>
    </row>
    <row r="768" spans="1:11" ht="12.75" customHeight="1" outlineLevel="1">
      <c r="A768" s="1305"/>
      <c r="B768" s="1306"/>
      <c r="C768" s="1305"/>
      <c r="D768" s="100">
        <v>2025</v>
      </c>
      <c r="E768" s="102">
        <v>0</v>
      </c>
      <c r="F768" s="102">
        <v>0</v>
      </c>
      <c r="G768" s="102">
        <v>0</v>
      </c>
      <c r="H768" s="102">
        <v>0</v>
      </c>
      <c r="I768" s="102">
        <v>0</v>
      </c>
      <c r="J768" s="1307"/>
      <c r="K768" s="1307"/>
    </row>
    <row r="769" spans="1:11" ht="12.75" customHeight="1" outlineLevel="1">
      <c r="A769" s="1305"/>
      <c r="B769" s="1306"/>
      <c r="C769" s="1305"/>
      <c r="D769" s="100">
        <v>2026</v>
      </c>
      <c r="E769" s="102">
        <f t="shared" si="48"/>
        <v>0</v>
      </c>
      <c r="F769" s="102">
        <v>0</v>
      </c>
      <c r="G769" s="102">
        <v>0</v>
      </c>
      <c r="H769" s="102">
        <v>0</v>
      </c>
      <c r="I769" s="102">
        <v>0</v>
      </c>
      <c r="J769" s="1307"/>
      <c r="K769" s="1307"/>
    </row>
    <row r="770" spans="1:11" ht="12.75" customHeight="1" outlineLevel="1">
      <c r="A770" s="1305" t="s">
        <v>530</v>
      </c>
      <c r="B770" s="1306" t="s">
        <v>531</v>
      </c>
      <c r="C770" s="1305">
        <v>2022</v>
      </c>
      <c r="D770" s="100" t="s">
        <v>3</v>
      </c>
      <c r="E770" s="102">
        <f t="shared" si="48"/>
        <v>2900</v>
      </c>
      <c r="F770" s="102">
        <f>SUM(F771:F776)</f>
        <v>2900</v>
      </c>
      <c r="G770" s="102">
        <f>SUM(G771:G776)</f>
        <v>0</v>
      </c>
      <c r="H770" s="102">
        <f>SUM(H771:H776)</f>
        <v>0</v>
      </c>
      <c r="I770" s="102">
        <f>SUM(I771:I776)</f>
        <v>0</v>
      </c>
      <c r="J770" s="1305" t="s">
        <v>532</v>
      </c>
      <c r="K770" s="1305" t="s">
        <v>140</v>
      </c>
    </row>
    <row r="771" spans="1:11" ht="12.75" customHeight="1" outlineLevel="1">
      <c r="A771" s="1305"/>
      <c r="B771" s="1306"/>
      <c r="C771" s="1305"/>
      <c r="D771" s="100">
        <v>2021</v>
      </c>
      <c r="E771" s="102">
        <f t="shared" si="48"/>
        <v>0</v>
      </c>
      <c r="F771" s="102">
        <v>0</v>
      </c>
      <c r="G771" s="102">
        <v>0</v>
      </c>
      <c r="H771" s="102">
        <v>0</v>
      </c>
      <c r="I771" s="102">
        <v>0</v>
      </c>
      <c r="J771" s="1305"/>
      <c r="K771" s="1305"/>
    </row>
    <row r="772" spans="1:11" ht="12.75" customHeight="1" outlineLevel="1">
      <c r="A772" s="1305"/>
      <c r="B772" s="1306"/>
      <c r="C772" s="1305"/>
      <c r="D772" s="100">
        <v>2022</v>
      </c>
      <c r="E772" s="102">
        <f t="shared" si="48"/>
        <v>2900</v>
      </c>
      <c r="F772" s="102">
        <v>2900</v>
      </c>
      <c r="G772" s="102">
        <v>0</v>
      </c>
      <c r="H772" s="102">
        <v>0</v>
      </c>
      <c r="I772" s="102">
        <v>0</v>
      </c>
      <c r="J772" s="1305"/>
      <c r="K772" s="1305"/>
    </row>
    <row r="773" spans="1:11" ht="12.75" customHeight="1" outlineLevel="1">
      <c r="A773" s="1305"/>
      <c r="B773" s="1306"/>
      <c r="C773" s="1305"/>
      <c r="D773" s="100">
        <v>2023</v>
      </c>
      <c r="E773" s="102">
        <f t="shared" si="48"/>
        <v>0</v>
      </c>
      <c r="F773" s="102">
        <v>0</v>
      </c>
      <c r="G773" s="102">
        <v>0</v>
      </c>
      <c r="H773" s="102">
        <v>0</v>
      </c>
      <c r="I773" s="102">
        <v>0</v>
      </c>
      <c r="J773" s="1305"/>
      <c r="K773" s="1305"/>
    </row>
    <row r="774" spans="1:11" ht="12.75" customHeight="1" outlineLevel="1">
      <c r="A774" s="1305"/>
      <c r="B774" s="1306"/>
      <c r="C774" s="1305"/>
      <c r="D774" s="100">
        <v>2024</v>
      </c>
      <c r="E774" s="102">
        <f t="shared" si="48"/>
        <v>0</v>
      </c>
      <c r="F774" s="102">
        <v>0</v>
      </c>
      <c r="G774" s="102">
        <v>0</v>
      </c>
      <c r="H774" s="102">
        <v>0</v>
      </c>
      <c r="I774" s="102">
        <v>0</v>
      </c>
      <c r="J774" s="1305"/>
      <c r="K774" s="1305"/>
    </row>
    <row r="775" spans="1:11" ht="12.75" customHeight="1" outlineLevel="1">
      <c r="A775" s="1305"/>
      <c r="B775" s="1306"/>
      <c r="C775" s="1305"/>
      <c r="D775" s="100">
        <v>2025</v>
      </c>
      <c r="E775" s="102">
        <v>0</v>
      </c>
      <c r="F775" s="102">
        <v>0</v>
      </c>
      <c r="G775" s="102">
        <v>0</v>
      </c>
      <c r="H775" s="102">
        <v>0</v>
      </c>
      <c r="I775" s="102">
        <v>0</v>
      </c>
      <c r="J775" s="1305"/>
      <c r="K775" s="1305"/>
    </row>
    <row r="776" spans="1:11" ht="12.75" customHeight="1" outlineLevel="1">
      <c r="A776" s="1305"/>
      <c r="B776" s="1306"/>
      <c r="C776" s="1305"/>
      <c r="D776" s="100">
        <v>2026</v>
      </c>
      <c r="E776" s="102">
        <f t="shared" si="48"/>
        <v>0</v>
      </c>
      <c r="F776" s="102">
        <v>0</v>
      </c>
      <c r="G776" s="102">
        <v>0</v>
      </c>
      <c r="H776" s="102">
        <v>0</v>
      </c>
      <c r="I776" s="102">
        <v>0</v>
      </c>
      <c r="J776" s="1305"/>
      <c r="K776" s="1305"/>
    </row>
    <row r="777" spans="1:11" ht="12.75" customHeight="1" outlineLevel="1">
      <c r="A777" s="1305" t="s">
        <v>533</v>
      </c>
      <c r="B777" s="1306" t="s">
        <v>534</v>
      </c>
      <c r="C777" s="1305">
        <v>2022</v>
      </c>
      <c r="D777" s="100" t="s">
        <v>3</v>
      </c>
      <c r="E777" s="102">
        <f t="shared" si="48"/>
        <v>0</v>
      </c>
      <c r="F777" s="102">
        <f>SUM(F778:F783)</f>
        <v>0</v>
      </c>
      <c r="G777" s="102">
        <f>SUM(G778:G783)</f>
        <v>0</v>
      </c>
      <c r="H777" s="102">
        <f>SUM(H778:H783)</f>
        <v>0</v>
      </c>
      <c r="I777" s="102">
        <f>SUM(I778:I783)</f>
        <v>0</v>
      </c>
      <c r="J777" s="1305" t="s">
        <v>535</v>
      </c>
      <c r="K777" s="1305" t="s">
        <v>140</v>
      </c>
    </row>
    <row r="778" spans="1:11" ht="12.75" customHeight="1" outlineLevel="1">
      <c r="A778" s="1305"/>
      <c r="B778" s="1306"/>
      <c r="C778" s="1305"/>
      <c r="D778" s="100">
        <v>2021</v>
      </c>
      <c r="E778" s="102">
        <f t="shared" si="48"/>
        <v>0</v>
      </c>
      <c r="F778" s="102">
        <v>0</v>
      </c>
      <c r="G778" s="102">
        <v>0</v>
      </c>
      <c r="H778" s="102">
        <v>0</v>
      </c>
      <c r="I778" s="102">
        <v>0</v>
      </c>
      <c r="J778" s="1305"/>
      <c r="K778" s="1305"/>
    </row>
    <row r="779" spans="1:11" ht="12.75" customHeight="1" outlineLevel="1">
      <c r="A779" s="1305"/>
      <c r="B779" s="1306"/>
      <c r="C779" s="1305"/>
      <c r="D779" s="100">
        <v>2022</v>
      </c>
      <c r="E779" s="102">
        <f t="shared" si="48"/>
        <v>0</v>
      </c>
      <c r="F779" s="102">
        <v>0</v>
      </c>
      <c r="G779" s="102">
        <v>0</v>
      </c>
      <c r="H779" s="102">
        <v>0</v>
      </c>
      <c r="I779" s="102">
        <v>0</v>
      </c>
      <c r="J779" s="1305"/>
      <c r="K779" s="1305"/>
    </row>
    <row r="780" spans="1:11" ht="12.75" customHeight="1" outlineLevel="1">
      <c r="A780" s="1305"/>
      <c r="B780" s="1306"/>
      <c r="C780" s="1305"/>
      <c r="D780" s="100">
        <v>2023</v>
      </c>
      <c r="E780" s="102">
        <f t="shared" si="48"/>
        <v>0</v>
      </c>
      <c r="F780" s="102">
        <v>0</v>
      </c>
      <c r="G780" s="102">
        <v>0</v>
      </c>
      <c r="H780" s="102">
        <v>0</v>
      </c>
      <c r="I780" s="102">
        <v>0</v>
      </c>
      <c r="J780" s="1305"/>
      <c r="K780" s="1305"/>
    </row>
    <row r="781" spans="1:11" ht="12.75" customHeight="1" outlineLevel="1">
      <c r="A781" s="1305"/>
      <c r="B781" s="1306"/>
      <c r="C781" s="1305"/>
      <c r="D781" s="100">
        <v>2024</v>
      </c>
      <c r="E781" s="102">
        <f t="shared" si="48"/>
        <v>0</v>
      </c>
      <c r="F781" s="102">
        <v>0</v>
      </c>
      <c r="G781" s="102">
        <v>0</v>
      </c>
      <c r="H781" s="102">
        <v>0</v>
      </c>
      <c r="I781" s="102">
        <v>0</v>
      </c>
      <c r="J781" s="1305"/>
      <c r="K781" s="1305"/>
    </row>
    <row r="782" spans="1:11" ht="12.75" customHeight="1" outlineLevel="1">
      <c r="A782" s="1305"/>
      <c r="B782" s="1306"/>
      <c r="C782" s="1305"/>
      <c r="D782" s="100">
        <v>2025</v>
      </c>
      <c r="E782" s="102">
        <v>0</v>
      </c>
      <c r="F782" s="102">
        <v>0</v>
      </c>
      <c r="G782" s="102">
        <v>0</v>
      </c>
      <c r="H782" s="102">
        <v>0</v>
      </c>
      <c r="I782" s="102">
        <v>0</v>
      </c>
      <c r="J782" s="1305"/>
      <c r="K782" s="1305"/>
    </row>
    <row r="783" spans="1:11" ht="12.75" customHeight="1" outlineLevel="1">
      <c r="A783" s="1305"/>
      <c r="B783" s="1306"/>
      <c r="C783" s="1305"/>
      <c r="D783" s="100">
        <v>2026</v>
      </c>
      <c r="E783" s="102">
        <f t="shared" si="48"/>
        <v>0</v>
      </c>
      <c r="F783" s="102">
        <v>0</v>
      </c>
      <c r="G783" s="102">
        <v>0</v>
      </c>
      <c r="H783" s="102">
        <v>0</v>
      </c>
      <c r="I783" s="102">
        <v>0</v>
      </c>
      <c r="J783" s="1305"/>
      <c r="K783" s="1305"/>
    </row>
    <row r="784" spans="1:11" ht="15.75" customHeight="1" outlineLevel="1">
      <c r="A784" s="1305" t="s">
        <v>536</v>
      </c>
      <c r="B784" s="1306" t="s">
        <v>537</v>
      </c>
      <c r="C784" s="1305">
        <v>2022</v>
      </c>
      <c r="D784" s="100" t="s">
        <v>3</v>
      </c>
      <c r="E784" s="102">
        <f t="shared" si="48"/>
        <v>964.12733015494632</v>
      </c>
      <c r="F784" s="102">
        <f>SUM(F785:F790)</f>
        <v>808.90282999999999</v>
      </c>
      <c r="G784" s="102">
        <f t="shared" ref="G784:I784" si="49">SUM(G785:G790)</f>
        <v>0</v>
      </c>
      <c r="H784" s="102">
        <f t="shared" si="49"/>
        <v>155.22450015494636</v>
      </c>
      <c r="I784" s="102">
        <f t="shared" si="49"/>
        <v>0</v>
      </c>
      <c r="J784" s="1305" t="s">
        <v>538</v>
      </c>
      <c r="K784" s="1305" t="s">
        <v>139</v>
      </c>
    </row>
    <row r="785" spans="1:11" ht="15.75" customHeight="1" outlineLevel="1">
      <c r="A785" s="1305"/>
      <c r="B785" s="1306"/>
      <c r="C785" s="1305"/>
      <c r="D785" s="100">
        <v>2021</v>
      </c>
      <c r="E785" s="102">
        <f t="shared" si="48"/>
        <v>0</v>
      </c>
      <c r="F785" s="102">
        <v>0</v>
      </c>
      <c r="G785" s="102">
        <v>0</v>
      </c>
      <c r="H785" s="102">
        <v>0</v>
      </c>
      <c r="I785" s="102">
        <v>0</v>
      </c>
      <c r="J785" s="1305"/>
      <c r="K785" s="1305"/>
    </row>
    <row r="786" spans="1:11" ht="19.5" customHeight="1" outlineLevel="1">
      <c r="A786" s="1305"/>
      <c r="B786" s="1306"/>
      <c r="C786" s="1305"/>
      <c r="D786" s="100">
        <v>2022</v>
      </c>
      <c r="E786" s="102">
        <f t="shared" si="48"/>
        <v>964.12733015494632</v>
      </c>
      <c r="F786" s="102">
        <f>808.944-0.04117</f>
        <v>808.90282999999999</v>
      </c>
      <c r="G786" s="102">
        <v>0</v>
      </c>
      <c r="H786" s="102">
        <f>F786*16.1/83.9</f>
        <v>155.22450015494636</v>
      </c>
      <c r="I786" s="102">
        <v>0</v>
      </c>
      <c r="J786" s="1305"/>
      <c r="K786" s="1305"/>
    </row>
    <row r="787" spans="1:11" ht="18" customHeight="1" outlineLevel="1">
      <c r="A787" s="1305"/>
      <c r="B787" s="1306"/>
      <c r="C787" s="1305"/>
      <c r="D787" s="100">
        <v>2023</v>
      </c>
      <c r="E787" s="102">
        <f t="shared" si="48"/>
        <v>0</v>
      </c>
      <c r="F787" s="102">
        <v>0</v>
      </c>
      <c r="G787" s="102">
        <v>0</v>
      </c>
      <c r="H787" s="102">
        <v>0</v>
      </c>
      <c r="I787" s="102">
        <v>0</v>
      </c>
      <c r="J787" s="1305"/>
      <c r="K787" s="1305"/>
    </row>
    <row r="788" spans="1:11" ht="16.5" customHeight="1" outlineLevel="1">
      <c r="A788" s="1305"/>
      <c r="B788" s="1306"/>
      <c r="C788" s="1305"/>
      <c r="D788" s="100">
        <v>2024</v>
      </c>
      <c r="E788" s="102">
        <f t="shared" si="48"/>
        <v>0</v>
      </c>
      <c r="F788" s="102">
        <v>0</v>
      </c>
      <c r="G788" s="102">
        <v>0</v>
      </c>
      <c r="H788" s="102">
        <v>0</v>
      </c>
      <c r="I788" s="102">
        <v>0</v>
      </c>
      <c r="J788" s="1305"/>
      <c r="K788" s="1305"/>
    </row>
    <row r="789" spans="1:11" ht="16.5" customHeight="1" outlineLevel="1">
      <c r="A789" s="1305"/>
      <c r="B789" s="1306"/>
      <c r="C789" s="1305"/>
      <c r="D789" s="100">
        <v>2025</v>
      </c>
      <c r="E789" s="102">
        <v>0</v>
      </c>
      <c r="F789" s="102">
        <v>0</v>
      </c>
      <c r="G789" s="102">
        <v>0</v>
      </c>
      <c r="H789" s="102">
        <v>0</v>
      </c>
      <c r="I789" s="102">
        <v>0</v>
      </c>
      <c r="J789" s="1305"/>
      <c r="K789" s="1305"/>
    </row>
    <row r="790" spans="1:11" ht="16.5" customHeight="1" outlineLevel="1">
      <c r="A790" s="1305"/>
      <c r="B790" s="1306"/>
      <c r="C790" s="1305"/>
      <c r="D790" s="100">
        <v>2026</v>
      </c>
      <c r="E790" s="102">
        <f t="shared" si="48"/>
        <v>0</v>
      </c>
      <c r="F790" s="102">
        <v>0</v>
      </c>
      <c r="G790" s="102">
        <v>0</v>
      </c>
      <c r="H790" s="102">
        <v>0</v>
      </c>
      <c r="I790" s="102">
        <v>0</v>
      </c>
      <c r="J790" s="1305"/>
      <c r="K790" s="1305"/>
    </row>
    <row r="791" spans="1:11" ht="11.25" customHeight="1" outlineLevel="1">
      <c r="A791" s="1305" t="s">
        <v>539</v>
      </c>
      <c r="B791" s="1306" t="s">
        <v>540</v>
      </c>
      <c r="C791" s="1305">
        <v>2022</v>
      </c>
      <c r="D791" s="100" t="s">
        <v>3</v>
      </c>
      <c r="E791" s="102">
        <f t="shared" si="48"/>
        <v>5088.3444576877237</v>
      </c>
      <c r="F791" s="102">
        <f>SUM(F792:F797)</f>
        <v>4269.1210000000001</v>
      </c>
      <c r="G791" s="102">
        <f t="shared" ref="G791:I791" si="50">SUM(G792:G797)</f>
        <v>0</v>
      </c>
      <c r="H791" s="102">
        <f t="shared" si="50"/>
        <v>819.22345768772345</v>
      </c>
      <c r="I791" s="102">
        <f t="shared" si="50"/>
        <v>0</v>
      </c>
      <c r="J791" s="1295" t="s">
        <v>541</v>
      </c>
      <c r="K791" s="1305" t="s">
        <v>139</v>
      </c>
    </row>
    <row r="792" spans="1:11" ht="11.25" customHeight="1" outlineLevel="1">
      <c r="A792" s="1305"/>
      <c r="B792" s="1306"/>
      <c r="C792" s="1305"/>
      <c r="D792" s="100">
        <v>2021</v>
      </c>
      <c r="E792" s="102">
        <f t="shared" si="48"/>
        <v>0</v>
      </c>
      <c r="F792" s="102">
        <v>0</v>
      </c>
      <c r="G792" s="102">
        <v>0</v>
      </c>
      <c r="H792" s="102">
        <v>0</v>
      </c>
      <c r="I792" s="102">
        <v>0</v>
      </c>
      <c r="J792" s="1296"/>
      <c r="K792" s="1305"/>
    </row>
    <row r="793" spans="1:11" ht="11.25" customHeight="1" outlineLevel="1">
      <c r="A793" s="1305"/>
      <c r="B793" s="1306"/>
      <c r="C793" s="1305"/>
      <c r="D793" s="100">
        <v>2022</v>
      </c>
      <c r="E793" s="102">
        <f t="shared" si="48"/>
        <v>5088.3444576877237</v>
      </c>
      <c r="F793" s="102">
        <f>4677.411-408.29</f>
        <v>4269.1210000000001</v>
      </c>
      <c r="G793" s="102">
        <v>0</v>
      </c>
      <c r="H793" s="102">
        <f>F793*16.1/83.9</f>
        <v>819.22345768772345</v>
      </c>
      <c r="I793" s="102">
        <v>0</v>
      </c>
      <c r="J793" s="1296"/>
      <c r="K793" s="1305"/>
    </row>
    <row r="794" spans="1:11" ht="11.25" customHeight="1" outlineLevel="1">
      <c r="A794" s="1305"/>
      <c r="B794" s="1306"/>
      <c r="C794" s="1305"/>
      <c r="D794" s="100">
        <v>2023</v>
      </c>
      <c r="E794" s="102">
        <f t="shared" si="48"/>
        <v>0</v>
      </c>
      <c r="F794" s="102">
        <v>0</v>
      </c>
      <c r="G794" s="102">
        <v>0</v>
      </c>
      <c r="H794" s="102">
        <v>0</v>
      </c>
      <c r="I794" s="102">
        <v>0</v>
      </c>
      <c r="J794" s="1296"/>
      <c r="K794" s="1305"/>
    </row>
    <row r="795" spans="1:11" ht="11.25" customHeight="1" outlineLevel="1">
      <c r="A795" s="1305"/>
      <c r="B795" s="1306"/>
      <c r="C795" s="1305"/>
      <c r="D795" s="100">
        <v>2024</v>
      </c>
      <c r="E795" s="102">
        <f t="shared" si="48"/>
        <v>0</v>
      </c>
      <c r="F795" s="102">
        <v>0</v>
      </c>
      <c r="G795" s="102">
        <v>0</v>
      </c>
      <c r="H795" s="102">
        <v>0</v>
      </c>
      <c r="I795" s="102">
        <v>0</v>
      </c>
      <c r="J795" s="1296"/>
      <c r="K795" s="1305"/>
    </row>
    <row r="796" spans="1:11" ht="11.25" customHeight="1" outlineLevel="1">
      <c r="A796" s="1305"/>
      <c r="B796" s="1306"/>
      <c r="C796" s="1305"/>
      <c r="D796" s="100">
        <v>2025</v>
      </c>
      <c r="E796" s="102">
        <v>0</v>
      </c>
      <c r="F796" s="102">
        <v>0</v>
      </c>
      <c r="G796" s="102">
        <v>0</v>
      </c>
      <c r="H796" s="102">
        <v>0</v>
      </c>
      <c r="I796" s="102">
        <v>0</v>
      </c>
      <c r="J796" s="1296"/>
      <c r="K796" s="1305"/>
    </row>
    <row r="797" spans="1:11" ht="11.25" customHeight="1" outlineLevel="1">
      <c r="A797" s="1305"/>
      <c r="B797" s="1306"/>
      <c r="C797" s="1305"/>
      <c r="D797" s="100">
        <v>2026</v>
      </c>
      <c r="E797" s="102">
        <f t="shared" si="48"/>
        <v>0</v>
      </c>
      <c r="F797" s="102">
        <v>0</v>
      </c>
      <c r="G797" s="102">
        <v>0</v>
      </c>
      <c r="H797" s="102">
        <v>0</v>
      </c>
      <c r="I797" s="102">
        <v>0</v>
      </c>
      <c r="J797" s="1297"/>
      <c r="K797" s="1305"/>
    </row>
    <row r="798" spans="1:11" ht="11.25" customHeight="1" outlineLevel="1">
      <c r="A798" s="1305" t="s">
        <v>542</v>
      </c>
      <c r="B798" s="1306" t="s">
        <v>543</v>
      </c>
      <c r="C798" s="1305">
        <v>2022</v>
      </c>
      <c r="D798" s="100" t="s">
        <v>3</v>
      </c>
      <c r="E798" s="102">
        <f t="shared" si="48"/>
        <v>35550</v>
      </c>
      <c r="F798" s="102">
        <f>SUM(F799:F804)</f>
        <v>33772.5</v>
      </c>
      <c r="G798" s="102">
        <v>0</v>
      </c>
      <c r="H798" s="102">
        <f>SUM(H799:H804)</f>
        <v>1777.5</v>
      </c>
      <c r="I798" s="102">
        <v>0</v>
      </c>
      <c r="J798" s="1305" t="s">
        <v>544</v>
      </c>
      <c r="K798" s="1305" t="s">
        <v>545</v>
      </c>
    </row>
    <row r="799" spans="1:11" ht="11.25" customHeight="1" outlineLevel="1">
      <c r="A799" s="1305"/>
      <c r="B799" s="1306"/>
      <c r="C799" s="1305"/>
      <c r="D799" s="100">
        <v>2021</v>
      </c>
      <c r="E799" s="102">
        <f t="shared" si="48"/>
        <v>0</v>
      </c>
      <c r="F799" s="102">
        <v>0</v>
      </c>
      <c r="G799" s="102">
        <v>0</v>
      </c>
      <c r="H799" s="102">
        <v>0</v>
      </c>
      <c r="I799" s="102">
        <v>0</v>
      </c>
      <c r="J799" s="1305"/>
      <c r="K799" s="1305"/>
    </row>
    <row r="800" spans="1:11" ht="11.25" customHeight="1" outlineLevel="1">
      <c r="A800" s="1305"/>
      <c r="B800" s="1306"/>
      <c r="C800" s="1305"/>
      <c r="D800" s="100">
        <v>2022</v>
      </c>
      <c r="E800" s="102">
        <f t="shared" si="48"/>
        <v>35550</v>
      </c>
      <c r="F800" s="102">
        <v>33772.5</v>
      </c>
      <c r="G800" s="102">
        <v>0</v>
      </c>
      <c r="H800" s="102">
        <f>F800*5/95</f>
        <v>1777.5</v>
      </c>
      <c r="I800" s="102">
        <v>0</v>
      </c>
      <c r="J800" s="1305"/>
      <c r="K800" s="1305"/>
    </row>
    <row r="801" spans="1:11" ht="11.25" customHeight="1" outlineLevel="1">
      <c r="A801" s="1305"/>
      <c r="B801" s="1306"/>
      <c r="C801" s="1305"/>
      <c r="D801" s="100">
        <v>2023</v>
      </c>
      <c r="E801" s="102">
        <f t="shared" si="48"/>
        <v>0</v>
      </c>
      <c r="F801" s="102">
        <v>0</v>
      </c>
      <c r="G801" s="102">
        <v>0</v>
      </c>
      <c r="H801" s="102">
        <v>0</v>
      </c>
      <c r="I801" s="102">
        <v>0</v>
      </c>
      <c r="J801" s="1305"/>
      <c r="K801" s="1305"/>
    </row>
    <row r="802" spans="1:11" ht="11.25" customHeight="1" outlineLevel="1">
      <c r="A802" s="1305"/>
      <c r="B802" s="1306"/>
      <c r="C802" s="1305"/>
      <c r="D802" s="100">
        <v>2024</v>
      </c>
      <c r="E802" s="102">
        <f t="shared" si="48"/>
        <v>0</v>
      </c>
      <c r="F802" s="102">
        <v>0</v>
      </c>
      <c r="G802" s="102">
        <v>0</v>
      </c>
      <c r="H802" s="102">
        <v>0</v>
      </c>
      <c r="I802" s="102">
        <v>0</v>
      </c>
      <c r="J802" s="1305"/>
      <c r="K802" s="1305"/>
    </row>
    <row r="803" spans="1:11" ht="11.25" customHeight="1" outlineLevel="1">
      <c r="A803" s="1305"/>
      <c r="B803" s="1306"/>
      <c r="C803" s="1305"/>
      <c r="D803" s="100">
        <v>2025</v>
      </c>
      <c r="E803" s="102">
        <v>0</v>
      </c>
      <c r="F803" s="102">
        <v>0</v>
      </c>
      <c r="G803" s="102">
        <v>0</v>
      </c>
      <c r="H803" s="102">
        <v>0</v>
      </c>
      <c r="I803" s="102">
        <v>0</v>
      </c>
      <c r="J803" s="1305"/>
      <c r="K803" s="1305"/>
    </row>
    <row r="804" spans="1:11" ht="11.25" customHeight="1" outlineLevel="1">
      <c r="A804" s="1305"/>
      <c r="B804" s="1306"/>
      <c r="C804" s="1305"/>
      <c r="D804" s="100">
        <v>2026</v>
      </c>
      <c r="E804" s="102">
        <f t="shared" si="48"/>
        <v>0</v>
      </c>
      <c r="F804" s="102">
        <v>0</v>
      </c>
      <c r="G804" s="102">
        <v>0</v>
      </c>
      <c r="H804" s="102">
        <v>0</v>
      </c>
      <c r="I804" s="102">
        <v>0</v>
      </c>
      <c r="J804" s="1305"/>
      <c r="K804" s="1305"/>
    </row>
    <row r="805" spans="1:11" ht="11.25" customHeight="1" outlineLevel="1">
      <c r="A805" s="1305" t="s">
        <v>546</v>
      </c>
      <c r="B805" s="1306" t="s">
        <v>547</v>
      </c>
      <c r="C805" s="1305">
        <v>2022</v>
      </c>
      <c r="D805" s="100" t="s">
        <v>3</v>
      </c>
      <c r="E805" s="102">
        <f t="shared" si="48"/>
        <v>15871.72</v>
      </c>
      <c r="F805" s="102">
        <f>SUM(F806:F811)</f>
        <v>15078.134</v>
      </c>
      <c r="G805" s="102">
        <v>0</v>
      </c>
      <c r="H805" s="102">
        <f>SUM(H806:H811)</f>
        <v>793.58600000000001</v>
      </c>
      <c r="I805" s="102">
        <v>0</v>
      </c>
      <c r="J805" s="1305" t="s">
        <v>548</v>
      </c>
      <c r="K805" s="1305" t="s">
        <v>545</v>
      </c>
    </row>
    <row r="806" spans="1:11" ht="11.25" customHeight="1" outlineLevel="1">
      <c r="A806" s="1305"/>
      <c r="B806" s="1306"/>
      <c r="C806" s="1305"/>
      <c r="D806" s="100">
        <v>2021</v>
      </c>
      <c r="E806" s="102">
        <f t="shared" si="48"/>
        <v>0</v>
      </c>
      <c r="F806" s="102">
        <f>SUM(G806:J806)</f>
        <v>0</v>
      </c>
      <c r="G806" s="102">
        <v>0</v>
      </c>
      <c r="H806" s="102">
        <v>0</v>
      </c>
      <c r="I806" s="102">
        <v>0</v>
      </c>
      <c r="J806" s="1305"/>
      <c r="K806" s="1305"/>
    </row>
    <row r="807" spans="1:11" ht="11.25" customHeight="1" outlineLevel="1">
      <c r="A807" s="1305"/>
      <c r="B807" s="1306"/>
      <c r="C807" s="1305"/>
      <c r="D807" s="100">
        <v>2022</v>
      </c>
      <c r="E807" s="102">
        <f t="shared" si="48"/>
        <v>15871.72</v>
      </c>
      <c r="F807" s="102">
        <v>15078.134</v>
      </c>
      <c r="G807" s="102">
        <v>0</v>
      </c>
      <c r="H807" s="102">
        <f>F807*5/95</f>
        <v>793.58600000000001</v>
      </c>
      <c r="I807" s="102">
        <v>0</v>
      </c>
      <c r="J807" s="1305"/>
      <c r="K807" s="1305"/>
    </row>
    <row r="808" spans="1:11" ht="11.25" customHeight="1" outlineLevel="1">
      <c r="A808" s="1305"/>
      <c r="B808" s="1306"/>
      <c r="C808" s="1305"/>
      <c r="D808" s="100">
        <v>2023</v>
      </c>
      <c r="E808" s="102">
        <f t="shared" si="48"/>
        <v>0</v>
      </c>
      <c r="F808" s="102">
        <f t="shared" si="48"/>
        <v>0</v>
      </c>
      <c r="G808" s="102">
        <v>0</v>
      </c>
      <c r="H808" s="102">
        <v>0</v>
      </c>
      <c r="I808" s="102">
        <v>0</v>
      </c>
      <c r="J808" s="1305"/>
      <c r="K808" s="1305"/>
    </row>
    <row r="809" spans="1:11" ht="11.25" customHeight="1" outlineLevel="1">
      <c r="A809" s="1305"/>
      <c r="B809" s="1306"/>
      <c r="C809" s="1305"/>
      <c r="D809" s="100">
        <v>2024</v>
      </c>
      <c r="E809" s="102">
        <f t="shared" si="48"/>
        <v>0</v>
      </c>
      <c r="F809" s="102">
        <f t="shared" si="48"/>
        <v>0</v>
      </c>
      <c r="G809" s="102">
        <v>0</v>
      </c>
      <c r="H809" s="102">
        <v>0</v>
      </c>
      <c r="I809" s="102">
        <v>0</v>
      </c>
      <c r="J809" s="1305"/>
      <c r="K809" s="1305"/>
    </row>
    <row r="810" spans="1:11" ht="11.25" customHeight="1" outlineLevel="1">
      <c r="A810" s="1305"/>
      <c r="B810" s="1306"/>
      <c r="C810" s="1305"/>
      <c r="D810" s="100">
        <v>2025</v>
      </c>
      <c r="E810" s="102">
        <v>0</v>
      </c>
      <c r="F810" s="102">
        <v>0</v>
      </c>
      <c r="G810" s="102">
        <v>0</v>
      </c>
      <c r="H810" s="102">
        <v>0</v>
      </c>
      <c r="I810" s="102">
        <v>0</v>
      </c>
      <c r="J810" s="1305"/>
      <c r="K810" s="1305"/>
    </row>
    <row r="811" spans="1:11" ht="11.25" customHeight="1" outlineLevel="1">
      <c r="A811" s="1305"/>
      <c r="B811" s="1306"/>
      <c r="C811" s="1305"/>
      <c r="D811" s="100">
        <v>2026</v>
      </c>
      <c r="E811" s="102">
        <f t="shared" si="48"/>
        <v>0</v>
      </c>
      <c r="F811" s="102">
        <f t="shared" si="48"/>
        <v>0</v>
      </c>
      <c r="G811" s="102">
        <v>0</v>
      </c>
      <c r="H811" s="102">
        <v>0</v>
      </c>
      <c r="I811" s="102">
        <v>0</v>
      </c>
      <c r="J811" s="1305"/>
      <c r="K811" s="1305"/>
    </row>
    <row r="812" spans="1:11" ht="11.25" customHeight="1" outlineLevel="1">
      <c r="A812" s="1302" t="s">
        <v>549</v>
      </c>
      <c r="B812" s="1295" t="s">
        <v>550</v>
      </c>
      <c r="C812" s="1295" t="s">
        <v>551</v>
      </c>
      <c r="D812" s="100" t="s">
        <v>3</v>
      </c>
      <c r="E812" s="102">
        <f>SUM(F812:I812)</f>
        <v>106415.1</v>
      </c>
      <c r="F812" s="102">
        <f>SUM(F813:F818)</f>
        <v>106415.1</v>
      </c>
      <c r="G812" s="102">
        <v>0</v>
      </c>
      <c r="H812" s="102">
        <v>0</v>
      </c>
      <c r="I812" s="102">
        <v>0</v>
      </c>
      <c r="J812" s="1295" t="s">
        <v>552</v>
      </c>
      <c r="K812" s="1295" t="s">
        <v>553</v>
      </c>
    </row>
    <row r="813" spans="1:11" ht="11.25" customHeight="1" outlineLevel="1">
      <c r="A813" s="1303"/>
      <c r="B813" s="1296"/>
      <c r="C813" s="1296"/>
      <c r="D813" s="100">
        <v>2021</v>
      </c>
      <c r="E813" s="102">
        <v>0</v>
      </c>
      <c r="F813" s="102">
        <v>0</v>
      </c>
      <c r="G813" s="102">
        <v>0</v>
      </c>
      <c r="H813" s="102">
        <v>0</v>
      </c>
      <c r="I813" s="102">
        <v>0</v>
      </c>
      <c r="J813" s="1296"/>
      <c r="K813" s="1296"/>
    </row>
    <row r="814" spans="1:11" ht="11.25" customHeight="1" outlineLevel="1">
      <c r="A814" s="1303"/>
      <c r="B814" s="1296"/>
      <c r="C814" s="1296"/>
      <c r="D814" s="100">
        <v>2022</v>
      </c>
      <c r="E814" s="102">
        <v>0</v>
      </c>
      <c r="F814" s="102">
        <v>0</v>
      </c>
      <c r="G814" s="102">
        <v>0</v>
      </c>
      <c r="H814" s="102">
        <v>0</v>
      </c>
      <c r="I814" s="102">
        <v>0</v>
      </c>
      <c r="J814" s="1296"/>
      <c r="K814" s="1296"/>
    </row>
    <row r="815" spans="1:11" ht="11.25" customHeight="1" outlineLevel="1">
      <c r="A815" s="1303"/>
      <c r="B815" s="1296"/>
      <c r="C815" s="1296"/>
      <c r="D815" s="100">
        <v>2023</v>
      </c>
      <c r="E815" s="102">
        <v>0</v>
      </c>
      <c r="F815" s="102">
        <v>0</v>
      </c>
      <c r="G815" s="102">
        <v>0</v>
      </c>
      <c r="H815" s="102">
        <v>0</v>
      </c>
      <c r="I815" s="102">
        <v>0</v>
      </c>
      <c r="J815" s="1296"/>
      <c r="K815" s="1296"/>
    </row>
    <row r="816" spans="1:11" ht="27" customHeight="1" outlineLevel="1">
      <c r="A816" s="1303"/>
      <c r="B816" s="1296"/>
      <c r="C816" s="1296"/>
      <c r="D816" s="100">
        <v>2024</v>
      </c>
      <c r="E816" s="102">
        <v>0</v>
      </c>
      <c r="F816" s="102">
        <v>0</v>
      </c>
      <c r="G816" s="102">
        <v>0</v>
      </c>
      <c r="H816" s="102">
        <v>0</v>
      </c>
      <c r="I816" s="102">
        <v>0</v>
      </c>
      <c r="J816" s="1296"/>
      <c r="K816" s="1296"/>
    </row>
    <row r="817" spans="1:11" ht="14.25" customHeight="1" outlineLevel="1">
      <c r="A817" s="1303"/>
      <c r="B817" s="1296"/>
      <c r="C817" s="1296"/>
      <c r="D817" s="100">
        <v>2025</v>
      </c>
      <c r="E817" s="102">
        <v>0</v>
      </c>
      <c r="F817" s="102">
        <v>0</v>
      </c>
      <c r="G817" s="102">
        <v>0</v>
      </c>
      <c r="H817" s="102">
        <v>0</v>
      </c>
      <c r="I817" s="102">
        <v>0</v>
      </c>
      <c r="J817" s="1296"/>
      <c r="K817" s="1296"/>
    </row>
    <row r="818" spans="1:11" ht="17.25" customHeight="1" outlineLevel="1">
      <c r="A818" s="1304"/>
      <c r="B818" s="1297"/>
      <c r="C818" s="1297"/>
      <c r="D818" s="100">
        <v>2026</v>
      </c>
      <c r="E818" s="102">
        <f>F818+G818+H818+I818</f>
        <v>106415.1</v>
      </c>
      <c r="F818" s="102">
        <v>106415.1</v>
      </c>
      <c r="G818" s="102">
        <v>0</v>
      </c>
      <c r="H818" s="102">
        <v>0</v>
      </c>
      <c r="I818" s="102">
        <v>0</v>
      </c>
      <c r="J818" s="1297"/>
      <c r="K818" s="1297"/>
    </row>
    <row r="819" spans="1:11" ht="11.25" customHeight="1" outlineLevel="1">
      <c r="A819" s="1302" t="s">
        <v>554</v>
      </c>
      <c r="B819" s="1295" t="s">
        <v>555</v>
      </c>
      <c r="C819" s="1295" t="s">
        <v>551</v>
      </c>
      <c r="D819" s="100" t="s">
        <v>3</v>
      </c>
      <c r="E819" s="102">
        <f>SUM(F819:I819)</f>
        <v>267656.2</v>
      </c>
      <c r="F819" s="102">
        <f>SUM(F820:F825)</f>
        <v>267656.2</v>
      </c>
      <c r="G819" s="102">
        <v>0</v>
      </c>
      <c r="H819" s="102">
        <v>0</v>
      </c>
      <c r="I819" s="102">
        <v>0</v>
      </c>
      <c r="J819" s="1295" t="s">
        <v>552</v>
      </c>
      <c r="K819" s="1295" t="s">
        <v>553</v>
      </c>
    </row>
    <row r="820" spans="1:11" ht="11.25" customHeight="1" outlineLevel="1">
      <c r="A820" s="1303"/>
      <c r="B820" s="1296"/>
      <c r="C820" s="1296"/>
      <c r="D820" s="100">
        <v>2021</v>
      </c>
      <c r="E820" s="102">
        <v>0</v>
      </c>
      <c r="F820" s="102">
        <v>0</v>
      </c>
      <c r="G820" s="102">
        <v>0</v>
      </c>
      <c r="H820" s="102">
        <v>0</v>
      </c>
      <c r="I820" s="102">
        <v>0</v>
      </c>
      <c r="J820" s="1296"/>
      <c r="K820" s="1296"/>
    </row>
    <row r="821" spans="1:11" ht="11.25" customHeight="1" outlineLevel="1">
      <c r="A821" s="1303"/>
      <c r="B821" s="1296"/>
      <c r="C821" s="1296"/>
      <c r="D821" s="100">
        <v>2022</v>
      </c>
      <c r="E821" s="102">
        <v>0</v>
      </c>
      <c r="F821" s="102">
        <v>0</v>
      </c>
      <c r="G821" s="102">
        <v>0</v>
      </c>
      <c r="H821" s="102">
        <v>0</v>
      </c>
      <c r="I821" s="102">
        <v>0</v>
      </c>
      <c r="J821" s="1296"/>
      <c r="K821" s="1296"/>
    </row>
    <row r="822" spans="1:11" ht="11.25" customHeight="1" outlineLevel="1">
      <c r="A822" s="1303"/>
      <c r="B822" s="1296"/>
      <c r="C822" s="1296"/>
      <c r="D822" s="100">
        <v>2023</v>
      </c>
      <c r="E822" s="102">
        <v>0</v>
      </c>
      <c r="F822" s="102">
        <v>0</v>
      </c>
      <c r="G822" s="102">
        <v>0</v>
      </c>
      <c r="H822" s="102">
        <v>0</v>
      </c>
      <c r="I822" s="102">
        <v>0</v>
      </c>
      <c r="J822" s="1296"/>
      <c r="K822" s="1296"/>
    </row>
    <row r="823" spans="1:11" ht="11.25" customHeight="1" outlineLevel="1">
      <c r="A823" s="1303"/>
      <c r="B823" s="1296"/>
      <c r="C823" s="1296"/>
      <c r="D823" s="100">
        <v>2024</v>
      </c>
      <c r="E823" s="102">
        <v>0</v>
      </c>
      <c r="F823" s="102">
        <v>0</v>
      </c>
      <c r="G823" s="102">
        <v>0</v>
      </c>
      <c r="H823" s="102">
        <v>0</v>
      </c>
      <c r="I823" s="102">
        <v>0</v>
      </c>
      <c r="J823" s="1296"/>
      <c r="K823" s="1296"/>
    </row>
    <row r="824" spans="1:11" ht="11.25" customHeight="1" outlineLevel="1">
      <c r="A824" s="1303"/>
      <c r="B824" s="1296"/>
      <c r="C824" s="1296"/>
      <c r="D824" s="100">
        <v>2025</v>
      </c>
      <c r="E824" s="102">
        <v>0</v>
      </c>
      <c r="F824" s="102">
        <v>0</v>
      </c>
      <c r="G824" s="102">
        <v>0</v>
      </c>
      <c r="H824" s="102">
        <v>0</v>
      </c>
      <c r="I824" s="102">
        <v>0</v>
      </c>
      <c r="J824" s="1296"/>
      <c r="K824" s="1296"/>
    </row>
    <row r="825" spans="1:11" ht="11.25" customHeight="1" outlineLevel="1">
      <c r="A825" s="1304"/>
      <c r="B825" s="1297"/>
      <c r="C825" s="1297"/>
      <c r="D825" s="100">
        <v>2026</v>
      </c>
      <c r="E825" s="102">
        <f>F825+G825+H825+I825</f>
        <v>267656.2</v>
      </c>
      <c r="F825" s="102">
        <v>267656.2</v>
      </c>
      <c r="G825" s="102">
        <v>0</v>
      </c>
      <c r="H825" s="102">
        <v>0</v>
      </c>
      <c r="I825" s="102">
        <v>0</v>
      </c>
      <c r="J825" s="1297"/>
      <c r="K825" s="1297"/>
    </row>
    <row r="826" spans="1:11" ht="12.75" customHeight="1" outlineLevel="1">
      <c r="A826" s="1295" t="s">
        <v>556</v>
      </c>
      <c r="B826" s="1295" t="s">
        <v>557</v>
      </c>
      <c r="C826" s="1295" t="s">
        <v>272</v>
      </c>
      <c r="D826" s="100" t="s">
        <v>3</v>
      </c>
      <c r="E826" s="102">
        <f t="shared" si="48"/>
        <v>364102.02817000001</v>
      </c>
      <c r="F826" s="102">
        <f>SUM(F827:F832)</f>
        <v>112220.93517</v>
      </c>
      <c r="G826" s="102">
        <f>SUM(G827:G832)</f>
        <v>251881.09299999999</v>
      </c>
      <c r="H826" s="102">
        <f>SUM(H827:H831)</f>
        <v>0</v>
      </c>
      <c r="I826" s="102">
        <f>SUM(I827:I831)</f>
        <v>0</v>
      </c>
      <c r="J826" s="1295" t="s">
        <v>81</v>
      </c>
      <c r="K826" s="1295" t="s">
        <v>140</v>
      </c>
    </row>
    <row r="827" spans="1:11" ht="12.75" customHeight="1" outlineLevel="1">
      <c r="A827" s="1296"/>
      <c r="B827" s="1296"/>
      <c r="C827" s="1296"/>
      <c r="D827" s="100">
        <v>2021</v>
      </c>
      <c r="E827" s="102">
        <f t="shared" si="48"/>
        <v>0</v>
      </c>
      <c r="F827" s="102">
        <f t="shared" ref="F827:I831" si="51">F834</f>
        <v>0</v>
      </c>
      <c r="G827" s="102">
        <f>G834</f>
        <v>0</v>
      </c>
      <c r="H827" s="102">
        <f t="shared" si="51"/>
        <v>0</v>
      </c>
      <c r="I827" s="102">
        <f t="shared" si="51"/>
        <v>0</v>
      </c>
      <c r="J827" s="1296"/>
      <c r="K827" s="1296"/>
    </row>
    <row r="828" spans="1:11" ht="12.75" customHeight="1" outlineLevel="1">
      <c r="A828" s="1296"/>
      <c r="B828" s="1296"/>
      <c r="C828" s="1296"/>
      <c r="D828" s="100">
        <v>2022</v>
      </c>
      <c r="E828" s="102">
        <f t="shared" si="48"/>
        <v>67438.159</v>
      </c>
      <c r="F828" s="102">
        <f t="shared" si="51"/>
        <v>19557.065999999999</v>
      </c>
      <c r="G828" s="102">
        <f t="shared" si="51"/>
        <v>47881.093000000001</v>
      </c>
      <c r="H828" s="102">
        <f t="shared" si="51"/>
        <v>0</v>
      </c>
      <c r="I828" s="102">
        <f t="shared" si="51"/>
        <v>0</v>
      </c>
      <c r="J828" s="1296"/>
      <c r="K828" s="1296"/>
    </row>
    <row r="829" spans="1:11" ht="12.75" customHeight="1" outlineLevel="1">
      <c r="A829" s="1296"/>
      <c r="B829" s="1296"/>
      <c r="C829" s="1296"/>
      <c r="D829" s="100">
        <v>2023</v>
      </c>
      <c r="E829" s="102">
        <f t="shared" si="48"/>
        <v>0</v>
      </c>
      <c r="F829" s="102">
        <f t="shared" si="51"/>
        <v>0</v>
      </c>
      <c r="G829" s="102">
        <f t="shared" si="51"/>
        <v>0</v>
      </c>
      <c r="H829" s="102">
        <f t="shared" si="51"/>
        <v>0</v>
      </c>
      <c r="I829" s="102">
        <f t="shared" si="51"/>
        <v>0</v>
      </c>
      <c r="J829" s="1296"/>
      <c r="K829" s="1296"/>
    </row>
    <row r="830" spans="1:11" ht="12.75" customHeight="1" outlineLevel="1">
      <c r="A830" s="1296"/>
      <c r="B830" s="1296"/>
      <c r="C830" s="1296"/>
      <c r="D830" s="108">
        <v>2024</v>
      </c>
      <c r="E830" s="109">
        <f t="shared" si="48"/>
        <v>113551.12046000001</v>
      </c>
      <c r="F830" s="109">
        <f t="shared" si="51"/>
        <v>35551.120459999998</v>
      </c>
      <c r="G830" s="109">
        <f t="shared" si="51"/>
        <v>78000</v>
      </c>
      <c r="H830" s="109">
        <f t="shared" si="51"/>
        <v>0</v>
      </c>
      <c r="I830" s="109">
        <f t="shared" si="51"/>
        <v>0</v>
      </c>
      <c r="J830" s="1296"/>
      <c r="K830" s="1296"/>
    </row>
    <row r="831" spans="1:11" ht="12.75" customHeight="1" outlineLevel="1">
      <c r="A831" s="1296"/>
      <c r="B831" s="1296"/>
      <c r="C831" s="1296"/>
      <c r="D831" s="100">
        <v>2025</v>
      </c>
      <c r="E831" s="102">
        <f t="shared" si="48"/>
        <v>130434.78260999999</v>
      </c>
      <c r="F831" s="102">
        <f t="shared" si="51"/>
        <v>40434.782610000002</v>
      </c>
      <c r="G831" s="102">
        <f t="shared" si="51"/>
        <v>90000</v>
      </c>
      <c r="H831" s="102">
        <f t="shared" si="51"/>
        <v>0</v>
      </c>
      <c r="I831" s="102">
        <f t="shared" si="51"/>
        <v>0</v>
      </c>
      <c r="J831" s="1296"/>
      <c r="K831" s="1296"/>
    </row>
    <row r="832" spans="1:11" ht="12.75" customHeight="1" outlineLevel="1">
      <c r="A832" s="1297"/>
      <c r="B832" s="1297"/>
      <c r="C832" s="1297"/>
      <c r="D832" s="100">
        <v>2026</v>
      </c>
      <c r="E832" s="102">
        <f>SUM(F832:I832)</f>
        <v>52677.966100000005</v>
      </c>
      <c r="F832" s="102">
        <f>SUM(F839)</f>
        <v>16677.966100000001</v>
      </c>
      <c r="G832" s="102">
        <f t="shared" ref="G832:I832" si="52">SUM(G839)</f>
        <v>36000</v>
      </c>
      <c r="H832" s="102">
        <f t="shared" si="52"/>
        <v>0</v>
      </c>
      <c r="I832" s="102">
        <f t="shared" si="52"/>
        <v>0</v>
      </c>
      <c r="J832" s="1297"/>
      <c r="K832" s="1297"/>
    </row>
    <row r="833" spans="1:11" ht="12.75" customHeight="1" outlineLevel="1">
      <c r="A833" s="1295" t="s">
        <v>558</v>
      </c>
      <c r="B833" s="1295" t="s">
        <v>559</v>
      </c>
      <c r="C833" s="1295" t="s">
        <v>272</v>
      </c>
      <c r="D833" s="100" t="s">
        <v>3</v>
      </c>
      <c r="E833" s="102">
        <f t="shared" si="48"/>
        <v>364102.02817000001</v>
      </c>
      <c r="F833" s="102">
        <f>SUM(F834:F839)</f>
        <v>112220.93517</v>
      </c>
      <c r="G833" s="102">
        <f>SUM(G834:G839)</f>
        <v>251881.09299999999</v>
      </c>
      <c r="H833" s="102">
        <f>SUM(H834:H838)</f>
        <v>0</v>
      </c>
      <c r="I833" s="102">
        <f>SUM(I834:I838)</f>
        <v>0</v>
      </c>
      <c r="J833" s="1295" t="s">
        <v>560</v>
      </c>
      <c r="K833" s="1295" t="s">
        <v>140</v>
      </c>
    </row>
    <row r="834" spans="1:11" outlineLevel="1">
      <c r="A834" s="1296"/>
      <c r="B834" s="1296"/>
      <c r="C834" s="1296"/>
      <c r="D834" s="100">
        <v>2021</v>
      </c>
      <c r="E834" s="102">
        <f t="shared" si="48"/>
        <v>0</v>
      </c>
      <c r="F834" s="102">
        <v>0</v>
      </c>
      <c r="G834" s="102">
        <v>0</v>
      </c>
      <c r="H834" s="102">
        <v>0</v>
      </c>
      <c r="I834" s="102">
        <v>0</v>
      </c>
      <c r="J834" s="1296"/>
      <c r="K834" s="1296"/>
    </row>
    <row r="835" spans="1:11" outlineLevel="1">
      <c r="A835" s="1296"/>
      <c r="B835" s="1296"/>
      <c r="C835" s="1296"/>
      <c r="D835" s="100">
        <v>2022</v>
      </c>
      <c r="E835" s="102">
        <f t="shared" si="48"/>
        <v>67438.159</v>
      </c>
      <c r="F835" s="102">
        <v>19557.065999999999</v>
      </c>
      <c r="G835" s="102">
        <v>47881.093000000001</v>
      </c>
      <c r="H835" s="102">
        <v>0</v>
      </c>
      <c r="I835" s="102">
        <v>0</v>
      </c>
      <c r="J835" s="1296"/>
      <c r="K835" s="1296"/>
    </row>
    <row r="836" spans="1:11" outlineLevel="1">
      <c r="A836" s="1296"/>
      <c r="B836" s="1296"/>
      <c r="C836" s="1296"/>
      <c r="D836" s="100">
        <v>2023</v>
      </c>
      <c r="E836" s="102">
        <f t="shared" ref="E836:E931" si="53">SUM(F836:I836)</f>
        <v>0</v>
      </c>
      <c r="F836" s="102">
        <v>0</v>
      </c>
      <c r="G836" s="102">
        <v>0</v>
      </c>
      <c r="H836" s="102">
        <v>0</v>
      </c>
      <c r="I836" s="102">
        <v>0</v>
      </c>
      <c r="J836" s="1296"/>
      <c r="K836" s="1296"/>
    </row>
    <row r="837" spans="1:11" outlineLevel="1">
      <c r="A837" s="1296"/>
      <c r="B837" s="1296"/>
      <c r="C837" s="1296"/>
      <c r="D837" s="108">
        <v>2024</v>
      </c>
      <c r="E837" s="109">
        <f t="shared" si="53"/>
        <v>113551.12046000001</v>
      </c>
      <c r="F837" s="109">
        <f>31859.15493+3691.96553</f>
        <v>35551.120459999998</v>
      </c>
      <c r="G837" s="109">
        <v>78000</v>
      </c>
      <c r="H837" s="109">
        <v>0</v>
      </c>
      <c r="I837" s="109">
        <v>0</v>
      </c>
      <c r="J837" s="1296"/>
      <c r="K837" s="1296"/>
    </row>
    <row r="838" spans="1:11" outlineLevel="1">
      <c r="A838" s="1296"/>
      <c r="B838" s="1296"/>
      <c r="C838" s="1296"/>
      <c r="D838" s="100">
        <v>2025</v>
      </c>
      <c r="E838" s="102">
        <f t="shared" si="53"/>
        <v>130434.78260999999</v>
      </c>
      <c r="F838" s="102">
        <v>40434.782610000002</v>
      </c>
      <c r="G838" s="102">
        <v>90000</v>
      </c>
      <c r="H838" s="102">
        <f>SUM(I831:L831)</f>
        <v>0</v>
      </c>
      <c r="I838" s="102">
        <f>SUM(J831:L831)</f>
        <v>0</v>
      </c>
      <c r="J838" s="1296"/>
      <c r="K838" s="1296"/>
    </row>
    <row r="839" spans="1:11" outlineLevel="1">
      <c r="A839" s="1297"/>
      <c r="B839" s="1297"/>
      <c r="C839" s="1297"/>
      <c r="D839" s="100">
        <v>2026</v>
      </c>
      <c r="E839" s="102">
        <f>F839+G839+H839+I839</f>
        <v>52677.966100000005</v>
      </c>
      <c r="F839" s="102">
        <v>16677.966100000001</v>
      </c>
      <c r="G839" s="102">
        <v>36000</v>
      </c>
      <c r="H839" s="102"/>
      <c r="I839" s="102"/>
      <c r="J839" s="1297"/>
      <c r="K839" s="1297"/>
    </row>
    <row r="840" spans="1:11" ht="15" customHeight="1" outlineLevel="1">
      <c r="A840" s="1295" t="s">
        <v>138</v>
      </c>
      <c r="B840" s="1295" t="s">
        <v>137</v>
      </c>
      <c r="C840" s="1295" t="s">
        <v>286</v>
      </c>
      <c r="D840" s="100" t="s">
        <v>3</v>
      </c>
      <c r="E840" s="102">
        <f>SUM(E841:E846)</f>
        <v>2001331.9737799999</v>
      </c>
      <c r="F840" s="102">
        <f>SUM(F841:F846)</f>
        <v>1333903.63378</v>
      </c>
      <c r="G840" s="102">
        <f>SUM(G843:G846)</f>
        <v>667428.34</v>
      </c>
      <c r="H840" s="102">
        <f>[7]НОВЫЙ_МИНСТРОЙ!H761</f>
        <v>0</v>
      </c>
      <c r="I840" s="102">
        <f>[7]НОВЫЙ_МИНСТРОЙ!I761</f>
        <v>0</v>
      </c>
      <c r="J840" s="1295" t="s">
        <v>561</v>
      </c>
      <c r="K840" s="1295" t="s">
        <v>562</v>
      </c>
    </row>
    <row r="841" spans="1:11" outlineLevel="1">
      <c r="A841" s="1296"/>
      <c r="B841" s="1296"/>
      <c r="C841" s="1296"/>
      <c r="D841" s="100">
        <v>2021</v>
      </c>
      <c r="E841" s="102">
        <f>[7]НОВЫЙ_МИНСТРОЙ!E762</f>
        <v>0</v>
      </c>
      <c r="F841" s="102">
        <f>[7]НОВЫЙ_МИНСТРОЙ!F762</f>
        <v>0</v>
      </c>
      <c r="G841" s="102">
        <f>[7]НОВЫЙ_МИНСТРОЙ!G762</f>
        <v>0</v>
      </c>
      <c r="H841" s="102">
        <f>[7]НОВЫЙ_МИНСТРОЙ!H762</f>
        <v>0</v>
      </c>
      <c r="I841" s="102">
        <f>[7]НОВЫЙ_МИНСТРОЙ!I762</f>
        <v>0</v>
      </c>
      <c r="J841" s="1296"/>
      <c r="K841" s="1296"/>
    </row>
    <row r="842" spans="1:11" outlineLevel="1">
      <c r="A842" s="1296"/>
      <c r="B842" s="1296"/>
      <c r="C842" s="1296"/>
      <c r="D842" s="100">
        <v>2022</v>
      </c>
      <c r="E842" s="102">
        <f>[7]НОВЫЙ_МИНСТРОЙ!E763</f>
        <v>0</v>
      </c>
      <c r="F842" s="102">
        <f>[7]НОВЫЙ_МИНСТРОЙ!F763</f>
        <v>0</v>
      </c>
      <c r="G842" s="102">
        <f>[7]НОВЫЙ_МИНСТРОЙ!G763</f>
        <v>0</v>
      </c>
      <c r="H842" s="102">
        <f>[7]НОВЫЙ_МИНСТРОЙ!H763</f>
        <v>0</v>
      </c>
      <c r="I842" s="102">
        <f>[7]НОВЫЙ_МИНСТРОЙ!I763</f>
        <v>0</v>
      </c>
      <c r="J842" s="1296"/>
      <c r="K842" s="1296"/>
    </row>
    <row r="843" spans="1:11" outlineLevel="1">
      <c r="A843" s="1296"/>
      <c r="B843" s="1296"/>
      <c r="C843" s="1296"/>
      <c r="D843" s="100">
        <v>2023</v>
      </c>
      <c r="E843" s="102">
        <f>SUM(F843:G843)</f>
        <v>381844.82530999999</v>
      </c>
      <c r="F843" s="102">
        <f>SUM(F850,F857,F864)</f>
        <v>84525.085309999995</v>
      </c>
      <c r="G843" s="102">
        <f>SUM(G850,G857,G864)</f>
        <v>297319.74</v>
      </c>
      <c r="H843" s="102">
        <f>[7]НОВЫЙ_МИНСТРОЙ!H764</f>
        <v>0</v>
      </c>
      <c r="I843" s="102">
        <f>[7]НОВЫЙ_МИНСТРОЙ!I764</f>
        <v>0</v>
      </c>
      <c r="J843" s="1296"/>
      <c r="K843" s="1296"/>
    </row>
    <row r="844" spans="1:11" outlineLevel="1">
      <c r="A844" s="1296"/>
      <c r="B844" s="1296"/>
      <c r="C844" s="1296"/>
      <c r="D844" s="108">
        <v>2024</v>
      </c>
      <c r="E844" s="109">
        <f>SUM(F844:I844)</f>
        <v>1137317.1484699999</v>
      </c>
      <c r="F844" s="109">
        <f>SUM(F851,F858,F865)</f>
        <v>767208.54847000004</v>
      </c>
      <c r="G844" s="109">
        <f>[7]НОВЫЙ_МИНСТРОЙ!G765</f>
        <v>370108.6</v>
      </c>
      <c r="H844" s="109">
        <f>[7]НОВЫЙ_МИНСТРОЙ!H765</f>
        <v>0</v>
      </c>
      <c r="I844" s="109">
        <f>[7]НОВЫЙ_МИНСТРОЙ!I765</f>
        <v>0</v>
      </c>
      <c r="J844" s="1296"/>
      <c r="K844" s="1296"/>
    </row>
    <row r="845" spans="1:11" outlineLevel="1">
      <c r="A845" s="1296"/>
      <c r="B845" s="1296"/>
      <c r="C845" s="1296"/>
      <c r="D845" s="100">
        <v>2025</v>
      </c>
      <c r="E845" s="102">
        <f>[7]НОВЫЙ_МИНСТРОЙ!E766</f>
        <v>482170</v>
      </c>
      <c r="F845" s="102">
        <f>SUM(F852,F859,F866)</f>
        <v>482170</v>
      </c>
      <c r="G845" s="102">
        <f>[7]НОВЫЙ_МИНСТРОЙ!G766</f>
        <v>0</v>
      </c>
      <c r="H845" s="102">
        <f>[7]НОВЫЙ_МИНСТРОЙ!H766</f>
        <v>0</v>
      </c>
      <c r="I845" s="102">
        <f>[7]НОВЫЙ_МИНСТРОЙ!I766</f>
        <v>0</v>
      </c>
      <c r="J845" s="1296"/>
      <c r="K845" s="1296"/>
    </row>
    <row r="846" spans="1:11" outlineLevel="1">
      <c r="A846" s="1297"/>
      <c r="B846" s="1297"/>
      <c r="C846" s="1297"/>
      <c r="D846" s="100">
        <v>2026</v>
      </c>
      <c r="E846" s="102">
        <v>0</v>
      </c>
      <c r="F846" s="102">
        <v>0</v>
      </c>
      <c r="G846" s="102">
        <v>0</v>
      </c>
      <c r="H846" s="102">
        <v>0</v>
      </c>
      <c r="I846" s="102">
        <v>0</v>
      </c>
      <c r="J846" s="1297"/>
      <c r="K846" s="1297"/>
    </row>
    <row r="847" spans="1:11" ht="15" customHeight="1" outlineLevel="1">
      <c r="A847" s="1295" t="s">
        <v>61</v>
      </c>
      <c r="B847" s="1295" t="s">
        <v>82</v>
      </c>
      <c r="C847" s="1295" t="s">
        <v>286</v>
      </c>
      <c r="D847" s="100" t="s">
        <v>3</v>
      </c>
      <c r="E847" s="102">
        <f>SUM(E848:E853)</f>
        <v>920148.86378000001</v>
      </c>
      <c r="F847" s="102">
        <f>SUM(F848:F853)</f>
        <v>369563.63377999997</v>
      </c>
      <c r="G847" s="102">
        <f>[7]НОВЫЙ_МИНСТРОЙ!G767</f>
        <v>550585.23</v>
      </c>
      <c r="H847" s="102">
        <f>[7]НОВЫЙ_МИНСТРОЙ!H767</f>
        <v>0</v>
      </c>
      <c r="I847" s="102">
        <f>[7]НОВЫЙ_МИНСТРОЙ!I767</f>
        <v>0</v>
      </c>
      <c r="J847" s="1295" t="s">
        <v>133</v>
      </c>
      <c r="K847" s="1295" t="s">
        <v>135</v>
      </c>
    </row>
    <row r="848" spans="1:11" outlineLevel="1">
      <c r="A848" s="1296"/>
      <c r="B848" s="1296"/>
      <c r="C848" s="1296"/>
      <c r="D848" s="100">
        <v>2021</v>
      </c>
      <c r="E848" s="102">
        <f>[7]НОВЫЙ_МИНСТРОЙ!E768</f>
        <v>0</v>
      </c>
      <c r="F848" s="102">
        <f>[7]НОВЫЙ_МИНСТРОЙ!F768</f>
        <v>0</v>
      </c>
      <c r="G848" s="102">
        <f>[7]НОВЫЙ_МИНСТРОЙ!G768</f>
        <v>0</v>
      </c>
      <c r="H848" s="102">
        <f>[7]НОВЫЙ_МИНСТРОЙ!H768</f>
        <v>0</v>
      </c>
      <c r="I848" s="102">
        <f>[7]НОВЫЙ_МИНСТРОЙ!I768</f>
        <v>0</v>
      </c>
      <c r="J848" s="1296"/>
      <c r="K848" s="1296"/>
    </row>
    <row r="849" spans="1:13" outlineLevel="1">
      <c r="A849" s="1296"/>
      <c r="B849" s="1296"/>
      <c r="C849" s="1296"/>
      <c r="D849" s="100">
        <v>2022</v>
      </c>
      <c r="E849" s="102">
        <f>[7]НОВЫЙ_МИНСТРОЙ!E769</f>
        <v>0</v>
      </c>
      <c r="F849" s="102">
        <f>[7]НОВЫЙ_МИНСТРОЙ!F769</f>
        <v>0</v>
      </c>
      <c r="G849" s="102">
        <f>[7]НОВЫЙ_МИНСТРОЙ!G769</f>
        <v>0</v>
      </c>
      <c r="H849" s="102">
        <f>[7]НОВЫЙ_МИНСТРОЙ!H769</f>
        <v>0</v>
      </c>
      <c r="I849" s="102">
        <f>[7]НОВЫЙ_МИНСТРОЙ!I769</f>
        <v>0</v>
      </c>
      <c r="J849" s="1296"/>
      <c r="K849" s="1296"/>
    </row>
    <row r="850" spans="1:13" outlineLevel="1">
      <c r="A850" s="1296"/>
      <c r="B850" s="1296"/>
      <c r="C850" s="1296"/>
      <c r="D850" s="100">
        <v>2023</v>
      </c>
      <c r="E850" s="102">
        <f>SUM(F850:I850)</f>
        <v>265001.71531</v>
      </c>
      <c r="F850" s="102">
        <f>[7]НОВЫЙ_МИНСТРОЙ!F770</f>
        <v>84525.085309999995</v>
      </c>
      <c r="G850" s="102">
        <f>[7]НОВЫЙ_МИНСТРОЙ!G770</f>
        <v>180476.63</v>
      </c>
      <c r="H850" s="102">
        <f>[7]НОВЫЙ_МИНСТРОЙ!H770</f>
        <v>0</v>
      </c>
      <c r="I850" s="102">
        <f>[7]НОВЫЙ_МИНСТРОЙ!I770</f>
        <v>0</v>
      </c>
      <c r="J850" s="1296"/>
      <c r="K850" s="1296"/>
    </row>
    <row r="851" spans="1:13" outlineLevel="1">
      <c r="A851" s="1296"/>
      <c r="B851" s="1296"/>
      <c r="C851" s="1296"/>
      <c r="D851" s="108">
        <v>2024</v>
      </c>
      <c r="E851" s="109">
        <f>[7]НОВЫЙ_МИНСТРОЙ!E771+36132.17522</f>
        <v>655147.14847000001</v>
      </c>
      <c r="F851" s="109">
        <f>[7]НОВЫЙ_МИНСТРОЙ!F771+36132.17522</f>
        <v>285038.54846999998</v>
      </c>
      <c r="G851" s="109">
        <f>[7]НОВЫЙ_МИНСТРОЙ!G771</f>
        <v>370108.6</v>
      </c>
      <c r="H851" s="109">
        <f>[7]НОВЫЙ_МИНСТРОЙ!H771</f>
        <v>0</v>
      </c>
      <c r="I851" s="109">
        <f>[7]НОВЫЙ_МИНСТРОЙ!I771</f>
        <v>0</v>
      </c>
      <c r="J851" s="1296"/>
      <c r="K851" s="1296"/>
      <c r="M851" s="103">
        <f>SUM(F847,F854,F861)</f>
        <v>1333903.63378</v>
      </c>
    </row>
    <row r="852" spans="1:13" outlineLevel="1">
      <c r="A852" s="1296"/>
      <c r="B852" s="1296"/>
      <c r="C852" s="1296"/>
      <c r="D852" s="100">
        <v>2025</v>
      </c>
      <c r="E852" s="102">
        <f>[7]НОВЫЙ_МИНСТРОЙ!E772</f>
        <v>0</v>
      </c>
      <c r="F852" s="102">
        <f>[7]НОВЫЙ_МИНСТРОЙ!F772</f>
        <v>0</v>
      </c>
      <c r="G852" s="102">
        <f>[7]НОВЫЙ_МИНСТРОЙ!G772</f>
        <v>0</v>
      </c>
      <c r="H852" s="102">
        <f>[7]НОВЫЙ_МИНСТРОЙ!H772</f>
        <v>0</v>
      </c>
      <c r="I852" s="102">
        <f>[7]НОВЫЙ_МИНСТРОЙ!I772</f>
        <v>0</v>
      </c>
      <c r="J852" s="1296"/>
      <c r="K852" s="1296"/>
    </row>
    <row r="853" spans="1:13" outlineLevel="1">
      <c r="A853" s="1297"/>
      <c r="B853" s="1297"/>
      <c r="C853" s="1297"/>
      <c r="D853" s="100">
        <v>2026</v>
      </c>
      <c r="E853" s="102">
        <v>0</v>
      </c>
      <c r="F853" s="102">
        <v>0</v>
      </c>
      <c r="G853" s="102">
        <v>0</v>
      </c>
      <c r="H853" s="102">
        <v>0</v>
      </c>
      <c r="I853" s="102">
        <v>0</v>
      </c>
      <c r="J853" s="1297"/>
      <c r="K853" s="1297"/>
    </row>
    <row r="854" spans="1:13" ht="12.75" customHeight="1" outlineLevel="1">
      <c r="A854" s="1295" t="s">
        <v>62</v>
      </c>
      <c r="B854" s="1295" t="s">
        <v>563</v>
      </c>
      <c r="C854" s="1295" t="s">
        <v>286</v>
      </c>
      <c r="D854" s="100" t="s">
        <v>3</v>
      </c>
      <c r="E854" s="102">
        <f>[7]НОВЫЙ_МИНСТРОЙ!E773</f>
        <v>249780</v>
      </c>
      <c r="F854" s="102">
        <f>[7]НОВЫЙ_МИНСТРОЙ!F773</f>
        <v>184340</v>
      </c>
      <c r="G854" s="102">
        <f>[7]НОВЫЙ_МИНСТРОЙ!G773</f>
        <v>65440</v>
      </c>
      <c r="H854" s="102">
        <f>[7]НОВЫЙ_МИНСТРОЙ!H773</f>
        <v>0</v>
      </c>
      <c r="I854" s="102">
        <f>[7]НОВЫЙ_МИНСТРОЙ!I773</f>
        <v>0</v>
      </c>
      <c r="J854" s="1295" t="s">
        <v>564</v>
      </c>
      <c r="K854" s="1295" t="s">
        <v>565</v>
      </c>
    </row>
    <row r="855" spans="1:13" ht="12.75" customHeight="1" outlineLevel="1">
      <c r="A855" s="1296"/>
      <c r="B855" s="1296"/>
      <c r="C855" s="1296"/>
      <c r="D855" s="100">
        <v>2021</v>
      </c>
      <c r="E855" s="102">
        <f>[7]НОВЫЙ_МИНСТРОЙ!E774</f>
        <v>0</v>
      </c>
      <c r="F855" s="102">
        <f>[7]НОВЫЙ_МИНСТРОЙ!F774</f>
        <v>0</v>
      </c>
      <c r="G855" s="102">
        <f>[7]НОВЫЙ_МИНСТРОЙ!G774</f>
        <v>0</v>
      </c>
      <c r="H855" s="102">
        <f>[7]НОВЫЙ_МИНСТРОЙ!H774</f>
        <v>0</v>
      </c>
      <c r="I855" s="102">
        <f>[7]НОВЫЙ_МИНСТРОЙ!I774</f>
        <v>0</v>
      </c>
      <c r="J855" s="1296"/>
      <c r="K855" s="1296"/>
    </row>
    <row r="856" spans="1:13" ht="12.75" customHeight="1" outlineLevel="1">
      <c r="A856" s="1296"/>
      <c r="B856" s="1296"/>
      <c r="C856" s="1296"/>
      <c r="D856" s="100">
        <v>2022</v>
      </c>
      <c r="E856" s="102">
        <f>[7]НОВЫЙ_МИНСТРОЙ!E775</f>
        <v>0</v>
      </c>
      <c r="F856" s="102">
        <f>[7]НОВЫЙ_МИНСТРОЙ!F775</f>
        <v>0</v>
      </c>
      <c r="G856" s="102">
        <f>[7]НОВЫЙ_МИНСТРОЙ!G775</f>
        <v>0</v>
      </c>
      <c r="H856" s="102">
        <f>[7]НОВЫЙ_МИНСТРОЙ!H775</f>
        <v>0</v>
      </c>
      <c r="I856" s="102">
        <f>[7]НОВЫЙ_МИНСТРОЙ!I775</f>
        <v>0</v>
      </c>
      <c r="J856" s="1296"/>
      <c r="K856" s="1296"/>
    </row>
    <row r="857" spans="1:13" ht="12.75" customHeight="1" outlineLevel="1">
      <c r="A857" s="1296"/>
      <c r="B857" s="1296"/>
      <c r="C857" s="1296"/>
      <c r="D857" s="100">
        <v>2023</v>
      </c>
      <c r="E857" s="102">
        <f>[7]НОВЫЙ_МИНСТРОЙ!E776</f>
        <v>65440</v>
      </c>
      <c r="F857" s="102">
        <f>[7]НОВЫЙ_МИНСТРОЙ!F776</f>
        <v>0</v>
      </c>
      <c r="G857" s="102">
        <f>[7]НОВЫЙ_МИНСТРОЙ!G776</f>
        <v>65440</v>
      </c>
      <c r="H857" s="102">
        <f>[7]НОВЫЙ_МИНСТРОЙ!H776</f>
        <v>0</v>
      </c>
      <c r="I857" s="102">
        <f>[7]НОВЫЙ_МИНСТРОЙ!I776</f>
        <v>0</v>
      </c>
      <c r="J857" s="1296"/>
      <c r="K857" s="1296"/>
    </row>
    <row r="858" spans="1:13" ht="12.75" customHeight="1" outlineLevel="1">
      <c r="A858" s="1296"/>
      <c r="B858" s="1296"/>
      <c r="C858" s="1296"/>
      <c r="D858" s="108">
        <v>2024</v>
      </c>
      <c r="E858" s="109">
        <f>[7]НОВЫЙ_МИНСТРОЙ!E777</f>
        <v>92170</v>
      </c>
      <c r="F858" s="109">
        <f>[7]НОВЫЙ_МИНСТРОЙ!F777</f>
        <v>92170</v>
      </c>
      <c r="G858" s="109">
        <f>[7]НОВЫЙ_МИНСТРОЙ!G777</f>
        <v>0</v>
      </c>
      <c r="H858" s="109">
        <f>[7]НОВЫЙ_МИНСТРОЙ!H777</f>
        <v>0</v>
      </c>
      <c r="I858" s="109">
        <f>[7]НОВЫЙ_МИНСТРОЙ!I777</f>
        <v>0</v>
      </c>
      <c r="J858" s="1296"/>
      <c r="K858" s="1296"/>
    </row>
    <row r="859" spans="1:13" ht="42.75" customHeight="1" outlineLevel="1">
      <c r="A859" s="1296"/>
      <c r="B859" s="1296"/>
      <c r="C859" s="1296"/>
      <c r="D859" s="100">
        <v>2025</v>
      </c>
      <c r="E859" s="102">
        <f>[7]НОВЫЙ_МИНСТРОЙ!E778</f>
        <v>92170</v>
      </c>
      <c r="F859" s="102">
        <f>[7]НОВЫЙ_МИНСТРОЙ!F778</f>
        <v>92170</v>
      </c>
      <c r="G859" s="102">
        <f>[7]НОВЫЙ_МИНСТРОЙ!G778</f>
        <v>0</v>
      </c>
      <c r="H859" s="102">
        <f>[7]НОВЫЙ_МИНСТРОЙ!H778</f>
        <v>0</v>
      </c>
      <c r="I859" s="102">
        <f>[7]НОВЫЙ_МИНСТРОЙ!I778</f>
        <v>0</v>
      </c>
      <c r="J859" s="1296"/>
      <c r="K859" s="1296"/>
    </row>
    <row r="860" spans="1:13" ht="17.25" customHeight="1" outlineLevel="1">
      <c r="A860" s="1297"/>
      <c r="B860" s="1297"/>
      <c r="C860" s="1297"/>
      <c r="D860" s="100">
        <v>2026</v>
      </c>
      <c r="E860" s="102">
        <v>0</v>
      </c>
      <c r="F860" s="102">
        <v>0</v>
      </c>
      <c r="G860" s="102">
        <v>0</v>
      </c>
      <c r="H860" s="102">
        <v>0</v>
      </c>
      <c r="I860" s="102">
        <v>0</v>
      </c>
      <c r="J860" s="1297"/>
      <c r="K860" s="1297"/>
    </row>
    <row r="861" spans="1:13" ht="12.75" customHeight="1" outlineLevel="1">
      <c r="A861" s="1295" t="s">
        <v>56</v>
      </c>
      <c r="B861" s="1295" t="s">
        <v>566</v>
      </c>
      <c r="C861" s="1295" t="s">
        <v>286</v>
      </c>
      <c r="D861" s="100" t="s">
        <v>3</v>
      </c>
      <c r="E861" s="102">
        <f>[7]НОВЫЙ_МИНСТРОЙ!E779</f>
        <v>831403.11</v>
      </c>
      <c r="F861" s="102">
        <f>[7]НОВЫЙ_МИНСТРОЙ!F779</f>
        <v>780000</v>
      </c>
      <c r="G861" s="102">
        <f>[7]НОВЫЙ_МИНСТРОЙ!G779</f>
        <v>51403.11</v>
      </c>
      <c r="H861" s="102">
        <f>[7]НОВЫЙ_МИНСТРОЙ!H779</f>
        <v>0</v>
      </c>
      <c r="I861" s="102">
        <f>[7]НОВЫЙ_МИНСТРОЙ!I779</f>
        <v>0</v>
      </c>
      <c r="J861" s="1295" t="s">
        <v>564</v>
      </c>
      <c r="K861" s="1295" t="s">
        <v>565</v>
      </c>
    </row>
    <row r="862" spans="1:13" outlineLevel="1">
      <c r="A862" s="1296"/>
      <c r="B862" s="1296"/>
      <c r="C862" s="1296"/>
      <c r="D862" s="100">
        <v>2021</v>
      </c>
      <c r="E862" s="102">
        <f>[7]НОВЫЙ_МИНСТРОЙ!E780</f>
        <v>0</v>
      </c>
      <c r="F862" s="102">
        <f>[7]НОВЫЙ_МИНСТРОЙ!F780</f>
        <v>0</v>
      </c>
      <c r="G862" s="102">
        <f>[7]НОВЫЙ_МИНСТРОЙ!G780</f>
        <v>0</v>
      </c>
      <c r="H862" s="102">
        <f>[7]НОВЫЙ_МИНСТРОЙ!H780</f>
        <v>0</v>
      </c>
      <c r="I862" s="102">
        <f>[7]НОВЫЙ_МИНСТРОЙ!I780</f>
        <v>0</v>
      </c>
      <c r="J862" s="1296"/>
      <c r="K862" s="1296"/>
    </row>
    <row r="863" spans="1:13" outlineLevel="1">
      <c r="A863" s="1296"/>
      <c r="B863" s="1296"/>
      <c r="C863" s="1296"/>
      <c r="D863" s="100">
        <v>2022</v>
      </c>
      <c r="E863" s="102">
        <f>[7]НОВЫЙ_МИНСТРОЙ!E781</f>
        <v>0</v>
      </c>
      <c r="F863" s="102">
        <f>[7]НОВЫЙ_МИНСТРОЙ!F781</f>
        <v>0</v>
      </c>
      <c r="G863" s="102">
        <f>[7]НОВЫЙ_МИНСТРОЙ!G781</f>
        <v>0</v>
      </c>
      <c r="H863" s="102">
        <f>[7]НОВЫЙ_МИНСТРОЙ!H781</f>
        <v>0</v>
      </c>
      <c r="I863" s="102">
        <f>[7]НОВЫЙ_МИНСТРОЙ!I781</f>
        <v>0</v>
      </c>
      <c r="J863" s="1296"/>
      <c r="K863" s="1296"/>
    </row>
    <row r="864" spans="1:13" outlineLevel="1">
      <c r="A864" s="1296"/>
      <c r="B864" s="1296"/>
      <c r="C864" s="1296"/>
      <c r="D864" s="100">
        <v>2023</v>
      </c>
      <c r="E864" s="102">
        <f>[7]НОВЫЙ_МИНСТРОЙ!E782</f>
        <v>51403.11</v>
      </c>
      <c r="F864" s="102">
        <f>[7]НОВЫЙ_МИНСТРОЙ!F782</f>
        <v>0</v>
      </c>
      <c r="G864" s="102">
        <f>[7]НОВЫЙ_МИНСТРОЙ!G782</f>
        <v>51403.11</v>
      </c>
      <c r="H864" s="102">
        <f>[7]НОВЫЙ_МИНСТРОЙ!H782</f>
        <v>0</v>
      </c>
      <c r="I864" s="102">
        <f>[7]НОВЫЙ_МИНСТРОЙ!I782</f>
        <v>0</v>
      </c>
      <c r="J864" s="1296"/>
      <c r="K864" s="1296"/>
    </row>
    <row r="865" spans="1:13" outlineLevel="1">
      <c r="A865" s="1296"/>
      <c r="B865" s="1296"/>
      <c r="C865" s="1296"/>
      <c r="D865" s="108">
        <v>2024</v>
      </c>
      <c r="E865" s="109">
        <f>[7]НОВЫЙ_МИНСТРОЙ!E783</f>
        <v>390000</v>
      </c>
      <c r="F865" s="109">
        <f>[7]НОВЫЙ_МИНСТРОЙ!F783</f>
        <v>390000</v>
      </c>
      <c r="G865" s="109">
        <f>[7]НОВЫЙ_МИНСТРОЙ!G783</f>
        <v>0</v>
      </c>
      <c r="H865" s="109">
        <f>[7]НОВЫЙ_МИНСТРОЙ!H783</f>
        <v>0</v>
      </c>
      <c r="I865" s="109">
        <f>[7]НОВЫЙ_МИНСТРОЙ!I783</f>
        <v>0</v>
      </c>
      <c r="J865" s="1296"/>
      <c r="K865" s="1296"/>
    </row>
    <row r="866" spans="1:13" ht="48.75" customHeight="1" outlineLevel="1">
      <c r="A866" s="1296"/>
      <c r="B866" s="1296"/>
      <c r="C866" s="1296"/>
      <c r="D866" s="100">
        <v>2025</v>
      </c>
      <c r="E866" s="102">
        <f>[7]НОВЫЙ_МИНСТРОЙ!E784</f>
        <v>390000</v>
      </c>
      <c r="F866" s="102">
        <f>[7]НОВЫЙ_МИНСТРОЙ!F784</f>
        <v>390000</v>
      </c>
      <c r="G866" s="102">
        <f>[7]НОВЫЙ_МИНСТРОЙ!G784</f>
        <v>0</v>
      </c>
      <c r="H866" s="102">
        <f>[7]НОВЫЙ_МИНСТРОЙ!H784</f>
        <v>0</v>
      </c>
      <c r="I866" s="102">
        <f>[7]НОВЫЙ_МИНСТРОЙ!I784</f>
        <v>0</v>
      </c>
      <c r="J866" s="1296"/>
      <c r="K866" s="1296"/>
    </row>
    <row r="867" spans="1:13" ht="17.25" customHeight="1" outlineLevel="1">
      <c r="A867" s="1297"/>
      <c r="B867" s="1297"/>
      <c r="C867" s="1297"/>
      <c r="D867" s="100">
        <v>2026</v>
      </c>
      <c r="E867" s="102">
        <v>0</v>
      </c>
      <c r="F867" s="102">
        <v>0</v>
      </c>
      <c r="G867" s="102">
        <v>0</v>
      </c>
      <c r="H867" s="102">
        <v>0</v>
      </c>
      <c r="I867" s="102">
        <v>0</v>
      </c>
      <c r="J867" s="1297"/>
      <c r="K867" s="1297"/>
    </row>
    <row r="868" spans="1:13" ht="12.75" customHeight="1" outlineLevel="1">
      <c r="A868" s="1295" t="s">
        <v>567</v>
      </c>
      <c r="B868" s="1295" t="s">
        <v>568</v>
      </c>
      <c r="C868" s="1295" t="s">
        <v>286</v>
      </c>
      <c r="D868" s="100" t="s">
        <v>3</v>
      </c>
      <c r="E868" s="102">
        <f t="shared" ref="E868:I873" si="54">SUM(E875,E882)</f>
        <v>187892.8</v>
      </c>
      <c r="F868" s="102">
        <f t="shared" si="54"/>
        <v>186006.66899999999</v>
      </c>
      <c r="G868" s="102">
        <f t="shared" si="54"/>
        <v>0</v>
      </c>
      <c r="H868" s="102">
        <f t="shared" si="54"/>
        <v>1886.1310000000001</v>
      </c>
      <c r="I868" s="102">
        <f t="shared" si="54"/>
        <v>0</v>
      </c>
      <c r="J868" s="1295" t="s">
        <v>569</v>
      </c>
      <c r="K868" s="1295" t="s">
        <v>570</v>
      </c>
    </row>
    <row r="869" spans="1:13" outlineLevel="1">
      <c r="A869" s="1296"/>
      <c r="B869" s="1296"/>
      <c r="C869" s="1296"/>
      <c r="D869" s="100">
        <v>2021</v>
      </c>
      <c r="E869" s="102">
        <f t="shared" si="54"/>
        <v>0</v>
      </c>
      <c r="F869" s="102">
        <f t="shared" si="54"/>
        <v>0</v>
      </c>
      <c r="G869" s="102">
        <f t="shared" si="54"/>
        <v>0</v>
      </c>
      <c r="H869" s="102">
        <f t="shared" si="54"/>
        <v>0</v>
      </c>
      <c r="I869" s="102">
        <f t="shared" si="54"/>
        <v>0</v>
      </c>
      <c r="J869" s="1296"/>
      <c r="K869" s="1296"/>
    </row>
    <row r="870" spans="1:13" outlineLevel="1">
      <c r="A870" s="1296"/>
      <c r="B870" s="1296"/>
      <c r="C870" s="1296"/>
      <c r="D870" s="100">
        <v>2022</v>
      </c>
      <c r="E870" s="102">
        <f t="shared" si="54"/>
        <v>0</v>
      </c>
      <c r="F870" s="102">
        <f t="shared" si="54"/>
        <v>0</v>
      </c>
      <c r="G870" s="102">
        <f t="shared" si="54"/>
        <v>0</v>
      </c>
      <c r="H870" s="102">
        <f t="shared" si="54"/>
        <v>0</v>
      </c>
      <c r="I870" s="102">
        <f t="shared" si="54"/>
        <v>0</v>
      </c>
      <c r="J870" s="1296"/>
      <c r="K870" s="1296"/>
    </row>
    <row r="871" spans="1:13" outlineLevel="1">
      <c r="A871" s="1296"/>
      <c r="B871" s="1296"/>
      <c r="C871" s="1296"/>
      <c r="D871" s="100">
        <v>2023</v>
      </c>
      <c r="E871" s="102">
        <f t="shared" si="54"/>
        <v>28290</v>
      </c>
      <c r="F871" s="102">
        <f t="shared" si="54"/>
        <v>28000</v>
      </c>
      <c r="G871" s="102">
        <f t="shared" si="54"/>
        <v>0</v>
      </c>
      <c r="H871" s="102">
        <f t="shared" si="54"/>
        <v>290</v>
      </c>
      <c r="I871" s="102">
        <f t="shared" si="54"/>
        <v>0</v>
      </c>
      <c r="J871" s="1296"/>
      <c r="K871" s="1296"/>
    </row>
    <row r="872" spans="1:13" outlineLevel="1">
      <c r="A872" s="1296"/>
      <c r="B872" s="1296"/>
      <c r="C872" s="1296"/>
      <c r="D872" s="108">
        <v>2024</v>
      </c>
      <c r="E872" s="109">
        <f t="shared" si="54"/>
        <v>80355</v>
      </c>
      <c r="F872" s="109">
        <f t="shared" si="54"/>
        <v>79551.453999999998</v>
      </c>
      <c r="G872" s="109">
        <f t="shared" si="54"/>
        <v>0</v>
      </c>
      <c r="H872" s="109">
        <f t="shared" si="54"/>
        <v>803.54600000000005</v>
      </c>
      <c r="I872" s="109">
        <f t="shared" si="54"/>
        <v>0</v>
      </c>
      <c r="J872" s="1296"/>
      <c r="K872" s="1296"/>
    </row>
    <row r="873" spans="1:13" outlineLevel="1">
      <c r="A873" s="1296"/>
      <c r="B873" s="1296"/>
      <c r="C873" s="1296"/>
      <c r="D873" s="100">
        <v>2025</v>
      </c>
      <c r="E873" s="102">
        <f t="shared" si="54"/>
        <v>79247.8</v>
      </c>
      <c r="F873" s="102">
        <f t="shared" si="54"/>
        <v>78455.214999999997</v>
      </c>
      <c r="G873" s="102">
        <f t="shared" si="54"/>
        <v>0</v>
      </c>
      <c r="H873" s="102">
        <f t="shared" si="54"/>
        <v>792.58500000000004</v>
      </c>
      <c r="I873" s="102">
        <f t="shared" si="54"/>
        <v>0</v>
      </c>
      <c r="J873" s="1296"/>
      <c r="K873" s="1296"/>
    </row>
    <row r="874" spans="1:13" outlineLevel="1">
      <c r="A874" s="1297"/>
      <c r="B874" s="1297"/>
      <c r="C874" s="1297"/>
      <c r="D874" s="100">
        <v>2026</v>
      </c>
      <c r="E874" s="102">
        <v>0</v>
      </c>
      <c r="F874" s="102">
        <v>0</v>
      </c>
      <c r="G874" s="102">
        <v>0</v>
      </c>
      <c r="H874" s="102">
        <v>0</v>
      </c>
      <c r="I874" s="102">
        <v>0</v>
      </c>
      <c r="J874" s="1297"/>
      <c r="K874" s="1297"/>
    </row>
    <row r="875" spans="1:13" ht="12.75" customHeight="1" outlineLevel="1">
      <c r="A875" s="1295" t="s">
        <v>571</v>
      </c>
      <c r="B875" s="1295" t="s">
        <v>572</v>
      </c>
      <c r="C875" s="1295" t="s">
        <v>286</v>
      </c>
      <c r="D875" s="100" t="s">
        <v>3</v>
      </c>
      <c r="E875" s="102">
        <f>[7]НОВЫЙ_МИНСТРОЙ!E791</f>
        <v>138499.6</v>
      </c>
      <c r="F875" s="102">
        <f>[7]НОВЫЙ_МИНСТРОЙ!F791</f>
        <v>137107.46900000001</v>
      </c>
      <c r="G875" s="102">
        <f>[7]НОВЫЙ_МИНСТРОЙ!G791</f>
        <v>0</v>
      </c>
      <c r="H875" s="102">
        <f>[7]НОВЫЙ_МИНСТРОЙ!H791</f>
        <v>1392.1310000000001</v>
      </c>
      <c r="I875" s="102">
        <f>[7]НОВЫЙ_МИНСТРОЙ!I791</f>
        <v>0</v>
      </c>
      <c r="J875" s="1295" t="s">
        <v>573</v>
      </c>
      <c r="K875" s="1295" t="s">
        <v>574</v>
      </c>
    </row>
    <row r="876" spans="1:13" outlineLevel="1">
      <c r="A876" s="1296"/>
      <c r="B876" s="1296"/>
      <c r="C876" s="1296"/>
      <c r="D876" s="100">
        <v>2021</v>
      </c>
      <c r="E876" s="102">
        <f>[7]НОВЫЙ_МИНСТРОЙ!E792</f>
        <v>0</v>
      </c>
      <c r="F876" s="102">
        <f>[7]НОВЫЙ_МИНСТРОЙ!F792</f>
        <v>0</v>
      </c>
      <c r="G876" s="102">
        <f>[7]НОВЫЙ_МИНСТРОЙ!G792</f>
        <v>0</v>
      </c>
      <c r="H876" s="102">
        <f>[7]НОВЫЙ_МИНСТРОЙ!H792</f>
        <v>0</v>
      </c>
      <c r="I876" s="102">
        <f>[7]НОВЫЙ_МИНСТРОЙ!I792</f>
        <v>0</v>
      </c>
      <c r="J876" s="1296"/>
      <c r="K876" s="1296"/>
      <c r="M876" s="99">
        <f>SUM(E875,E882)</f>
        <v>187892.8</v>
      </c>
    </row>
    <row r="877" spans="1:13" outlineLevel="1">
      <c r="A877" s="1296"/>
      <c r="B877" s="1296"/>
      <c r="C877" s="1296"/>
      <c r="D877" s="100">
        <v>2022</v>
      </c>
      <c r="E877" s="102">
        <f>[7]НОВЫЙ_МИНСТРОЙ!E793</f>
        <v>0</v>
      </c>
      <c r="F877" s="102">
        <f>[7]НОВЫЙ_МИНСТРОЙ!F793</f>
        <v>0</v>
      </c>
      <c r="G877" s="102">
        <f>[7]НОВЫЙ_МИНСТРОЙ!G793</f>
        <v>0</v>
      </c>
      <c r="H877" s="102">
        <f>[7]НОВЫЙ_МИНСТРОЙ!H793</f>
        <v>0</v>
      </c>
      <c r="I877" s="102">
        <f>[7]НОВЫЙ_МИНСТРОЙ!I793</f>
        <v>0</v>
      </c>
      <c r="J877" s="1296"/>
      <c r="K877" s="1296"/>
    </row>
    <row r="878" spans="1:13" outlineLevel="1">
      <c r="A878" s="1296"/>
      <c r="B878" s="1296"/>
      <c r="C878" s="1296"/>
      <c r="D878" s="100">
        <v>2023</v>
      </c>
      <c r="E878" s="102">
        <f>[7]НОВЫЙ_МИНСТРОЙ!E794</f>
        <v>20666.5</v>
      </c>
      <c r="F878" s="102">
        <f>[7]НОВЫЙ_МИНСТРОЙ!F794</f>
        <v>20452.7</v>
      </c>
      <c r="G878" s="102">
        <f>[7]НОВЫЙ_МИНСТРОЙ!G794</f>
        <v>0</v>
      </c>
      <c r="H878" s="102">
        <f>[7]НОВЫЙ_МИНСТРОЙ!H794</f>
        <v>213.8</v>
      </c>
      <c r="I878" s="102">
        <f>[7]НОВЫЙ_МИНСТРОЙ!I794</f>
        <v>0</v>
      </c>
      <c r="J878" s="1296"/>
      <c r="K878" s="1296"/>
    </row>
    <row r="879" spans="1:13" outlineLevel="1">
      <c r="A879" s="1296"/>
      <c r="B879" s="1296"/>
      <c r="C879" s="1296"/>
      <c r="D879" s="108">
        <v>2024</v>
      </c>
      <c r="E879" s="109">
        <f>[7]НОВЫЙ_МИНСТРОЙ!E795</f>
        <v>59324.6</v>
      </c>
      <c r="F879" s="109">
        <f>[7]НОВЫЙ_МИНСТРОЙ!F795</f>
        <v>58731.353999999999</v>
      </c>
      <c r="G879" s="109">
        <f>[7]НОВЫЙ_МИНСТРОЙ!G795</f>
        <v>0</v>
      </c>
      <c r="H879" s="109">
        <f>[7]НОВЫЙ_МИНСТРОЙ!H795</f>
        <v>593.24599999999998</v>
      </c>
      <c r="I879" s="109">
        <f>[7]НОВЫЙ_МИНСТРОЙ!I795</f>
        <v>0</v>
      </c>
      <c r="J879" s="1296"/>
      <c r="K879" s="1296"/>
    </row>
    <row r="880" spans="1:13" outlineLevel="1">
      <c r="A880" s="1296"/>
      <c r="B880" s="1296"/>
      <c r="C880" s="1296"/>
      <c r="D880" s="100">
        <v>2025</v>
      </c>
      <c r="E880" s="102">
        <f>[7]НОВЫЙ_МИНСТРОЙ!E796</f>
        <v>58508.5</v>
      </c>
      <c r="F880" s="102">
        <f>[7]НОВЫЙ_МИНСТРОЙ!F796</f>
        <v>57923.415000000001</v>
      </c>
      <c r="G880" s="102">
        <f>[7]НОВЫЙ_МИНСТРОЙ!G796</f>
        <v>0</v>
      </c>
      <c r="H880" s="102">
        <f>[7]НОВЫЙ_МИНСТРОЙ!H796</f>
        <v>585.08500000000004</v>
      </c>
      <c r="I880" s="102">
        <f>[7]НОВЫЙ_МИНСТРОЙ!I796</f>
        <v>0</v>
      </c>
      <c r="J880" s="1296"/>
      <c r="K880" s="1296"/>
    </row>
    <row r="881" spans="1:13" outlineLevel="1">
      <c r="A881" s="1297"/>
      <c r="B881" s="1297"/>
      <c r="C881" s="1297"/>
      <c r="D881" s="100">
        <v>2026</v>
      </c>
      <c r="E881" s="102">
        <v>0</v>
      </c>
      <c r="F881" s="102">
        <v>0</v>
      </c>
      <c r="G881" s="102">
        <v>0</v>
      </c>
      <c r="H881" s="102">
        <v>0</v>
      </c>
      <c r="I881" s="102">
        <v>0</v>
      </c>
      <c r="J881" s="1297"/>
      <c r="K881" s="1297"/>
    </row>
    <row r="882" spans="1:13" ht="15" customHeight="1" outlineLevel="1">
      <c r="A882" s="1295" t="s">
        <v>575</v>
      </c>
      <c r="B882" s="1295" t="s">
        <v>576</v>
      </c>
      <c r="C882" s="1295" t="s">
        <v>286</v>
      </c>
      <c r="D882" s="100" t="s">
        <v>3</v>
      </c>
      <c r="E882" s="102">
        <f t="shared" ref="E882:E887" si="55">SUM(F882:I882)</f>
        <v>49393.2</v>
      </c>
      <c r="F882" s="102">
        <f>SUM(F883:F887)</f>
        <v>48899.199999999997</v>
      </c>
      <c r="G882" s="102">
        <f>SUM(G883:G887)</f>
        <v>0</v>
      </c>
      <c r="H882" s="102">
        <f>SUM(H883:H887)</f>
        <v>494</v>
      </c>
      <c r="I882" s="102">
        <f>SUM(I883:I887)</f>
        <v>0</v>
      </c>
      <c r="J882" s="1295" t="s">
        <v>573</v>
      </c>
      <c r="K882" s="1295" t="s">
        <v>574</v>
      </c>
    </row>
    <row r="883" spans="1:13" outlineLevel="1">
      <c r="A883" s="1296"/>
      <c r="B883" s="1296"/>
      <c r="C883" s="1296"/>
      <c r="D883" s="100">
        <v>2021</v>
      </c>
      <c r="E883" s="102">
        <f t="shared" si="55"/>
        <v>0</v>
      </c>
      <c r="F883" s="102">
        <v>0</v>
      </c>
      <c r="G883" s="102">
        <v>0</v>
      </c>
      <c r="H883" s="102">
        <v>0</v>
      </c>
      <c r="I883" s="102">
        <v>0</v>
      </c>
      <c r="J883" s="1296"/>
      <c r="K883" s="1296"/>
    </row>
    <row r="884" spans="1:13" outlineLevel="1">
      <c r="A884" s="1296"/>
      <c r="B884" s="1296"/>
      <c r="C884" s="1296"/>
      <c r="D884" s="100">
        <v>2022</v>
      </c>
      <c r="E884" s="102">
        <f t="shared" si="55"/>
        <v>0</v>
      </c>
      <c r="F884" s="102">
        <v>0</v>
      </c>
      <c r="G884" s="102">
        <v>0</v>
      </c>
      <c r="H884" s="102">
        <v>0</v>
      </c>
      <c r="I884" s="102">
        <v>0</v>
      </c>
      <c r="J884" s="1296"/>
      <c r="K884" s="1296"/>
      <c r="M884" s="99">
        <f>SUM(F885,F878)</f>
        <v>28000</v>
      </c>
    </row>
    <row r="885" spans="1:13" outlineLevel="1">
      <c r="A885" s="1296"/>
      <c r="B885" s="1296"/>
      <c r="C885" s="1296"/>
      <c r="D885" s="100">
        <v>2023</v>
      </c>
      <c r="E885" s="102">
        <f t="shared" si="55"/>
        <v>7623.5</v>
      </c>
      <c r="F885" s="102">
        <v>7547.3</v>
      </c>
      <c r="G885" s="102">
        <v>0</v>
      </c>
      <c r="H885" s="102">
        <v>76.2</v>
      </c>
      <c r="I885" s="102">
        <v>0</v>
      </c>
      <c r="J885" s="1296"/>
      <c r="K885" s="1296"/>
    </row>
    <row r="886" spans="1:13" outlineLevel="1">
      <c r="A886" s="1296"/>
      <c r="B886" s="1296"/>
      <c r="C886" s="1296"/>
      <c r="D886" s="108">
        <v>2024</v>
      </c>
      <c r="E886" s="109">
        <f t="shared" si="55"/>
        <v>21030.399999999998</v>
      </c>
      <c r="F886" s="109">
        <v>20820.099999999999</v>
      </c>
      <c r="G886" s="109">
        <v>0</v>
      </c>
      <c r="H886" s="109">
        <v>210.3</v>
      </c>
      <c r="I886" s="109">
        <v>0</v>
      </c>
      <c r="J886" s="1296"/>
      <c r="K886" s="1296"/>
    </row>
    <row r="887" spans="1:13" outlineLevel="1">
      <c r="A887" s="1296"/>
      <c r="B887" s="1296"/>
      <c r="C887" s="1296"/>
      <c r="D887" s="100">
        <v>2025</v>
      </c>
      <c r="E887" s="102">
        <f t="shared" si="55"/>
        <v>20739.3</v>
      </c>
      <c r="F887" s="102">
        <v>20531.8</v>
      </c>
      <c r="G887" s="102">
        <v>0</v>
      </c>
      <c r="H887" s="102">
        <v>207.5</v>
      </c>
      <c r="I887" s="102">
        <v>0</v>
      </c>
      <c r="J887" s="1296"/>
      <c r="K887" s="1296"/>
    </row>
    <row r="888" spans="1:13" outlineLevel="1">
      <c r="A888" s="1297"/>
      <c r="B888" s="1297"/>
      <c r="C888" s="1297"/>
      <c r="D888" s="100">
        <v>2026</v>
      </c>
      <c r="E888" s="102">
        <v>0</v>
      </c>
      <c r="F888" s="102">
        <v>0</v>
      </c>
      <c r="G888" s="102">
        <v>0</v>
      </c>
      <c r="H888" s="102">
        <v>0</v>
      </c>
      <c r="I888" s="102">
        <v>0</v>
      </c>
      <c r="J888" s="1297"/>
      <c r="K888" s="1297"/>
    </row>
    <row r="889" spans="1:13" ht="15" customHeight="1">
      <c r="A889" s="1295" t="s">
        <v>100</v>
      </c>
      <c r="B889" s="1295" t="s">
        <v>55</v>
      </c>
      <c r="C889" s="1295" t="s">
        <v>235</v>
      </c>
      <c r="D889" s="100" t="s">
        <v>3</v>
      </c>
      <c r="E889" s="102">
        <f t="shared" si="53"/>
        <v>1332523.3980899998</v>
      </c>
      <c r="F889" s="102">
        <f>SUM(F890:F895)</f>
        <v>739465.16107999999</v>
      </c>
      <c r="G889" s="102">
        <f>SUM(G890:G894)</f>
        <v>562487.59899999993</v>
      </c>
      <c r="H889" s="102">
        <f>SUM(H890:H894)</f>
        <v>30570.638009999973</v>
      </c>
      <c r="I889" s="102">
        <f>SUM(I890:I894)</f>
        <v>0</v>
      </c>
      <c r="J889" s="1295" t="s">
        <v>81</v>
      </c>
      <c r="K889" s="1295" t="s">
        <v>577</v>
      </c>
    </row>
    <row r="890" spans="1:13" ht="14.25" customHeight="1">
      <c r="A890" s="1296"/>
      <c r="B890" s="1296"/>
      <c r="C890" s="1296"/>
      <c r="D890" s="100">
        <v>2021</v>
      </c>
      <c r="E890" s="102">
        <f t="shared" si="53"/>
        <v>277483.179</v>
      </c>
      <c r="F890" s="102">
        <f t="shared" ref="F890:I894" si="56">F897+F904+F911+F918</f>
        <v>19160.86</v>
      </c>
      <c r="G890" s="102">
        <f t="shared" si="56"/>
        <v>257488.69899999999</v>
      </c>
      <c r="H890" s="102">
        <f t="shared" si="56"/>
        <v>833.61999999999989</v>
      </c>
      <c r="I890" s="102">
        <f t="shared" si="56"/>
        <v>0</v>
      </c>
      <c r="J890" s="1296"/>
      <c r="K890" s="1296"/>
    </row>
    <row r="891" spans="1:13">
      <c r="A891" s="1296"/>
      <c r="B891" s="1296"/>
      <c r="C891" s="1296"/>
      <c r="D891" s="100">
        <v>2022</v>
      </c>
      <c r="E891" s="102">
        <f t="shared" si="53"/>
        <v>684506.5541999999</v>
      </c>
      <c r="F891" s="102">
        <f t="shared" si="56"/>
        <v>488280.63192999997</v>
      </c>
      <c r="G891" s="102">
        <f t="shared" si="56"/>
        <v>177607.9</v>
      </c>
      <c r="H891" s="102">
        <f t="shared" si="56"/>
        <v>18618.022270000001</v>
      </c>
      <c r="I891" s="102">
        <f t="shared" si="56"/>
        <v>0</v>
      </c>
      <c r="J891" s="1296"/>
      <c r="K891" s="1296"/>
    </row>
    <row r="892" spans="1:13">
      <c r="A892" s="1296"/>
      <c r="B892" s="1296"/>
      <c r="C892" s="1296"/>
      <c r="D892" s="100">
        <v>2023</v>
      </c>
      <c r="E892" s="102">
        <f t="shared" si="53"/>
        <v>139473.16488999996</v>
      </c>
      <c r="F892" s="102">
        <f t="shared" si="56"/>
        <v>11675.569150000007</v>
      </c>
      <c r="G892" s="102">
        <f t="shared" si="56"/>
        <v>127391</v>
      </c>
      <c r="H892" s="102">
        <f t="shared" si="56"/>
        <v>406.59573999997519</v>
      </c>
      <c r="I892" s="102">
        <f t="shared" si="56"/>
        <v>0</v>
      </c>
      <c r="J892" s="1296"/>
      <c r="K892" s="1296"/>
    </row>
    <row r="893" spans="1:13">
      <c r="A893" s="1296"/>
      <c r="B893" s="1296"/>
      <c r="C893" s="1296"/>
      <c r="D893" s="108">
        <v>2024</v>
      </c>
      <c r="E893" s="109">
        <f t="shared" si="53"/>
        <v>218560.5</v>
      </c>
      <c r="F893" s="109">
        <f t="shared" si="56"/>
        <v>207848.1</v>
      </c>
      <c r="G893" s="109">
        <f t="shared" si="56"/>
        <v>0</v>
      </c>
      <c r="H893" s="109">
        <f t="shared" si="56"/>
        <v>10712.4</v>
      </c>
      <c r="I893" s="109">
        <f t="shared" si="56"/>
        <v>0</v>
      </c>
      <c r="J893" s="1296"/>
      <c r="K893" s="1296"/>
    </row>
    <row r="894" spans="1:13">
      <c r="A894" s="1296"/>
      <c r="B894" s="1296"/>
      <c r="C894" s="1296"/>
      <c r="D894" s="100">
        <v>2025</v>
      </c>
      <c r="E894" s="102">
        <f t="shared" si="53"/>
        <v>6250</v>
      </c>
      <c r="F894" s="102">
        <f t="shared" si="56"/>
        <v>6250</v>
      </c>
      <c r="G894" s="102">
        <f t="shared" si="56"/>
        <v>0</v>
      </c>
      <c r="H894" s="102">
        <f t="shared" si="56"/>
        <v>0</v>
      </c>
      <c r="I894" s="102">
        <f t="shared" si="56"/>
        <v>0</v>
      </c>
      <c r="J894" s="1296"/>
      <c r="K894" s="1296"/>
    </row>
    <row r="895" spans="1:13">
      <c r="A895" s="1297"/>
      <c r="B895" s="1297"/>
      <c r="C895" s="1297"/>
      <c r="D895" s="100">
        <v>2026</v>
      </c>
      <c r="E895" s="102">
        <f>SUM(F895:I895)</f>
        <v>6250</v>
      </c>
      <c r="F895" s="102">
        <f>SUM(F902)</f>
        <v>6250</v>
      </c>
      <c r="G895" s="102">
        <f t="shared" ref="G895:I895" si="57">SUM(G902)</f>
        <v>0</v>
      </c>
      <c r="H895" s="102">
        <f t="shared" si="57"/>
        <v>0</v>
      </c>
      <c r="I895" s="102">
        <f t="shared" si="57"/>
        <v>0</v>
      </c>
      <c r="J895" s="1297"/>
      <c r="K895" s="1297"/>
    </row>
    <row r="896" spans="1:13" ht="21" customHeight="1">
      <c r="A896" s="1295" t="s">
        <v>578</v>
      </c>
      <c r="B896" s="1295" t="s">
        <v>44</v>
      </c>
      <c r="C896" s="1295" t="s">
        <v>235</v>
      </c>
      <c r="D896" s="100" t="s">
        <v>3</v>
      </c>
      <c r="E896" s="102">
        <f t="shared" si="53"/>
        <v>30058.75</v>
      </c>
      <c r="F896" s="102">
        <f>SUM(F897:F902)</f>
        <v>30058.75</v>
      </c>
      <c r="G896" s="102">
        <f>SUM(G897:G901)</f>
        <v>0</v>
      </c>
      <c r="H896" s="102">
        <f>SUM(H897:H901)</f>
        <v>0</v>
      </c>
      <c r="I896" s="102">
        <f>SUM(I897:I901)</f>
        <v>0</v>
      </c>
      <c r="J896" s="1298" t="s">
        <v>579</v>
      </c>
      <c r="K896" s="1295" t="s">
        <v>65</v>
      </c>
      <c r="L896" s="1301" t="s">
        <v>580</v>
      </c>
    </row>
    <row r="897" spans="1:12" ht="21" customHeight="1">
      <c r="A897" s="1296"/>
      <c r="B897" s="1296"/>
      <c r="C897" s="1296"/>
      <c r="D897" s="100">
        <v>2021</v>
      </c>
      <c r="E897" s="102">
        <f t="shared" si="53"/>
        <v>3320.7</v>
      </c>
      <c r="F897" s="102">
        <v>3320.7</v>
      </c>
      <c r="G897" s="102">
        <v>0</v>
      </c>
      <c r="H897" s="102">
        <v>0</v>
      </c>
      <c r="I897" s="102">
        <v>0</v>
      </c>
      <c r="J897" s="1299"/>
      <c r="K897" s="1296"/>
      <c r="L897" s="1301"/>
    </row>
    <row r="898" spans="1:12" ht="21" customHeight="1">
      <c r="A898" s="1296"/>
      <c r="B898" s="1296"/>
      <c r="C898" s="1296"/>
      <c r="D898" s="100">
        <v>2022</v>
      </c>
      <c r="E898" s="102">
        <f t="shared" si="53"/>
        <v>5975.3</v>
      </c>
      <c r="F898" s="102">
        <v>5975.3</v>
      </c>
      <c r="G898" s="102">
        <v>0</v>
      </c>
      <c r="H898" s="102">
        <v>0</v>
      </c>
      <c r="I898" s="102">
        <v>0</v>
      </c>
      <c r="J898" s="1299"/>
      <c r="K898" s="1296"/>
      <c r="L898" s="1301"/>
    </row>
    <row r="899" spans="1:12" ht="21" customHeight="1">
      <c r="A899" s="1296"/>
      <c r="B899" s="1296"/>
      <c r="C899" s="1296"/>
      <c r="D899" s="100">
        <v>2023</v>
      </c>
      <c r="E899" s="102">
        <f t="shared" si="53"/>
        <v>3950.25</v>
      </c>
      <c r="F899" s="102">
        <f>6250-2299.75</f>
        <v>3950.25</v>
      </c>
      <c r="G899" s="102">
        <v>0</v>
      </c>
      <c r="H899" s="102">
        <v>0</v>
      </c>
      <c r="I899" s="102">
        <v>0</v>
      </c>
      <c r="J899" s="1299"/>
      <c r="K899" s="1296"/>
      <c r="L899" s="1301"/>
    </row>
    <row r="900" spans="1:12" ht="21" customHeight="1">
      <c r="A900" s="1296"/>
      <c r="B900" s="1296"/>
      <c r="C900" s="1296"/>
      <c r="D900" s="108">
        <v>2024</v>
      </c>
      <c r="E900" s="109">
        <f t="shared" si="53"/>
        <v>4312.5</v>
      </c>
      <c r="F900" s="109">
        <f>6250-1937.5</f>
        <v>4312.5</v>
      </c>
      <c r="G900" s="109">
        <v>0</v>
      </c>
      <c r="H900" s="109">
        <v>0</v>
      </c>
      <c r="I900" s="109">
        <v>0</v>
      </c>
      <c r="J900" s="1299"/>
      <c r="K900" s="1296"/>
      <c r="L900" s="1301"/>
    </row>
    <row r="901" spans="1:12" ht="21" customHeight="1">
      <c r="A901" s="1296"/>
      <c r="B901" s="1296"/>
      <c r="C901" s="1296"/>
      <c r="D901" s="100">
        <v>2025</v>
      </c>
      <c r="E901" s="102">
        <f t="shared" si="53"/>
        <v>6250</v>
      </c>
      <c r="F901" s="102">
        <v>6250</v>
      </c>
      <c r="G901" s="102">
        <v>0</v>
      </c>
      <c r="H901" s="102">
        <v>0</v>
      </c>
      <c r="I901" s="102">
        <v>0</v>
      </c>
      <c r="J901" s="1299"/>
      <c r="K901" s="1296"/>
      <c r="L901" s="1301"/>
    </row>
    <row r="902" spans="1:12" ht="21" customHeight="1">
      <c r="A902" s="1297"/>
      <c r="B902" s="1297"/>
      <c r="C902" s="1297"/>
      <c r="D902" s="100">
        <v>2026</v>
      </c>
      <c r="E902" s="102">
        <f>F902+G902+H902+I902</f>
        <v>6250</v>
      </c>
      <c r="F902" s="102">
        <v>6250</v>
      </c>
      <c r="G902" s="102">
        <v>0</v>
      </c>
      <c r="H902" s="102">
        <v>0</v>
      </c>
      <c r="I902" s="102">
        <v>0</v>
      </c>
      <c r="J902" s="1300"/>
      <c r="K902" s="1297"/>
    </row>
    <row r="903" spans="1:12" ht="20.25" customHeight="1">
      <c r="A903" s="1295" t="s">
        <v>581</v>
      </c>
      <c r="B903" s="1295" t="s">
        <v>582</v>
      </c>
      <c r="C903" s="1295" t="s">
        <v>282</v>
      </c>
      <c r="D903" s="100" t="s">
        <v>3</v>
      </c>
      <c r="E903" s="102">
        <f t="shared" si="53"/>
        <v>447152.68754999997</v>
      </c>
      <c r="F903" s="102">
        <f>SUM(F904:F908)</f>
        <v>316032.67813999997</v>
      </c>
      <c r="G903" s="102">
        <f>SUM(G904:G908)</f>
        <v>121253.24804000001</v>
      </c>
      <c r="H903" s="102">
        <f>SUM(H904:H908)</f>
        <v>9866.7613700000002</v>
      </c>
      <c r="I903" s="102">
        <f>SUM(I904:I908)</f>
        <v>0</v>
      </c>
      <c r="J903" s="1295" t="s">
        <v>583</v>
      </c>
      <c r="K903" s="1295" t="s">
        <v>129</v>
      </c>
      <c r="L903" s="1301"/>
    </row>
    <row r="904" spans="1:12" ht="20.25" customHeight="1">
      <c r="A904" s="1296"/>
      <c r="B904" s="1296"/>
      <c r="C904" s="1296"/>
      <c r="D904" s="100">
        <v>2021</v>
      </c>
      <c r="E904" s="102">
        <f t="shared" si="53"/>
        <v>94469.148000000001</v>
      </c>
      <c r="F904" s="102">
        <v>5458.1030000000001</v>
      </c>
      <c r="G904" s="102">
        <v>88723.845000000001</v>
      </c>
      <c r="H904" s="102">
        <v>287.2</v>
      </c>
      <c r="I904" s="102">
        <v>0</v>
      </c>
      <c r="J904" s="1296"/>
      <c r="K904" s="1296"/>
      <c r="L904" s="1301"/>
    </row>
    <row r="905" spans="1:12" ht="20.25" customHeight="1">
      <c r="A905" s="1296"/>
      <c r="B905" s="1296"/>
      <c r="C905" s="1296"/>
      <c r="D905" s="100">
        <v>2022</v>
      </c>
      <c r="E905" s="102">
        <f t="shared" si="53"/>
        <v>352683.53954999999</v>
      </c>
      <c r="F905" s="102">
        <v>310574.57513999997</v>
      </c>
      <c r="G905" s="102">
        <v>32529.403040000001</v>
      </c>
      <c r="H905" s="102">
        <v>9579.5613699999994</v>
      </c>
      <c r="I905" s="102">
        <v>0</v>
      </c>
      <c r="J905" s="1296"/>
      <c r="K905" s="1296"/>
      <c r="L905" s="1301"/>
    </row>
    <row r="906" spans="1:12" ht="20.25" customHeight="1">
      <c r="A906" s="1296"/>
      <c r="B906" s="1296"/>
      <c r="C906" s="1296"/>
      <c r="D906" s="100">
        <v>2023</v>
      </c>
      <c r="E906" s="102">
        <f t="shared" si="53"/>
        <v>0</v>
      </c>
      <c r="F906" s="102">
        <v>0</v>
      </c>
      <c r="G906" s="102">
        <v>0</v>
      </c>
      <c r="H906" s="102">
        <v>0</v>
      </c>
      <c r="I906" s="102">
        <v>0</v>
      </c>
      <c r="J906" s="1296"/>
      <c r="K906" s="1296"/>
      <c r="L906" s="1301"/>
    </row>
    <row r="907" spans="1:12" ht="20.25" customHeight="1">
      <c r="A907" s="1296"/>
      <c r="B907" s="1296"/>
      <c r="C907" s="1296"/>
      <c r="D907" s="100">
        <v>2024</v>
      </c>
      <c r="E907" s="102">
        <f t="shared" si="53"/>
        <v>0</v>
      </c>
      <c r="F907" s="102">
        <v>0</v>
      </c>
      <c r="G907" s="102">
        <v>0</v>
      </c>
      <c r="H907" s="102">
        <v>0</v>
      </c>
      <c r="I907" s="102">
        <v>0</v>
      </c>
      <c r="J907" s="1296"/>
      <c r="K907" s="1296"/>
      <c r="L907" s="1301"/>
    </row>
    <row r="908" spans="1:12" ht="20.25" customHeight="1">
      <c r="A908" s="1296"/>
      <c r="B908" s="1296"/>
      <c r="C908" s="1296"/>
      <c r="D908" s="100">
        <v>2025</v>
      </c>
      <c r="E908" s="102">
        <f t="shared" si="53"/>
        <v>0</v>
      </c>
      <c r="F908" s="102">
        <v>0</v>
      </c>
      <c r="G908" s="102">
        <v>0</v>
      </c>
      <c r="H908" s="102">
        <v>0</v>
      </c>
      <c r="I908" s="102">
        <v>0</v>
      </c>
      <c r="J908" s="1296"/>
      <c r="K908" s="1296"/>
      <c r="L908" s="1301"/>
    </row>
    <row r="909" spans="1:12" ht="20.25" customHeight="1">
      <c r="A909" s="1297"/>
      <c r="B909" s="1297"/>
      <c r="C909" s="1297"/>
      <c r="D909" s="100">
        <v>2026</v>
      </c>
      <c r="E909" s="102">
        <v>0</v>
      </c>
      <c r="F909" s="102">
        <v>0</v>
      </c>
      <c r="G909" s="102">
        <v>0</v>
      </c>
      <c r="H909" s="102">
        <v>0</v>
      </c>
      <c r="I909" s="102">
        <v>0</v>
      </c>
      <c r="J909" s="1297"/>
      <c r="K909" s="1297"/>
    </row>
    <row r="910" spans="1:12" ht="15" customHeight="1">
      <c r="A910" s="1295" t="s">
        <v>584</v>
      </c>
      <c r="B910" s="1295" t="s">
        <v>585</v>
      </c>
      <c r="C910" s="1295" t="s">
        <v>282</v>
      </c>
      <c r="D910" s="100" t="s">
        <v>3</v>
      </c>
      <c r="E910" s="102">
        <f t="shared" si="53"/>
        <v>508717.68395999999</v>
      </c>
      <c r="F910" s="102">
        <v>242209.413</v>
      </c>
      <c r="G910" s="102">
        <v>253746.75095999998</v>
      </c>
      <c r="H910" s="102">
        <v>12761.52</v>
      </c>
      <c r="I910" s="102">
        <f>SUM(I911:I915)</f>
        <v>0</v>
      </c>
      <c r="J910" s="1295" t="s">
        <v>586</v>
      </c>
      <c r="K910" s="1295" t="s">
        <v>129</v>
      </c>
    </row>
    <row r="911" spans="1:12">
      <c r="A911" s="1296"/>
      <c r="B911" s="1296"/>
      <c r="C911" s="1296"/>
      <c r="D911" s="100">
        <v>2021</v>
      </c>
      <c r="E911" s="102">
        <f t="shared" si="53"/>
        <v>179693.33100000001</v>
      </c>
      <c r="F911" s="102">
        <v>10382.057000000001</v>
      </c>
      <c r="G911" s="102">
        <v>168764.85399999999</v>
      </c>
      <c r="H911" s="102">
        <v>546.41999999999996</v>
      </c>
      <c r="I911" s="102">
        <v>0</v>
      </c>
      <c r="J911" s="1296"/>
      <c r="K911" s="1296"/>
    </row>
    <row r="912" spans="1:12">
      <c r="A912" s="1296"/>
      <c r="B912" s="1296"/>
      <c r="C912" s="1296"/>
      <c r="D912" s="100">
        <v>2022</v>
      </c>
      <c r="E912" s="102">
        <f t="shared" si="53"/>
        <v>325847.71465000004</v>
      </c>
      <c r="F912" s="102">
        <v>171730.75679000001</v>
      </c>
      <c r="G912" s="102">
        <v>145078.49695999999</v>
      </c>
      <c r="H912" s="102">
        <v>9038.4609</v>
      </c>
      <c r="I912" s="102">
        <v>0</v>
      </c>
      <c r="J912" s="1296"/>
      <c r="K912" s="1296"/>
    </row>
    <row r="913" spans="1:11">
      <c r="A913" s="1296"/>
      <c r="B913" s="1296"/>
      <c r="C913" s="1296"/>
      <c r="D913" s="100">
        <v>2023</v>
      </c>
      <c r="E913" s="102">
        <f t="shared" si="53"/>
        <v>0</v>
      </c>
      <c r="F913" s="102">
        <v>0</v>
      </c>
      <c r="G913" s="102">
        <v>0</v>
      </c>
      <c r="H913" s="102">
        <v>0</v>
      </c>
      <c r="I913" s="102">
        <v>0</v>
      </c>
      <c r="J913" s="1296"/>
      <c r="K913" s="1296"/>
    </row>
    <row r="914" spans="1:11">
      <c r="A914" s="1296"/>
      <c r="B914" s="1296"/>
      <c r="C914" s="1296"/>
      <c r="D914" s="100">
        <v>2024</v>
      </c>
      <c r="E914" s="102">
        <f t="shared" si="53"/>
        <v>0</v>
      </c>
      <c r="F914" s="102">
        <v>0</v>
      </c>
      <c r="G914" s="102">
        <v>0</v>
      </c>
      <c r="H914" s="102">
        <v>0</v>
      </c>
      <c r="I914" s="102">
        <v>0</v>
      </c>
      <c r="J914" s="1296"/>
      <c r="K914" s="1296"/>
    </row>
    <row r="915" spans="1:11">
      <c r="A915" s="1296"/>
      <c r="B915" s="1296"/>
      <c r="C915" s="1296"/>
      <c r="D915" s="100">
        <v>2025</v>
      </c>
      <c r="E915" s="102">
        <f t="shared" si="53"/>
        <v>0</v>
      </c>
      <c r="F915" s="102">
        <v>0</v>
      </c>
      <c r="G915" s="102">
        <v>0</v>
      </c>
      <c r="H915" s="102">
        <v>0</v>
      </c>
      <c r="I915" s="102">
        <v>0</v>
      </c>
      <c r="J915" s="1296"/>
      <c r="K915" s="1296"/>
    </row>
    <row r="916" spans="1:11">
      <c r="A916" s="1297"/>
      <c r="B916" s="1297"/>
      <c r="C916" s="1297"/>
      <c r="D916" s="100">
        <v>2026</v>
      </c>
      <c r="E916" s="102">
        <v>0</v>
      </c>
      <c r="F916" s="102">
        <v>0</v>
      </c>
      <c r="G916" s="102">
        <v>0</v>
      </c>
      <c r="H916" s="102">
        <v>0</v>
      </c>
      <c r="I916" s="102">
        <v>0</v>
      </c>
      <c r="J916" s="1297"/>
      <c r="K916" s="1297"/>
    </row>
    <row r="917" spans="1:11" ht="15" customHeight="1">
      <c r="A917" s="1295" t="s">
        <v>587</v>
      </c>
      <c r="B917" s="1295" t="s">
        <v>131</v>
      </c>
      <c r="C917" s="1295" t="s">
        <v>588</v>
      </c>
      <c r="D917" s="100" t="s">
        <v>3</v>
      </c>
      <c r="E917" s="102">
        <f t="shared" si="53"/>
        <v>349770.91488999996</v>
      </c>
      <c r="F917" s="102">
        <f>SUM(F918:F922)</f>
        <v>211260.91915</v>
      </c>
      <c r="G917" s="102">
        <f>SUM(G918:G922)</f>
        <v>127391</v>
      </c>
      <c r="H917" s="102">
        <f>SUM(H918:H922)</f>
        <v>11118.995739999975</v>
      </c>
      <c r="I917" s="102">
        <f>SUM(I918:I922)</f>
        <v>0</v>
      </c>
      <c r="J917" s="1298" t="s">
        <v>589</v>
      </c>
      <c r="K917" s="1295" t="s">
        <v>129</v>
      </c>
    </row>
    <row r="918" spans="1:11">
      <c r="A918" s="1296"/>
      <c r="B918" s="1296"/>
      <c r="C918" s="1296"/>
      <c r="D918" s="100">
        <v>2021</v>
      </c>
      <c r="E918" s="102">
        <f t="shared" si="53"/>
        <v>0</v>
      </c>
      <c r="F918" s="102">
        <v>0</v>
      </c>
      <c r="G918" s="102">
        <v>0</v>
      </c>
      <c r="H918" s="102">
        <v>0</v>
      </c>
      <c r="I918" s="102">
        <v>0</v>
      </c>
      <c r="J918" s="1299"/>
      <c r="K918" s="1296"/>
    </row>
    <row r="919" spans="1:11">
      <c r="A919" s="1296"/>
      <c r="B919" s="1296"/>
      <c r="C919" s="1296"/>
      <c r="D919" s="100">
        <v>2022</v>
      </c>
      <c r="E919" s="102">
        <f t="shared" si="53"/>
        <v>0</v>
      </c>
      <c r="F919" s="102">
        <v>0</v>
      </c>
      <c r="G919" s="102">
        <v>0</v>
      </c>
      <c r="H919" s="102">
        <v>0</v>
      </c>
      <c r="I919" s="102">
        <v>0</v>
      </c>
      <c r="J919" s="1299"/>
      <c r="K919" s="1296"/>
    </row>
    <row r="920" spans="1:11">
      <c r="A920" s="1296"/>
      <c r="B920" s="1296"/>
      <c r="C920" s="1296"/>
      <c r="D920" s="100">
        <v>2023</v>
      </c>
      <c r="E920" s="102">
        <f t="shared" si="53"/>
        <v>135522.91488999996</v>
      </c>
      <c r="F920" s="102">
        <f>(135116319.15-127391000)/1000</f>
        <v>7725.3191500000057</v>
      </c>
      <c r="G920" s="102">
        <v>127391</v>
      </c>
      <c r="H920" s="102">
        <f>135522914.89/1000-F920-G920</f>
        <v>406.59573999997519</v>
      </c>
      <c r="I920" s="102">
        <v>0</v>
      </c>
      <c r="J920" s="1299"/>
      <c r="K920" s="1296"/>
    </row>
    <row r="921" spans="1:11">
      <c r="A921" s="1296"/>
      <c r="B921" s="1296"/>
      <c r="C921" s="1296"/>
      <c r="D921" s="108">
        <v>2024</v>
      </c>
      <c r="E921" s="109">
        <f t="shared" si="53"/>
        <v>214248</v>
      </c>
      <c r="F921" s="109">
        <v>203535.6</v>
      </c>
      <c r="G921" s="109">
        <v>0</v>
      </c>
      <c r="H921" s="109">
        <v>10712.4</v>
      </c>
      <c r="I921" s="109">
        <v>0</v>
      </c>
      <c r="J921" s="1299"/>
      <c r="K921" s="1296"/>
    </row>
    <row r="922" spans="1:11">
      <c r="A922" s="1296"/>
      <c r="B922" s="1296"/>
      <c r="C922" s="1296"/>
      <c r="D922" s="100">
        <v>2025</v>
      </c>
      <c r="E922" s="102">
        <f t="shared" si="53"/>
        <v>0</v>
      </c>
      <c r="F922" s="102">
        <v>0</v>
      </c>
      <c r="G922" s="102">
        <v>0</v>
      </c>
      <c r="H922" s="102">
        <v>0</v>
      </c>
      <c r="I922" s="102">
        <v>0</v>
      </c>
      <c r="J922" s="1299"/>
      <c r="K922" s="1296"/>
    </row>
    <row r="923" spans="1:11">
      <c r="A923" s="1297"/>
      <c r="B923" s="1297"/>
      <c r="C923" s="1297"/>
      <c r="D923" s="100">
        <v>2026</v>
      </c>
      <c r="E923" s="102">
        <v>0</v>
      </c>
      <c r="F923" s="102">
        <v>0</v>
      </c>
      <c r="G923" s="102">
        <v>0</v>
      </c>
      <c r="H923" s="102">
        <v>0</v>
      </c>
      <c r="I923" s="102">
        <v>0</v>
      </c>
      <c r="J923" s="1300"/>
      <c r="K923" s="1297"/>
    </row>
    <row r="924" spans="1:11" ht="15" customHeight="1">
      <c r="A924" s="1295" t="s">
        <v>590</v>
      </c>
      <c r="B924" s="1295" t="s">
        <v>591</v>
      </c>
      <c r="C924" s="1295" t="s">
        <v>235</v>
      </c>
      <c r="D924" s="100" t="s">
        <v>3</v>
      </c>
      <c r="E924" s="102">
        <f t="shared" si="53"/>
        <v>317053.64046000002</v>
      </c>
      <c r="F924" s="102">
        <f>SUM(F925:F930)</f>
        <v>317053.64046000002</v>
      </c>
      <c r="G924" s="102">
        <f>SUM(G925:G929)</f>
        <v>0</v>
      </c>
      <c r="H924" s="102">
        <f>SUM(H925:H929)</f>
        <v>0</v>
      </c>
      <c r="I924" s="102">
        <f>SUM(I925:I929)</f>
        <v>0</v>
      </c>
      <c r="J924" s="1295"/>
      <c r="K924" s="1295" t="s">
        <v>65</v>
      </c>
    </row>
    <row r="925" spans="1:11">
      <c r="A925" s="1296"/>
      <c r="B925" s="1296"/>
      <c r="C925" s="1296"/>
      <c r="D925" s="100">
        <v>2021</v>
      </c>
      <c r="E925" s="102">
        <f t="shared" si="53"/>
        <v>40456.699999999997</v>
      </c>
      <c r="F925" s="102">
        <f t="shared" ref="F925:I929" si="58">F932</f>
        <v>40456.699999999997</v>
      </c>
      <c r="G925" s="102">
        <f t="shared" si="58"/>
        <v>0</v>
      </c>
      <c r="H925" s="102">
        <f t="shared" si="58"/>
        <v>0</v>
      </c>
      <c r="I925" s="102">
        <f t="shared" si="58"/>
        <v>0</v>
      </c>
      <c r="J925" s="1296"/>
      <c r="K925" s="1296"/>
    </row>
    <row r="926" spans="1:11">
      <c r="A926" s="1296"/>
      <c r="B926" s="1296"/>
      <c r="C926" s="1296"/>
      <c r="D926" s="100">
        <v>2022</v>
      </c>
      <c r="E926" s="102">
        <f t="shared" si="53"/>
        <v>50867.625999999997</v>
      </c>
      <c r="F926" s="102">
        <f t="shared" si="58"/>
        <v>50867.625999999997</v>
      </c>
      <c r="G926" s="102">
        <f t="shared" si="58"/>
        <v>0</v>
      </c>
      <c r="H926" s="102">
        <f t="shared" si="58"/>
        <v>0</v>
      </c>
      <c r="I926" s="102">
        <f t="shared" si="58"/>
        <v>0</v>
      </c>
      <c r="J926" s="1296"/>
      <c r="K926" s="1296"/>
    </row>
    <row r="927" spans="1:11">
      <c r="A927" s="1296"/>
      <c r="B927" s="1296"/>
      <c r="C927" s="1296"/>
      <c r="D927" s="100">
        <v>2023</v>
      </c>
      <c r="E927" s="102">
        <f t="shared" si="53"/>
        <v>54796.042999999998</v>
      </c>
      <c r="F927" s="102">
        <f t="shared" si="58"/>
        <v>54796.042999999998</v>
      </c>
      <c r="G927" s="102">
        <f t="shared" si="58"/>
        <v>0</v>
      </c>
      <c r="H927" s="102">
        <f t="shared" si="58"/>
        <v>0</v>
      </c>
      <c r="I927" s="102">
        <f t="shared" si="58"/>
        <v>0</v>
      </c>
      <c r="J927" s="1296"/>
      <c r="K927" s="1296"/>
    </row>
    <row r="928" spans="1:11">
      <c r="A928" s="1296"/>
      <c r="B928" s="1296"/>
      <c r="C928" s="1296"/>
      <c r="D928" s="108">
        <v>2024</v>
      </c>
      <c r="E928" s="109">
        <f t="shared" si="53"/>
        <v>56948.595869999997</v>
      </c>
      <c r="F928" s="109">
        <f t="shared" si="58"/>
        <v>56948.595869999997</v>
      </c>
      <c r="G928" s="109">
        <f t="shared" si="58"/>
        <v>0</v>
      </c>
      <c r="H928" s="109">
        <f t="shared" si="58"/>
        <v>0</v>
      </c>
      <c r="I928" s="109">
        <f t="shared" si="58"/>
        <v>0</v>
      </c>
      <c r="J928" s="1296"/>
      <c r="K928" s="1296"/>
    </row>
    <row r="929" spans="1:11" ht="19.5" customHeight="1">
      <c r="A929" s="1296"/>
      <c r="B929" s="1296"/>
      <c r="C929" s="1296"/>
      <c r="D929" s="100">
        <v>2025</v>
      </c>
      <c r="E929" s="102">
        <f t="shared" si="53"/>
        <v>56974.541210000003</v>
      </c>
      <c r="F929" s="102">
        <f t="shared" si="58"/>
        <v>56974.541210000003</v>
      </c>
      <c r="G929" s="102">
        <f t="shared" si="58"/>
        <v>0</v>
      </c>
      <c r="H929" s="102">
        <f t="shared" si="58"/>
        <v>0</v>
      </c>
      <c r="I929" s="102">
        <f t="shared" si="58"/>
        <v>0</v>
      </c>
      <c r="J929" s="1296"/>
      <c r="K929" s="1296"/>
    </row>
    <row r="930" spans="1:11" ht="19.5" customHeight="1">
      <c r="A930" s="1297"/>
      <c r="B930" s="1297"/>
      <c r="C930" s="1297"/>
      <c r="D930" s="100">
        <v>2026</v>
      </c>
      <c r="E930" s="102">
        <f>SUM(F930:I930)</f>
        <v>57010.134380000003</v>
      </c>
      <c r="F930" s="102">
        <f>SUM(F937)</f>
        <v>57010.134380000003</v>
      </c>
      <c r="G930" s="102">
        <f t="shared" ref="G930:I930" si="59">SUM(G937)</f>
        <v>0</v>
      </c>
      <c r="H930" s="102">
        <f t="shared" si="59"/>
        <v>0</v>
      </c>
      <c r="I930" s="102">
        <f t="shared" si="59"/>
        <v>0</v>
      </c>
      <c r="J930" s="1297"/>
      <c r="K930" s="1297"/>
    </row>
    <row r="931" spans="1:11" ht="15" customHeight="1">
      <c r="A931" s="1295" t="s">
        <v>592</v>
      </c>
      <c r="B931" s="1295" t="s">
        <v>593</v>
      </c>
      <c r="C931" s="1295" t="s">
        <v>235</v>
      </c>
      <c r="D931" s="100" t="s">
        <v>3</v>
      </c>
      <c r="E931" s="102">
        <f t="shared" si="53"/>
        <v>317053.64046000002</v>
      </c>
      <c r="F931" s="102">
        <f>SUM(F932:F937)</f>
        <v>317053.64046000002</v>
      </c>
      <c r="G931" s="102">
        <f>SUM(G932:G936)</f>
        <v>0</v>
      </c>
      <c r="H931" s="102">
        <f>SUM(H932:H936)</f>
        <v>0</v>
      </c>
      <c r="I931" s="102">
        <f>SUM(I932:I936)</f>
        <v>0</v>
      </c>
      <c r="J931" s="1295" t="s">
        <v>594</v>
      </c>
      <c r="K931" s="1295" t="s">
        <v>65</v>
      </c>
    </row>
    <row r="932" spans="1:11">
      <c r="A932" s="1296"/>
      <c r="B932" s="1296"/>
      <c r="C932" s="1296"/>
      <c r="D932" s="100">
        <v>2021</v>
      </c>
      <c r="E932" s="102">
        <f t="shared" ref="E932:E943" si="60">SUM(F932:I932)</f>
        <v>40456.699999999997</v>
      </c>
      <c r="F932" s="102">
        <f t="shared" ref="F932:I936" si="61">F939</f>
        <v>40456.699999999997</v>
      </c>
      <c r="G932" s="102">
        <f t="shared" si="61"/>
        <v>0</v>
      </c>
      <c r="H932" s="102">
        <f t="shared" si="61"/>
        <v>0</v>
      </c>
      <c r="I932" s="102">
        <f t="shared" si="61"/>
        <v>0</v>
      </c>
      <c r="J932" s="1296"/>
      <c r="K932" s="1296"/>
    </row>
    <row r="933" spans="1:11">
      <c r="A933" s="1296"/>
      <c r="B933" s="1296"/>
      <c r="C933" s="1296"/>
      <c r="D933" s="100">
        <v>2022</v>
      </c>
      <c r="E933" s="102">
        <f t="shared" si="60"/>
        <v>50867.625999999997</v>
      </c>
      <c r="F933" s="102">
        <f t="shared" si="61"/>
        <v>50867.625999999997</v>
      </c>
      <c r="G933" s="102">
        <f t="shared" si="61"/>
        <v>0</v>
      </c>
      <c r="H933" s="102">
        <f t="shared" si="61"/>
        <v>0</v>
      </c>
      <c r="I933" s="102">
        <f t="shared" si="61"/>
        <v>0</v>
      </c>
      <c r="J933" s="1296"/>
      <c r="K933" s="1296"/>
    </row>
    <row r="934" spans="1:11">
      <c r="A934" s="1296"/>
      <c r="B934" s="1296"/>
      <c r="C934" s="1296"/>
      <c r="D934" s="100">
        <v>2023</v>
      </c>
      <c r="E934" s="102">
        <f t="shared" si="60"/>
        <v>54796.042999999998</v>
      </c>
      <c r="F934" s="102">
        <f t="shared" si="61"/>
        <v>54796.042999999998</v>
      </c>
      <c r="G934" s="102">
        <f t="shared" si="61"/>
        <v>0</v>
      </c>
      <c r="H934" s="102">
        <f t="shared" si="61"/>
        <v>0</v>
      </c>
      <c r="I934" s="102">
        <f t="shared" si="61"/>
        <v>0</v>
      </c>
      <c r="J934" s="1296"/>
      <c r="K934" s="1296"/>
    </row>
    <row r="935" spans="1:11">
      <c r="A935" s="1296"/>
      <c r="B935" s="1296"/>
      <c r="C935" s="1296"/>
      <c r="D935" s="108">
        <v>2024</v>
      </c>
      <c r="E935" s="109">
        <f t="shared" si="60"/>
        <v>56948.595869999997</v>
      </c>
      <c r="F935" s="109">
        <f t="shared" si="61"/>
        <v>56948.595869999997</v>
      </c>
      <c r="G935" s="109">
        <f t="shared" si="61"/>
        <v>0</v>
      </c>
      <c r="H935" s="109">
        <f t="shared" si="61"/>
        <v>0</v>
      </c>
      <c r="I935" s="109">
        <f t="shared" si="61"/>
        <v>0</v>
      </c>
      <c r="J935" s="1296"/>
      <c r="K935" s="1296"/>
    </row>
    <row r="936" spans="1:11">
      <c r="A936" s="1296"/>
      <c r="B936" s="1296"/>
      <c r="C936" s="1296"/>
      <c r="D936" s="100">
        <v>2025</v>
      </c>
      <c r="E936" s="102">
        <f t="shared" si="60"/>
        <v>56974.541210000003</v>
      </c>
      <c r="F936" s="102">
        <f t="shared" si="61"/>
        <v>56974.541210000003</v>
      </c>
      <c r="G936" s="102">
        <f>G943</f>
        <v>0</v>
      </c>
      <c r="H936" s="102">
        <f>H943</f>
        <v>0</v>
      </c>
      <c r="I936" s="102">
        <f>I943</f>
        <v>0</v>
      </c>
      <c r="J936" s="1296"/>
      <c r="K936" s="1296"/>
    </row>
    <row r="937" spans="1:11">
      <c r="A937" s="1297"/>
      <c r="B937" s="1297"/>
      <c r="C937" s="1297"/>
      <c r="D937" s="100">
        <v>2026</v>
      </c>
      <c r="E937" s="102">
        <f>SUM(F937:I937)</f>
        <v>57010.134380000003</v>
      </c>
      <c r="F937" s="102">
        <f>F944</f>
        <v>57010.134380000003</v>
      </c>
      <c r="G937" s="102">
        <f t="shared" ref="G937:I937" si="62">G944</f>
        <v>0</v>
      </c>
      <c r="H937" s="102">
        <f t="shared" si="62"/>
        <v>0</v>
      </c>
      <c r="I937" s="102">
        <f t="shared" si="62"/>
        <v>0</v>
      </c>
      <c r="J937" s="1297"/>
      <c r="K937" s="1297"/>
    </row>
    <row r="938" spans="1:11" ht="15" customHeight="1">
      <c r="A938" s="1295" t="s">
        <v>595</v>
      </c>
      <c r="B938" s="1295" t="s">
        <v>86</v>
      </c>
      <c r="C938" s="1295" t="s">
        <v>235</v>
      </c>
      <c r="D938" s="100" t="s">
        <v>3</v>
      </c>
      <c r="E938" s="102">
        <f t="shared" si="60"/>
        <v>317053.64046000002</v>
      </c>
      <c r="F938" s="102">
        <f>SUM(F939:F944)</f>
        <v>317053.64046000002</v>
      </c>
      <c r="G938" s="102">
        <f>SUM(G939:G943)</f>
        <v>0</v>
      </c>
      <c r="H938" s="102">
        <f>SUM(H939:H943)</f>
        <v>0</v>
      </c>
      <c r="I938" s="102">
        <f>SUM(I939:I943)</f>
        <v>0</v>
      </c>
      <c r="J938" s="1295" t="s">
        <v>85</v>
      </c>
      <c r="K938" s="1295" t="s">
        <v>65</v>
      </c>
    </row>
    <row r="939" spans="1:11">
      <c r="A939" s="1296"/>
      <c r="B939" s="1296"/>
      <c r="C939" s="1296"/>
      <c r="D939" s="100">
        <v>2021</v>
      </c>
      <c r="E939" s="102">
        <f t="shared" si="60"/>
        <v>40456.699999999997</v>
      </c>
      <c r="F939" s="102">
        <v>40456.699999999997</v>
      </c>
      <c r="G939" s="102">
        <v>0</v>
      </c>
      <c r="H939" s="102">
        <v>0</v>
      </c>
      <c r="I939" s="102">
        <v>0</v>
      </c>
      <c r="J939" s="1296"/>
      <c r="K939" s="1296"/>
    </row>
    <row r="940" spans="1:11">
      <c r="A940" s="1296"/>
      <c r="B940" s="1296"/>
      <c r="C940" s="1296"/>
      <c r="D940" s="100">
        <v>2022</v>
      </c>
      <c r="E940" s="102">
        <f t="shared" si="60"/>
        <v>50867.625999999997</v>
      </c>
      <c r="F940" s="102">
        <v>50867.625999999997</v>
      </c>
      <c r="G940" s="102">
        <v>0</v>
      </c>
      <c r="H940" s="102">
        <v>0</v>
      </c>
      <c r="I940" s="102">
        <v>0</v>
      </c>
      <c r="J940" s="1296"/>
      <c r="K940" s="1296"/>
    </row>
    <row r="941" spans="1:11">
      <c r="A941" s="1296"/>
      <c r="B941" s="1296"/>
      <c r="C941" s="1296"/>
      <c r="D941" s="100">
        <v>2023</v>
      </c>
      <c r="E941" s="102">
        <f t="shared" si="60"/>
        <v>54796.042999999998</v>
      </c>
      <c r="F941" s="102">
        <f>54125.195+670.848</f>
        <v>54796.042999999998</v>
      </c>
      <c r="G941" s="102">
        <v>0</v>
      </c>
      <c r="H941" s="102">
        <v>0</v>
      </c>
      <c r="I941" s="102">
        <v>0</v>
      </c>
      <c r="J941" s="1296"/>
      <c r="K941" s="1296"/>
    </row>
    <row r="942" spans="1:11">
      <c r="A942" s="1296"/>
      <c r="B942" s="1296"/>
      <c r="C942" s="1296"/>
      <c r="D942" s="108">
        <v>2024</v>
      </c>
      <c r="E942" s="109">
        <f t="shared" si="60"/>
        <v>56948.595869999997</v>
      </c>
      <c r="F942" s="109">
        <v>56948.595869999997</v>
      </c>
      <c r="G942" s="109">
        <v>0</v>
      </c>
      <c r="H942" s="109">
        <v>0</v>
      </c>
      <c r="I942" s="109">
        <v>0</v>
      </c>
      <c r="J942" s="1296"/>
      <c r="K942" s="1296"/>
    </row>
    <row r="943" spans="1:11">
      <c r="A943" s="1296"/>
      <c r="B943" s="1296"/>
      <c r="C943" s="1296"/>
      <c r="D943" s="100">
        <v>2025</v>
      </c>
      <c r="E943" s="102">
        <f t="shared" si="60"/>
        <v>56974.541210000003</v>
      </c>
      <c r="F943" s="102">
        <v>56974.541210000003</v>
      </c>
      <c r="G943" s="102">
        <v>0</v>
      </c>
      <c r="H943" s="102">
        <v>0</v>
      </c>
      <c r="I943" s="102">
        <v>0</v>
      </c>
      <c r="J943" s="1296"/>
      <c r="K943" s="1296"/>
    </row>
    <row r="944" spans="1:11">
      <c r="A944" s="1297"/>
      <c r="B944" s="1297"/>
      <c r="C944" s="1297"/>
      <c r="D944" s="100">
        <v>2026</v>
      </c>
      <c r="E944" s="102">
        <f>F944+G944+H944+I944</f>
        <v>57010.134380000003</v>
      </c>
      <c r="F944" s="102">
        <v>57010.134380000003</v>
      </c>
      <c r="G944" s="102"/>
      <c r="H944" s="102"/>
      <c r="I944" s="102"/>
      <c r="J944" s="1297"/>
      <c r="K944" s="1297"/>
    </row>
    <row r="946" spans="1:1">
      <c r="A946" s="105" t="s">
        <v>596</v>
      </c>
    </row>
  </sheetData>
  <autoFilter ref="A4:L944"/>
  <mergeCells count="698">
    <mergeCell ref="A1:K2"/>
    <mergeCell ref="A3:A4"/>
    <mergeCell ref="B3:B4"/>
    <mergeCell ref="C3:C4"/>
    <mergeCell ref="D3:I3"/>
    <mergeCell ref="J3:J4"/>
    <mergeCell ref="K3:K4"/>
    <mergeCell ref="A5:A11"/>
    <mergeCell ref="B5:B11"/>
    <mergeCell ref="C5:C11"/>
    <mergeCell ref="J5:J11"/>
    <mergeCell ref="K5:K11"/>
    <mergeCell ref="A12:A18"/>
    <mergeCell ref="B12:B18"/>
    <mergeCell ref="C12:C18"/>
    <mergeCell ref="J12:J18"/>
    <mergeCell ref="K12:K18"/>
    <mergeCell ref="L26:L31"/>
    <mergeCell ref="A33:A39"/>
    <mergeCell ref="B33:B39"/>
    <mergeCell ref="C33:C39"/>
    <mergeCell ref="J33:J39"/>
    <mergeCell ref="K33:K39"/>
    <mergeCell ref="L33:L39"/>
    <mergeCell ref="A19:A25"/>
    <mergeCell ref="B19:B25"/>
    <mergeCell ref="C19:C25"/>
    <mergeCell ref="J19:J25"/>
    <mergeCell ref="K19:K25"/>
    <mergeCell ref="A26:A32"/>
    <mergeCell ref="B26:B32"/>
    <mergeCell ref="C26:C32"/>
    <mergeCell ref="J26:J32"/>
    <mergeCell ref="K26:K32"/>
    <mergeCell ref="A40:A46"/>
    <mergeCell ref="B40:B46"/>
    <mergeCell ref="C40:C46"/>
    <mergeCell ref="J40:J46"/>
    <mergeCell ref="K40:K46"/>
    <mergeCell ref="A47:A53"/>
    <mergeCell ref="B47:B53"/>
    <mergeCell ref="C47:C53"/>
    <mergeCell ref="J47:J53"/>
    <mergeCell ref="K47:K53"/>
    <mergeCell ref="A61:A67"/>
    <mergeCell ref="B61:B67"/>
    <mergeCell ref="C61:C67"/>
    <mergeCell ref="J61:J67"/>
    <mergeCell ref="K61:K67"/>
    <mergeCell ref="N61:N67"/>
    <mergeCell ref="L47:L53"/>
    <mergeCell ref="A54:A60"/>
    <mergeCell ref="B54:B60"/>
    <mergeCell ref="C54:C60"/>
    <mergeCell ref="J54:J60"/>
    <mergeCell ref="K54:K60"/>
    <mergeCell ref="L54:L60"/>
    <mergeCell ref="A68:A74"/>
    <mergeCell ref="B68:B74"/>
    <mergeCell ref="C68:C74"/>
    <mergeCell ref="J68:J74"/>
    <mergeCell ref="K68:K74"/>
    <mergeCell ref="A75:A81"/>
    <mergeCell ref="B75:B81"/>
    <mergeCell ref="C75:C81"/>
    <mergeCell ref="J75:J81"/>
    <mergeCell ref="K75:K81"/>
    <mergeCell ref="A82:A88"/>
    <mergeCell ref="B82:B88"/>
    <mergeCell ref="C82:C88"/>
    <mergeCell ref="J82:J88"/>
    <mergeCell ref="K82:K88"/>
    <mergeCell ref="A89:A95"/>
    <mergeCell ref="B89:B95"/>
    <mergeCell ref="C89:C95"/>
    <mergeCell ref="J89:J95"/>
    <mergeCell ref="K89:K95"/>
    <mergeCell ref="A96:A102"/>
    <mergeCell ref="B96:B102"/>
    <mergeCell ref="C96:C102"/>
    <mergeCell ref="J96:J102"/>
    <mergeCell ref="K96:K102"/>
    <mergeCell ref="A103:A109"/>
    <mergeCell ref="B103:B109"/>
    <mergeCell ref="C103:C109"/>
    <mergeCell ref="J103:J109"/>
    <mergeCell ref="K103:K109"/>
    <mergeCell ref="A110:A116"/>
    <mergeCell ref="B110:B116"/>
    <mergeCell ref="C110:C116"/>
    <mergeCell ref="J110:J116"/>
    <mergeCell ref="K110:K116"/>
    <mergeCell ref="A117:A122"/>
    <mergeCell ref="B117:B122"/>
    <mergeCell ref="C117:C122"/>
    <mergeCell ref="J117:J122"/>
    <mergeCell ref="K117:K122"/>
    <mergeCell ref="A123:A129"/>
    <mergeCell ref="B123:B129"/>
    <mergeCell ref="C123:C129"/>
    <mergeCell ref="J123:J129"/>
    <mergeCell ref="K123:K129"/>
    <mergeCell ref="A130:A136"/>
    <mergeCell ref="B130:B136"/>
    <mergeCell ref="C130:C136"/>
    <mergeCell ref="J130:J136"/>
    <mergeCell ref="K130:K136"/>
    <mergeCell ref="A137:A143"/>
    <mergeCell ref="B137:B143"/>
    <mergeCell ref="C137:C143"/>
    <mergeCell ref="J137:J143"/>
    <mergeCell ref="K137:K143"/>
    <mergeCell ref="A144:A150"/>
    <mergeCell ref="B144:B150"/>
    <mergeCell ref="C144:C150"/>
    <mergeCell ref="J144:J150"/>
    <mergeCell ref="K144:K150"/>
    <mergeCell ref="A151:A157"/>
    <mergeCell ref="B151:B157"/>
    <mergeCell ref="C151:C157"/>
    <mergeCell ref="J151:J157"/>
    <mergeCell ref="K151:K157"/>
    <mergeCell ref="A158:A164"/>
    <mergeCell ref="B158:B164"/>
    <mergeCell ref="C158:C164"/>
    <mergeCell ref="J158:J164"/>
    <mergeCell ref="K158:K164"/>
    <mergeCell ref="A165:A171"/>
    <mergeCell ref="B165:B171"/>
    <mergeCell ref="C165:C171"/>
    <mergeCell ref="J165:J171"/>
    <mergeCell ref="K165:K171"/>
    <mergeCell ref="A172:A178"/>
    <mergeCell ref="B172:B178"/>
    <mergeCell ref="C172:C178"/>
    <mergeCell ref="J172:J178"/>
    <mergeCell ref="K172:K178"/>
    <mergeCell ref="L186:L191"/>
    <mergeCell ref="A193:A199"/>
    <mergeCell ref="B193:B199"/>
    <mergeCell ref="C193:C199"/>
    <mergeCell ref="J193:J199"/>
    <mergeCell ref="K193:K199"/>
    <mergeCell ref="A179:A185"/>
    <mergeCell ref="B179:B185"/>
    <mergeCell ref="C179:C185"/>
    <mergeCell ref="J179:J185"/>
    <mergeCell ref="K179:K185"/>
    <mergeCell ref="A186:A192"/>
    <mergeCell ref="B186:B192"/>
    <mergeCell ref="C186:C192"/>
    <mergeCell ref="J186:J192"/>
    <mergeCell ref="K186:K192"/>
    <mergeCell ref="A200:A206"/>
    <mergeCell ref="B200:B206"/>
    <mergeCell ref="C200:C206"/>
    <mergeCell ref="J200:J206"/>
    <mergeCell ref="K200:K206"/>
    <mergeCell ref="A207:A213"/>
    <mergeCell ref="B207:B213"/>
    <mergeCell ref="C207:C213"/>
    <mergeCell ref="J207:J213"/>
    <mergeCell ref="K207:K213"/>
    <mergeCell ref="A221:A227"/>
    <mergeCell ref="B221:B227"/>
    <mergeCell ref="C221:C227"/>
    <mergeCell ref="J221:J227"/>
    <mergeCell ref="K221:K227"/>
    <mergeCell ref="L221:L226"/>
    <mergeCell ref="A214:A220"/>
    <mergeCell ref="B214:B220"/>
    <mergeCell ref="C214:C220"/>
    <mergeCell ref="J214:J220"/>
    <mergeCell ref="K214:K220"/>
    <mergeCell ref="L214:L219"/>
    <mergeCell ref="A228:A234"/>
    <mergeCell ref="B228:B234"/>
    <mergeCell ref="C228:C234"/>
    <mergeCell ref="J228:J234"/>
    <mergeCell ref="K228:K234"/>
    <mergeCell ref="A235:A241"/>
    <mergeCell ref="B235:B241"/>
    <mergeCell ref="C235:C241"/>
    <mergeCell ref="J235:J241"/>
    <mergeCell ref="K235:K241"/>
    <mergeCell ref="A242:A248"/>
    <mergeCell ref="B242:B248"/>
    <mergeCell ref="C242:C248"/>
    <mergeCell ref="J242:J248"/>
    <mergeCell ref="K242:K248"/>
    <mergeCell ref="A249:A255"/>
    <mergeCell ref="B249:B255"/>
    <mergeCell ref="C249:C255"/>
    <mergeCell ref="J249:J255"/>
    <mergeCell ref="K249:K255"/>
    <mergeCell ref="A256:A262"/>
    <mergeCell ref="B256:B262"/>
    <mergeCell ref="C256:C262"/>
    <mergeCell ref="J256:J262"/>
    <mergeCell ref="K256:K262"/>
    <mergeCell ref="A263:A269"/>
    <mergeCell ref="B263:B269"/>
    <mergeCell ref="C263:C269"/>
    <mergeCell ref="J263:J269"/>
    <mergeCell ref="K263:K269"/>
    <mergeCell ref="A270:A276"/>
    <mergeCell ref="B270:B276"/>
    <mergeCell ref="C270:C276"/>
    <mergeCell ref="J270:J276"/>
    <mergeCell ref="K270:K276"/>
    <mergeCell ref="A277:A283"/>
    <mergeCell ref="B277:B283"/>
    <mergeCell ref="C277:C283"/>
    <mergeCell ref="J277:J283"/>
    <mergeCell ref="K277:K283"/>
    <mergeCell ref="A284:A290"/>
    <mergeCell ref="B284:B290"/>
    <mergeCell ref="C284:C290"/>
    <mergeCell ref="J284:J290"/>
    <mergeCell ref="K284:K290"/>
    <mergeCell ref="A291:A297"/>
    <mergeCell ref="B291:B297"/>
    <mergeCell ref="C291:C297"/>
    <mergeCell ref="J291:J297"/>
    <mergeCell ref="K291:K297"/>
    <mergeCell ref="A298:A304"/>
    <mergeCell ref="B298:B304"/>
    <mergeCell ref="C298:C304"/>
    <mergeCell ref="J298:J304"/>
    <mergeCell ref="K298:K304"/>
    <mergeCell ref="A305:A311"/>
    <mergeCell ref="B305:B311"/>
    <mergeCell ref="C305:C311"/>
    <mergeCell ref="J305:J311"/>
    <mergeCell ref="K305:K311"/>
    <mergeCell ref="A312:A318"/>
    <mergeCell ref="B312:B318"/>
    <mergeCell ref="C312:C318"/>
    <mergeCell ref="J312:J318"/>
    <mergeCell ref="K312:K318"/>
    <mergeCell ref="A319:A325"/>
    <mergeCell ref="B319:B325"/>
    <mergeCell ref="C319:C325"/>
    <mergeCell ref="J319:J325"/>
    <mergeCell ref="K319:K325"/>
    <mergeCell ref="A326:A332"/>
    <mergeCell ref="B326:B332"/>
    <mergeCell ref="C326:C332"/>
    <mergeCell ref="J326:J332"/>
    <mergeCell ref="K326:K332"/>
    <mergeCell ref="A333:A339"/>
    <mergeCell ref="B333:B339"/>
    <mergeCell ref="C333:C339"/>
    <mergeCell ref="J333:J339"/>
    <mergeCell ref="K333:K339"/>
    <mergeCell ref="A340:A346"/>
    <mergeCell ref="B340:B346"/>
    <mergeCell ref="C340:C346"/>
    <mergeCell ref="J340:J346"/>
    <mergeCell ref="K340:K346"/>
    <mergeCell ref="A347:A353"/>
    <mergeCell ref="B347:B353"/>
    <mergeCell ref="C347:C353"/>
    <mergeCell ref="J347:J353"/>
    <mergeCell ref="K347:K353"/>
    <mergeCell ref="A354:A360"/>
    <mergeCell ref="B354:B360"/>
    <mergeCell ref="C354:C360"/>
    <mergeCell ref="J354:J360"/>
    <mergeCell ref="K354:K360"/>
    <mergeCell ref="A361:A367"/>
    <mergeCell ref="B361:B367"/>
    <mergeCell ref="C361:C367"/>
    <mergeCell ref="J361:J367"/>
    <mergeCell ref="K361:K367"/>
    <mergeCell ref="A368:A374"/>
    <mergeCell ref="B368:B374"/>
    <mergeCell ref="C368:C374"/>
    <mergeCell ref="J368:J374"/>
    <mergeCell ref="K368:K374"/>
    <mergeCell ref="A375:A381"/>
    <mergeCell ref="B375:B381"/>
    <mergeCell ref="C375:C381"/>
    <mergeCell ref="J375:J381"/>
    <mergeCell ref="K375:K381"/>
    <mergeCell ref="A382:A388"/>
    <mergeCell ref="B382:B388"/>
    <mergeCell ref="C382:C388"/>
    <mergeCell ref="J382:J388"/>
    <mergeCell ref="K382:K388"/>
    <mergeCell ref="A389:A395"/>
    <mergeCell ref="B389:B395"/>
    <mergeCell ref="C389:C395"/>
    <mergeCell ref="J389:J395"/>
    <mergeCell ref="K389:K395"/>
    <mergeCell ref="A396:A401"/>
    <mergeCell ref="B396:B401"/>
    <mergeCell ref="C396:C401"/>
    <mergeCell ref="J396:J401"/>
    <mergeCell ref="K396:K401"/>
    <mergeCell ref="A402:A407"/>
    <mergeCell ref="B402:B407"/>
    <mergeCell ref="C402:C407"/>
    <mergeCell ref="J402:J407"/>
    <mergeCell ref="K402:K407"/>
    <mergeCell ref="A408:A414"/>
    <mergeCell ref="B408:B414"/>
    <mergeCell ref="C408:C414"/>
    <mergeCell ref="J408:J414"/>
    <mergeCell ref="K408:K414"/>
    <mergeCell ref="A415:A421"/>
    <mergeCell ref="B415:B421"/>
    <mergeCell ref="C415:C421"/>
    <mergeCell ref="J415:J421"/>
    <mergeCell ref="K415:K421"/>
    <mergeCell ref="A422:A428"/>
    <mergeCell ref="B422:B428"/>
    <mergeCell ref="C422:C428"/>
    <mergeCell ref="J422:J428"/>
    <mergeCell ref="K422:K428"/>
    <mergeCell ref="A429:A435"/>
    <mergeCell ref="B429:B435"/>
    <mergeCell ref="C429:C435"/>
    <mergeCell ref="J429:J435"/>
    <mergeCell ref="K429:K435"/>
    <mergeCell ref="A436:A442"/>
    <mergeCell ref="B436:B442"/>
    <mergeCell ref="C436:C442"/>
    <mergeCell ref="J436:J442"/>
    <mergeCell ref="K436:K442"/>
    <mergeCell ref="A443:A449"/>
    <mergeCell ref="B443:B449"/>
    <mergeCell ref="C443:C449"/>
    <mergeCell ref="J443:J449"/>
    <mergeCell ref="K443:K449"/>
    <mergeCell ref="A464:A470"/>
    <mergeCell ref="B464:B470"/>
    <mergeCell ref="C464:C470"/>
    <mergeCell ref="J464:J470"/>
    <mergeCell ref="K464:K470"/>
    <mergeCell ref="L464:L470"/>
    <mergeCell ref="A450:A456"/>
    <mergeCell ref="B450:B456"/>
    <mergeCell ref="C450:C456"/>
    <mergeCell ref="J450:J456"/>
    <mergeCell ref="K450:K456"/>
    <mergeCell ref="A457:A463"/>
    <mergeCell ref="B457:B463"/>
    <mergeCell ref="C457:C463"/>
    <mergeCell ref="J457:J463"/>
    <mergeCell ref="K457:K463"/>
    <mergeCell ref="A478:A484"/>
    <mergeCell ref="B478:B484"/>
    <mergeCell ref="C478:C484"/>
    <mergeCell ref="J478:J484"/>
    <mergeCell ref="K478:K484"/>
    <mergeCell ref="L478:L484"/>
    <mergeCell ref="A471:A477"/>
    <mergeCell ref="B471:B477"/>
    <mergeCell ref="C471:C477"/>
    <mergeCell ref="J471:J477"/>
    <mergeCell ref="K471:K477"/>
    <mergeCell ref="L471:L477"/>
    <mergeCell ref="A485:A491"/>
    <mergeCell ref="B485:B491"/>
    <mergeCell ref="C485:C491"/>
    <mergeCell ref="J485:J491"/>
    <mergeCell ref="K485:K491"/>
    <mergeCell ref="A492:A498"/>
    <mergeCell ref="B492:B498"/>
    <mergeCell ref="C492:C498"/>
    <mergeCell ref="J492:J498"/>
    <mergeCell ref="K492:K498"/>
    <mergeCell ref="A513:A519"/>
    <mergeCell ref="B513:B519"/>
    <mergeCell ref="C513:C519"/>
    <mergeCell ref="J513:J519"/>
    <mergeCell ref="K513:K519"/>
    <mergeCell ref="L513:L519"/>
    <mergeCell ref="A499:A505"/>
    <mergeCell ref="B499:B505"/>
    <mergeCell ref="C499:C505"/>
    <mergeCell ref="J499:J505"/>
    <mergeCell ref="K499:K505"/>
    <mergeCell ref="A506:A512"/>
    <mergeCell ref="B506:B512"/>
    <mergeCell ref="C506:C512"/>
    <mergeCell ref="J506:J512"/>
    <mergeCell ref="K506:K512"/>
    <mergeCell ref="L527:L533"/>
    <mergeCell ref="A534:A540"/>
    <mergeCell ref="B534:B540"/>
    <mergeCell ref="C534:C540"/>
    <mergeCell ref="J534:J540"/>
    <mergeCell ref="K534:K540"/>
    <mergeCell ref="A520:A526"/>
    <mergeCell ref="B520:B526"/>
    <mergeCell ref="C520:C526"/>
    <mergeCell ref="J520:J526"/>
    <mergeCell ref="K520:K526"/>
    <mergeCell ref="A527:A533"/>
    <mergeCell ref="B527:B533"/>
    <mergeCell ref="C527:C533"/>
    <mergeCell ref="J527:J533"/>
    <mergeCell ref="K527:K533"/>
    <mergeCell ref="L548:L550"/>
    <mergeCell ref="A555:A561"/>
    <mergeCell ref="B555:B561"/>
    <mergeCell ref="C555:C561"/>
    <mergeCell ref="J555:J561"/>
    <mergeCell ref="K555:K561"/>
    <mergeCell ref="A541:A547"/>
    <mergeCell ref="B541:B547"/>
    <mergeCell ref="C541:C547"/>
    <mergeCell ref="J541:J547"/>
    <mergeCell ref="K541:K547"/>
    <mergeCell ref="A548:A554"/>
    <mergeCell ref="B548:B554"/>
    <mergeCell ref="C548:C554"/>
    <mergeCell ref="J548:J554"/>
    <mergeCell ref="K548:K554"/>
    <mergeCell ref="A562:A567"/>
    <mergeCell ref="B562:B567"/>
    <mergeCell ref="C562:C567"/>
    <mergeCell ref="J562:J567"/>
    <mergeCell ref="K562:K567"/>
    <mergeCell ref="A568:A573"/>
    <mergeCell ref="B568:B573"/>
    <mergeCell ref="C568:C573"/>
    <mergeCell ref="J568:J573"/>
    <mergeCell ref="K568:K573"/>
    <mergeCell ref="A574:A580"/>
    <mergeCell ref="B574:B580"/>
    <mergeCell ref="C574:C580"/>
    <mergeCell ref="J574:J580"/>
    <mergeCell ref="K574:K580"/>
    <mergeCell ref="A581:A587"/>
    <mergeCell ref="B581:B587"/>
    <mergeCell ref="C581:C587"/>
    <mergeCell ref="J581:J587"/>
    <mergeCell ref="K581:K587"/>
    <mergeCell ref="A588:A594"/>
    <mergeCell ref="B588:B594"/>
    <mergeCell ref="C588:C594"/>
    <mergeCell ref="J588:J594"/>
    <mergeCell ref="K588:K594"/>
    <mergeCell ref="A595:A601"/>
    <mergeCell ref="B595:B601"/>
    <mergeCell ref="C595:C601"/>
    <mergeCell ref="J595:J601"/>
    <mergeCell ref="K595:K601"/>
    <mergeCell ref="A602:A608"/>
    <mergeCell ref="B602:B608"/>
    <mergeCell ref="C602:C608"/>
    <mergeCell ref="J602:J608"/>
    <mergeCell ref="K602:K608"/>
    <mergeCell ref="A609:A615"/>
    <mergeCell ref="B609:B615"/>
    <mergeCell ref="C609:C615"/>
    <mergeCell ref="J609:J615"/>
    <mergeCell ref="K609:K615"/>
    <mergeCell ref="A616:A622"/>
    <mergeCell ref="B616:B622"/>
    <mergeCell ref="C616:C622"/>
    <mergeCell ref="J616:J622"/>
    <mergeCell ref="K616:K622"/>
    <mergeCell ref="A623:A629"/>
    <mergeCell ref="B623:B629"/>
    <mergeCell ref="C623:C629"/>
    <mergeCell ref="J623:J629"/>
    <mergeCell ref="K623:K629"/>
    <mergeCell ref="A630:A636"/>
    <mergeCell ref="B630:B636"/>
    <mergeCell ref="C630:C636"/>
    <mergeCell ref="J630:J636"/>
    <mergeCell ref="K630:K636"/>
    <mergeCell ref="A637:A643"/>
    <mergeCell ref="B637:B643"/>
    <mergeCell ref="C637:C643"/>
    <mergeCell ref="J637:J643"/>
    <mergeCell ref="K637:K643"/>
    <mergeCell ref="A644:A650"/>
    <mergeCell ref="B644:B650"/>
    <mergeCell ref="C644:C650"/>
    <mergeCell ref="J644:J650"/>
    <mergeCell ref="K644:K650"/>
    <mergeCell ref="A651:A657"/>
    <mergeCell ref="B651:B657"/>
    <mergeCell ref="C651:C657"/>
    <mergeCell ref="J651:J657"/>
    <mergeCell ref="K651:K657"/>
    <mergeCell ref="A658:A664"/>
    <mergeCell ref="B658:B664"/>
    <mergeCell ref="C658:C664"/>
    <mergeCell ref="J658:J664"/>
    <mergeCell ref="K658:K664"/>
    <mergeCell ref="A665:A671"/>
    <mergeCell ref="B665:B671"/>
    <mergeCell ref="C665:C671"/>
    <mergeCell ref="J665:J671"/>
    <mergeCell ref="K665:K671"/>
    <mergeCell ref="A672:A678"/>
    <mergeCell ref="B672:B678"/>
    <mergeCell ref="C672:C678"/>
    <mergeCell ref="J672:J678"/>
    <mergeCell ref="K672:K678"/>
    <mergeCell ref="A679:A685"/>
    <mergeCell ref="B679:B685"/>
    <mergeCell ref="C679:C685"/>
    <mergeCell ref="J679:J685"/>
    <mergeCell ref="K679:K685"/>
    <mergeCell ref="A686:A692"/>
    <mergeCell ref="B686:B692"/>
    <mergeCell ref="C686:C692"/>
    <mergeCell ref="J686:J692"/>
    <mergeCell ref="K686:K692"/>
    <mergeCell ref="A693:A699"/>
    <mergeCell ref="B693:B699"/>
    <mergeCell ref="C693:C699"/>
    <mergeCell ref="J693:J699"/>
    <mergeCell ref="K693:K699"/>
    <mergeCell ref="A700:A706"/>
    <mergeCell ref="B700:B706"/>
    <mergeCell ref="C700:C706"/>
    <mergeCell ref="J700:J706"/>
    <mergeCell ref="K700:K706"/>
    <mergeCell ref="A707:A713"/>
    <mergeCell ref="B707:B713"/>
    <mergeCell ref="C707:C713"/>
    <mergeCell ref="J707:J713"/>
    <mergeCell ref="K707:K713"/>
    <mergeCell ref="A714:A720"/>
    <mergeCell ref="B714:B720"/>
    <mergeCell ref="C714:C720"/>
    <mergeCell ref="J714:J720"/>
    <mergeCell ref="K714:K720"/>
    <mergeCell ref="A721:A727"/>
    <mergeCell ref="B721:B727"/>
    <mergeCell ref="C721:C727"/>
    <mergeCell ref="J721:J727"/>
    <mergeCell ref="K721:K727"/>
    <mergeCell ref="A728:A734"/>
    <mergeCell ref="B728:B734"/>
    <mergeCell ref="C728:C734"/>
    <mergeCell ref="J728:J734"/>
    <mergeCell ref="K728:K734"/>
    <mergeCell ref="A735:A741"/>
    <mergeCell ref="B735:B741"/>
    <mergeCell ref="C735:C741"/>
    <mergeCell ref="J735:J741"/>
    <mergeCell ref="K735:K741"/>
    <mergeCell ref="A742:A748"/>
    <mergeCell ref="B742:B748"/>
    <mergeCell ref="C742:C748"/>
    <mergeCell ref="J742:J748"/>
    <mergeCell ref="K742:K748"/>
    <mergeCell ref="A749:A755"/>
    <mergeCell ref="B749:B755"/>
    <mergeCell ref="C749:C755"/>
    <mergeCell ref="J749:J755"/>
    <mergeCell ref="K749:K755"/>
    <mergeCell ref="A756:A762"/>
    <mergeCell ref="B756:B762"/>
    <mergeCell ref="C756:C762"/>
    <mergeCell ref="J756:J762"/>
    <mergeCell ref="K756:K762"/>
    <mergeCell ref="A763:A769"/>
    <mergeCell ref="B763:B769"/>
    <mergeCell ref="C763:C769"/>
    <mergeCell ref="J763:J769"/>
    <mergeCell ref="K763:K769"/>
    <mergeCell ref="A770:A776"/>
    <mergeCell ref="B770:B776"/>
    <mergeCell ref="C770:C776"/>
    <mergeCell ref="J770:J776"/>
    <mergeCell ref="K770:K776"/>
    <mergeCell ref="A777:A783"/>
    <mergeCell ref="B777:B783"/>
    <mergeCell ref="C777:C783"/>
    <mergeCell ref="J777:J783"/>
    <mergeCell ref="K777:K783"/>
    <mergeCell ref="A784:A790"/>
    <mergeCell ref="B784:B790"/>
    <mergeCell ref="C784:C790"/>
    <mergeCell ref="J784:J790"/>
    <mergeCell ref="K784:K790"/>
    <mergeCell ref="A791:A797"/>
    <mergeCell ref="B791:B797"/>
    <mergeCell ref="C791:C797"/>
    <mergeCell ref="J791:J797"/>
    <mergeCell ref="K791:K797"/>
    <mergeCell ref="A798:A804"/>
    <mergeCell ref="B798:B804"/>
    <mergeCell ref="C798:C804"/>
    <mergeCell ref="J798:J804"/>
    <mergeCell ref="K798:K804"/>
    <mergeCell ref="A805:A811"/>
    <mergeCell ref="B805:B811"/>
    <mergeCell ref="C805:C811"/>
    <mergeCell ref="J805:J811"/>
    <mergeCell ref="K805:K811"/>
    <mergeCell ref="A812:A818"/>
    <mergeCell ref="B812:B818"/>
    <mergeCell ref="C812:C818"/>
    <mergeCell ref="J812:J818"/>
    <mergeCell ref="K812:K818"/>
    <mergeCell ref="A819:A825"/>
    <mergeCell ref="B819:B825"/>
    <mergeCell ref="C819:C825"/>
    <mergeCell ref="J819:J825"/>
    <mergeCell ref="K819:K825"/>
    <mergeCell ref="A826:A832"/>
    <mergeCell ref="B826:B832"/>
    <mergeCell ref="C826:C832"/>
    <mergeCell ref="J826:J832"/>
    <mergeCell ref="K826:K832"/>
    <mergeCell ref="A833:A839"/>
    <mergeCell ref="B833:B839"/>
    <mergeCell ref="C833:C839"/>
    <mergeCell ref="J833:J839"/>
    <mergeCell ref="K833:K839"/>
    <mergeCell ref="A840:A846"/>
    <mergeCell ref="B840:B846"/>
    <mergeCell ref="C840:C846"/>
    <mergeCell ref="J840:J846"/>
    <mergeCell ref="K840:K846"/>
    <mergeCell ref="A847:A853"/>
    <mergeCell ref="B847:B853"/>
    <mergeCell ref="C847:C853"/>
    <mergeCell ref="J847:J853"/>
    <mergeCell ref="K847:K853"/>
    <mergeCell ref="A854:A860"/>
    <mergeCell ref="B854:B860"/>
    <mergeCell ref="C854:C860"/>
    <mergeCell ref="J854:J860"/>
    <mergeCell ref="K854:K860"/>
    <mergeCell ref="A861:A867"/>
    <mergeCell ref="B861:B867"/>
    <mergeCell ref="C861:C867"/>
    <mergeCell ref="J861:J867"/>
    <mergeCell ref="K861:K867"/>
    <mergeCell ref="A868:A874"/>
    <mergeCell ref="B868:B874"/>
    <mergeCell ref="C868:C874"/>
    <mergeCell ref="J868:J874"/>
    <mergeCell ref="K868:K874"/>
    <mergeCell ref="A875:A881"/>
    <mergeCell ref="B875:B881"/>
    <mergeCell ref="C875:C881"/>
    <mergeCell ref="J875:J881"/>
    <mergeCell ref="K875:K881"/>
    <mergeCell ref="A882:A888"/>
    <mergeCell ref="B882:B888"/>
    <mergeCell ref="C882:C888"/>
    <mergeCell ref="J882:J888"/>
    <mergeCell ref="K882:K888"/>
    <mergeCell ref="A889:A895"/>
    <mergeCell ref="B889:B895"/>
    <mergeCell ref="C889:C895"/>
    <mergeCell ref="J889:J895"/>
    <mergeCell ref="K889:K895"/>
    <mergeCell ref="A903:A909"/>
    <mergeCell ref="B903:B909"/>
    <mergeCell ref="C903:C909"/>
    <mergeCell ref="J903:J909"/>
    <mergeCell ref="K903:K909"/>
    <mergeCell ref="L903:L908"/>
    <mergeCell ref="A896:A902"/>
    <mergeCell ref="B896:B902"/>
    <mergeCell ref="C896:C902"/>
    <mergeCell ref="J896:J902"/>
    <mergeCell ref="K896:K902"/>
    <mergeCell ref="L896:L901"/>
    <mergeCell ref="A910:A916"/>
    <mergeCell ref="B910:B916"/>
    <mergeCell ref="C910:C916"/>
    <mergeCell ref="J910:J916"/>
    <mergeCell ref="K910:K916"/>
    <mergeCell ref="A917:A923"/>
    <mergeCell ref="B917:B923"/>
    <mergeCell ref="C917:C923"/>
    <mergeCell ref="J917:J923"/>
    <mergeCell ref="K917:K923"/>
    <mergeCell ref="A938:A944"/>
    <mergeCell ref="B938:B944"/>
    <mergeCell ref="C938:C944"/>
    <mergeCell ref="J938:J944"/>
    <mergeCell ref="K938:K944"/>
    <mergeCell ref="A924:A930"/>
    <mergeCell ref="B924:B930"/>
    <mergeCell ref="C924:C930"/>
    <mergeCell ref="J924:J930"/>
    <mergeCell ref="K924:K930"/>
    <mergeCell ref="A931:A937"/>
    <mergeCell ref="B931:B937"/>
    <mergeCell ref="C931:C937"/>
    <mergeCell ref="J931:J937"/>
    <mergeCell ref="K931:K937"/>
  </mergeCells>
  <pageMargins left="0.11811023622047245" right="0.11811023622047245" top="0.15748031496062992" bottom="0.15748031496062992" header="0.11811023622047245" footer="0.11811023622047245"/>
  <pageSetup paperSize="9" scale="66" firstPageNumber="4294967295" fitToHeight="0" orientation="landscape" r:id="rId1"/>
  <headerFooter>
    <oddFooter>&amp;C&amp;P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Q46"/>
  <sheetViews>
    <sheetView zoomScale="87" zoomScaleNormal="87" workbookViewId="0">
      <pane xSplit="6" ySplit="6" topLeftCell="G7" activePane="bottomRight" state="frozen"/>
      <selection activeCell="Q13" sqref="Q13:Q16"/>
      <selection pane="topRight"/>
      <selection pane="bottomLeft"/>
      <selection pane="bottomRight" activeCell="F13" sqref="F13:F16"/>
    </sheetView>
  </sheetViews>
  <sheetFormatPr defaultRowHeight="15"/>
  <cols>
    <col min="1" max="1" width="9.140625" style="1534"/>
    <col min="2" max="2" width="28.7109375" style="1535" bestFit="1" customWidth="1"/>
    <col min="3" max="3" width="15.28515625" style="1535" bestFit="1" customWidth="1"/>
    <col min="4" max="4" width="15" style="1535" bestFit="1" customWidth="1"/>
    <col min="5" max="5" width="18.7109375" style="1535" bestFit="1" customWidth="1"/>
    <col min="6" max="6" width="16.28515625" style="1535" bestFit="1" customWidth="1"/>
    <col min="7" max="8" width="9.140625" style="1535"/>
    <col min="9" max="9" width="10.7109375" style="1535" customWidth="1"/>
    <col min="10" max="16" width="9.140625" style="1535"/>
    <col min="17" max="17" width="57.28515625" style="1535" bestFit="1" customWidth="1"/>
    <col min="18" max="16384" width="9.140625" style="219"/>
  </cols>
  <sheetData>
    <row r="2" spans="1:17">
      <c r="A2" s="1411"/>
      <c r="B2" s="1412"/>
      <c r="C2" s="1413"/>
      <c r="D2" s="1413"/>
      <c r="E2" s="1413"/>
      <c r="F2" s="1414"/>
      <c r="G2" s="1412"/>
      <c r="H2" s="1415"/>
      <c r="I2" s="1415"/>
      <c r="J2" s="1416"/>
      <c r="K2" s="1417"/>
      <c r="L2" s="1417"/>
      <c r="M2" s="1417"/>
      <c r="N2" s="1418"/>
      <c r="O2" s="1419"/>
      <c r="P2" s="1420"/>
      <c r="Q2" s="1421" t="s">
        <v>179</v>
      </c>
    </row>
    <row r="3" spans="1:17">
      <c r="A3" s="1422" t="s">
        <v>707</v>
      </c>
      <c r="B3" s="1422"/>
      <c r="C3" s="1422"/>
      <c r="D3" s="1422"/>
      <c r="E3" s="1422"/>
      <c r="F3" s="1422"/>
      <c r="G3" s="1422"/>
      <c r="H3" s="1422"/>
      <c r="I3" s="1422"/>
      <c r="J3" s="1422"/>
      <c r="K3" s="1422"/>
      <c r="L3" s="1422"/>
      <c r="M3" s="1422"/>
      <c r="N3" s="1422"/>
      <c r="O3" s="1422"/>
      <c r="P3" s="1422"/>
      <c r="Q3" s="1422"/>
    </row>
    <row r="4" spans="1:17">
      <c r="A4" s="1423"/>
      <c r="B4" s="1424"/>
      <c r="C4" s="1425"/>
      <c r="D4" s="1425"/>
      <c r="E4" s="1425"/>
      <c r="F4" s="1426"/>
      <c r="G4" s="1424"/>
      <c r="H4" s="1427"/>
      <c r="I4" s="1427"/>
      <c r="J4" s="1428"/>
      <c r="K4" s="1427"/>
      <c r="L4" s="1427"/>
      <c r="M4" s="1427"/>
      <c r="N4" s="1429"/>
      <c r="O4" s="1430"/>
      <c r="P4" s="1431"/>
      <c r="Q4" s="1427"/>
    </row>
    <row r="5" spans="1:17" ht="27" customHeight="1">
      <c r="A5" s="1432" t="s">
        <v>51</v>
      </c>
      <c r="B5" s="1432" t="s">
        <v>180</v>
      </c>
      <c r="C5" s="1433" t="s">
        <v>181</v>
      </c>
      <c r="D5" s="1433" t="s">
        <v>182</v>
      </c>
      <c r="E5" s="1433" t="s">
        <v>183</v>
      </c>
      <c r="F5" s="1434" t="s">
        <v>184</v>
      </c>
      <c r="G5" s="1433" t="s">
        <v>185</v>
      </c>
      <c r="H5" s="1435" t="s">
        <v>612</v>
      </c>
      <c r="I5" s="1436"/>
      <c r="J5" s="1434" t="s">
        <v>186</v>
      </c>
      <c r="K5" s="1435" t="s">
        <v>1039</v>
      </c>
      <c r="L5" s="1437"/>
      <c r="M5" s="1437"/>
      <c r="N5" s="1436"/>
      <c r="O5" s="1438" t="s">
        <v>187</v>
      </c>
      <c r="P5" s="1439" t="s">
        <v>188</v>
      </c>
      <c r="Q5" s="1433" t="s">
        <v>189</v>
      </c>
    </row>
    <row r="6" spans="1:17" ht="90">
      <c r="A6" s="1440"/>
      <c r="B6" s="1440"/>
      <c r="C6" s="1441"/>
      <c r="D6" s="1441"/>
      <c r="E6" s="1441"/>
      <c r="F6" s="1442"/>
      <c r="G6" s="1441"/>
      <c r="H6" s="1443" t="s">
        <v>190</v>
      </c>
      <c r="I6" s="1444" t="s">
        <v>191</v>
      </c>
      <c r="J6" s="1442"/>
      <c r="K6" s="1445" t="s">
        <v>52</v>
      </c>
      <c r="L6" s="1444" t="s">
        <v>192</v>
      </c>
      <c r="M6" s="1444" t="s">
        <v>193</v>
      </c>
      <c r="N6" s="1446" t="s">
        <v>194</v>
      </c>
      <c r="O6" s="1447"/>
      <c r="P6" s="1448"/>
      <c r="Q6" s="1441"/>
    </row>
    <row r="7" spans="1:17">
      <c r="A7" s="1449"/>
      <c r="B7" s="1450" t="s">
        <v>195</v>
      </c>
      <c r="C7" s="1450"/>
      <c r="D7" s="1450"/>
      <c r="E7" s="1450"/>
      <c r="F7" s="1450"/>
      <c r="G7" s="1451" t="s">
        <v>3</v>
      </c>
      <c r="H7" s="1452">
        <f t="shared" ref="H7:M7" si="0">H8+H9+H10+H11</f>
        <v>477806.01645000005</v>
      </c>
      <c r="I7" s="1452">
        <f t="shared" si="0"/>
        <v>280648.80000000005</v>
      </c>
      <c r="J7" s="1452" t="e">
        <f t="shared" si="0"/>
        <v>#REF!</v>
      </c>
      <c r="K7" s="1452">
        <f t="shared" si="0"/>
        <v>1270444.6057599999</v>
      </c>
      <c r="L7" s="1452">
        <f t="shared" si="0"/>
        <v>894819.3412599999</v>
      </c>
      <c r="M7" s="1452">
        <f t="shared" si="0"/>
        <v>67844.5</v>
      </c>
      <c r="N7" s="1453">
        <f t="shared" ref="N7:N11" si="1">IFERROR(L7/J7,0)</f>
        <v>0</v>
      </c>
      <c r="O7" s="1454"/>
      <c r="P7" s="1455"/>
      <c r="Q7" s="1456"/>
    </row>
    <row r="8" spans="1:17">
      <c r="A8" s="1449"/>
      <c r="B8" s="1450"/>
      <c r="C8" s="1450"/>
      <c r="D8" s="1450"/>
      <c r="E8" s="1450"/>
      <c r="F8" s="1450"/>
      <c r="G8" s="1457" t="s">
        <v>50</v>
      </c>
      <c r="H8" s="1452">
        <f>H14+H18+H23+H28+H33+H38</f>
        <v>52405.916450000004</v>
      </c>
      <c r="I8" s="1452">
        <f t="shared" ref="I8:I10" si="2">I14+I18+I23+I28+I33+I38</f>
        <v>35725.300000000003</v>
      </c>
      <c r="J8" s="1452" t="e">
        <f>J14+J18+J23+J28+J33+J38+#REF!+#REF!+J43</f>
        <v>#REF!</v>
      </c>
      <c r="K8" s="1452">
        <f>K14+K18+K23+K28+K33+K38+K43</f>
        <v>704148.72834000015</v>
      </c>
      <c r="L8" s="1452">
        <f>L14+L18+L23+L28+L33+L38</f>
        <v>457561.34925000003</v>
      </c>
      <c r="M8" s="1452">
        <f t="shared" ref="L8:M10" si="3">M14+M18+M23+M28+M33+M38</f>
        <v>67844.5</v>
      </c>
      <c r="N8" s="1453">
        <f t="shared" si="1"/>
        <v>0</v>
      </c>
      <c r="O8" s="1454"/>
      <c r="P8" s="1458"/>
      <c r="Q8" s="1450"/>
    </row>
    <row r="9" spans="1:17">
      <c r="A9" s="1449"/>
      <c r="B9" s="1450"/>
      <c r="C9" s="1450"/>
      <c r="D9" s="1450"/>
      <c r="E9" s="1450"/>
      <c r="F9" s="1450"/>
      <c r="G9" s="1457" t="s">
        <v>5</v>
      </c>
      <c r="H9" s="1452">
        <f>H15+H19+H24+H29+H34+H39</f>
        <v>424710.7</v>
      </c>
      <c r="I9" s="1452">
        <f t="shared" si="2"/>
        <v>244234.1</v>
      </c>
      <c r="J9" s="1452">
        <f>J15+J19+J24+J29+J34+J39</f>
        <v>554620.89999999991</v>
      </c>
      <c r="K9" s="1452">
        <f>K15+K19+K24+K29+K34+K39</f>
        <v>554620.89999999991</v>
      </c>
      <c r="L9" s="1452">
        <f t="shared" si="3"/>
        <v>413360.12321999995</v>
      </c>
      <c r="M9" s="1452">
        <f t="shared" si="3"/>
        <v>0</v>
      </c>
      <c r="N9" s="1453">
        <f t="shared" si="1"/>
        <v>0.7453021031482947</v>
      </c>
      <c r="O9" s="1454"/>
      <c r="P9" s="1458"/>
      <c r="Q9" s="1450"/>
    </row>
    <row r="10" spans="1:17">
      <c r="A10" s="1449"/>
      <c r="B10" s="1450"/>
      <c r="C10" s="1450"/>
      <c r="D10" s="1450"/>
      <c r="E10" s="1450"/>
      <c r="F10" s="1450"/>
      <c r="G10" s="1457" t="s">
        <v>6</v>
      </c>
      <c r="H10" s="1452">
        <f>H16+H20+H25+H30+H35+H40</f>
        <v>689.40000000000009</v>
      </c>
      <c r="I10" s="1452">
        <f t="shared" si="2"/>
        <v>689.40000000000009</v>
      </c>
      <c r="J10" s="1452">
        <f>J16+J20+J25+J30+J35+J40+J45</f>
        <v>11674.9</v>
      </c>
      <c r="K10" s="1452">
        <f>K16+K20+K25+K30+K35+K40+K45</f>
        <v>11674.977419999999</v>
      </c>
      <c r="L10" s="1452">
        <f t="shared" si="3"/>
        <v>23897.86879</v>
      </c>
      <c r="M10" s="1452">
        <f t="shared" si="3"/>
        <v>0</v>
      </c>
      <c r="N10" s="1453">
        <f t="shared" si="1"/>
        <v>2.0469441956676291</v>
      </c>
      <c r="O10" s="1454"/>
      <c r="P10" s="1458"/>
      <c r="Q10" s="1450"/>
    </row>
    <row r="11" spans="1:17">
      <c r="A11" s="1449"/>
      <c r="B11" s="1450"/>
      <c r="C11" s="1450"/>
      <c r="D11" s="1450"/>
      <c r="E11" s="1450"/>
      <c r="F11" s="1450"/>
      <c r="G11" s="1457" t="s">
        <v>7</v>
      </c>
      <c r="H11" s="1452">
        <f>H21+H26+H31+H36+H41</f>
        <v>0</v>
      </c>
      <c r="I11" s="1452">
        <f>I21+I26+I31+I36+I41</f>
        <v>0</v>
      </c>
      <c r="J11" s="1452">
        <f>J21+J26+J31+J36+J41+J46</f>
        <v>11000</v>
      </c>
      <c r="K11" s="1452">
        <f>K21+K26+K31+K36+K41</f>
        <v>0</v>
      </c>
      <c r="L11" s="1452">
        <f>L21+L26+L31+L36+L41</f>
        <v>0</v>
      </c>
      <c r="M11" s="1452">
        <f>M21+M26+M31+M36+M41</f>
        <v>0</v>
      </c>
      <c r="N11" s="1453">
        <f t="shared" si="1"/>
        <v>0</v>
      </c>
      <c r="O11" s="1454"/>
      <c r="P11" s="1459"/>
      <c r="Q11" s="1450"/>
    </row>
    <row r="12" spans="1:17">
      <c r="A12" s="1460"/>
      <c r="B12" s="1461" t="s">
        <v>196</v>
      </c>
      <c r="C12" s="1457"/>
      <c r="D12" s="1457"/>
      <c r="E12" s="1457"/>
      <c r="F12" s="1462"/>
      <c r="G12" s="1460"/>
      <c r="H12" s="1463"/>
      <c r="I12" s="1463"/>
      <c r="J12" s="1452"/>
      <c r="K12" s="1463"/>
      <c r="L12" s="1463"/>
      <c r="M12" s="1463"/>
      <c r="N12" s="1464"/>
      <c r="O12" s="1460"/>
      <c r="P12" s="1463"/>
      <c r="Q12" s="1460"/>
    </row>
    <row r="13" spans="1:17" ht="20.100000000000001" customHeight="1">
      <c r="A13" s="1465">
        <v>1</v>
      </c>
      <c r="B13" s="1465" t="s">
        <v>82</v>
      </c>
      <c r="C13" s="1465" t="s">
        <v>197</v>
      </c>
      <c r="D13" s="1465" t="s">
        <v>668</v>
      </c>
      <c r="E13" s="1465" t="s">
        <v>1063</v>
      </c>
      <c r="F13" s="1466">
        <v>1146727.8</v>
      </c>
      <c r="G13" s="1467" t="s">
        <v>3</v>
      </c>
      <c r="H13" s="1468">
        <f>SUM(H14:H16)</f>
        <v>197157.21645000001</v>
      </c>
      <c r="I13" s="1468">
        <f>SUM(I14:I16)</f>
        <v>0</v>
      </c>
      <c r="J13" s="1468">
        <v>703766.1</v>
      </c>
      <c r="K13" s="1468">
        <f>K14+K15+K16</f>
        <v>620615.67833999998</v>
      </c>
      <c r="L13" s="1468">
        <f>SUM(L14:L16)</f>
        <v>322320.92829000001</v>
      </c>
      <c r="M13" s="1468">
        <f>SUM(M14:M16)</f>
        <v>67844.5</v>
      </c>
      <c r="N13" s="1469">
        <f>L13/J13</f>
        <v>0.45799439371973161</v>
      </c>
      <c r="O13" s="1469">
        <f>(I13+L13+M13)/F13</f>
        <v>0.34024240825939689</v>
      </c>
      <c r="P13" s="1470">
        <f>F13-H13-K13</f>
        <v>328954.90521000011</v>
      </c>
      <c r="Q13" s="1471" t="s">
        <v>1086</v>
      </c>
    </row>
    <row r="14" spans="1:17" ht="20.100000000000001" customHeight="1">
      <c r="A14" s="1472"/>
      <c r="B14" s="1472"/>
      <c r="C14" s="1472"/>
      <c r="D14" s="1472"/>
      <c r="E14" s="1472"/>
      <c r="F14" s="1473"/>
      <c r="G14" s="1474" t="s">
        <v>4</v>
      </c>
      <c r="H14" s="1475">
        <v>16680.616449999998</v>
      </c>
      <c r="I14" s="1468">
        <v>0</v>
      </c>
      <c r="J14" s="1475">
        <v>333657.5</v>
      </c>
      <c r="K14" s="1468">
        <v>250507.07834000001</v>
      </c>
      <c r="L14" s="1468">
        <v>93473.105070000005</v>
      </c>
      <c r="M14" s="1468">
        <v>67844.5</v>
      </c>
      <c r="N14" s="1476"/>
      <c r="O14" s="1476"/>
      <c r="P14" s="1477"/>
      <c r="Q14" s="1478"/>
    </row>
    <row r="15" spans="1:17" ht="20.100000000000001" customHeight="1">
      <c r="A15" s="1472"/>
      <c r="B15" s="1472"/>
      <c r="C15" s="1472"/>
      <c r="D15" s="1472"/>
      <c r="E15" s="1472"/>
      <c r="F15" s="1473"/>
      <c r="G15" s="1474" t="s">
        <v>5</v>
      </c>
      <c r="H15" s="1475">
        <v>180476.6</v>
      </c>
      <c r="I15" s="1468">
        <v>0</v>
      </c>
      <c r="J15" s="1475">
        <v>370108.6</v>
      </c>
      <c r="K15" s="1468">
        <v>370108.6</v>
      </c>
      <c r="L15" s="1468">
        <v>228847.82321999999</v>
      </c>
      <c r="M15" s="1475">
        <v>0</v>
      </c>
      <c r="N15" s="1476"/>
      <c r="O15" s="1476"/>
      <c r="P15" s="1477"/>
      <c r="Q15" s="1478"/>
    </row>
    <row r="16" spans="1:17" ht="20.100000000000001" customHeight="1">
      <c r="A16" s="1479"/>
      <c r="B16" s="1479"/>
      <c r="C16" s="1479"/>
      <c r="D16" s="1479"/>
      <c r="E16" s="1479"/>
      <c r="F16" s="1480"/>
      <c r="G16" s="1474" t="s">
        <v>6</v>
      </c>
      <c r="H16" s="1481">
        <v>0</v>
      </c>
      <c r="I16" s="1468">
        <v>0</v>
      </c>
      <c r="J16" s="1481"/>
      <c r="K16" s="1482">
        <v>0</v>
      </c>
      <c r="L16" s="1482"/>
      <c r="M16" s="1481">
        <v>0</v>
      </c>
      <c r="N16" s="1483"/>
      <c r="O16" s="1483"/>
      <c r="P16" s="1484"/>
      <c r="Q16" s="1485"/>
    </row>
    <row r="17" spans="1:17" ht="24.95" customHeight="1">
      <c r="A17" s="1486">
        <v>2</v>
      </c>
      <c r="B17" s="1487" t="s">
        <v>601</v>
      </c>
      <c r="C17" s="1487" t="s">
        <v>200</v>
      </c>
      <c r="D17" s="1488" t="s">
        <v>201</v>
      </c>
      <c r="E17" s="1487" t="s">
        <v>202</v>
      </c>
      <c r="F17" s="1489">
        <v>2269859.2000000002</v>
      </c>
      <c r="G17" s="1467" t="s">
        <v>3</v>
      </c>
      <c r="H17" s="1490">
        <f t="shared" ref="H17:M27" si="4">SUM(H18:H21)</f>
        <v>65440</v>
      </c>
      <c r="I17" s="1468">
        <f t="shared" si="4"/>
        <v>65440</v>
      </c>
      <c r="J17" s="1490">
        <f t="shared" si="4"/>
        <v>92170</v>
      </c>
      <c r="K17" s="1490">
        <f t="shared" si="4"/>
        <v>92170</v>
      </c>
      <c r="L17" s="1490">
        <f t="shared" si="4"/>
        <v>92170</v>
      </c>
      <c r="M17" s="1490">
        <f t="shared" si="4"/>
        <v>0</v>
      </c>
      <c r="N17" s="1491">
        <f>L17/J17</f>
        <v>1</v>
      </c>
      <c r="O17" s="1491">
        <f>(I17+L17+M17)/F17</f>
        <v>6.9436024930533136E-2</v>
      </c>
      <c r="P17" s="1492">
        <f>F17-H17-K17</f>
        <v>2112249.2000000002</v>
      </c>
      <c r="Q17" s="1493" t="s">
        <v>1064</v>
      </c>
    </row>
    <row r="18" spans="1:17" ht="24.95" customHeight="1">
      <c r="A18" s="1494"/>
      <c r="B18" s="1487"/>
      <c r="C18" s="1487"/>
      <c r="D18" s="1495"/>
      <c r="E18" s="1487"/>
      <c r="F18" s="1489"/>
      <c r="G18" s="1474" t="s">
        <v>4</v>
      </c>
      <c r="H18" s="1490">
        <v>0</v>
      </c>
      <c r="I18" s="1468">
        <v>0</v>
      </c>
      <c r="J18" s="1490">
        <v>92170</v>
      </c>
      <c r="K18" s="1490">
        <v>92170</v>
      </c>
      <c r="L18" s="1490">
        <v>92170</v>
      </c>
      <c r="M18" s="1490">
        <v>0</v>
      </c>
      <c r="N18" s="1495"/>
      <c r="O18" s="1495"/>
      <c r="P18" s="1496"/>
      <c r="Q18" s="1497"/>
    </row>
    <row r="19" spans="1:17" ht="24.95" customHeight="1">
      <c r="A19" s="1494"/>
      <c r="B19" s="1487"/>
      <c r="C19" s="1487"/>
      <c r="D19" s="1495"/>
      <c r="E19" s="1487"/>
      <c r="F19" s="1489"/>
      <c r="G19" s="1474" t="s">
        <v>5</v>
      </c>
      <c r="H19" s="1490">
        <v>65440</v>
      </c>
      <c r="I19" s="1468">
        <v>65440</v>
      </c>
      <c r="J19" s="1490">
        <v>0</v>
      </c>
      <c r="K19" s="1490">
        <v>0</v>
      </c>
      <c r="L19" s="1490">
        <v>0</v>
      </c>
      <c r="M19" s="1490">
        <v>0</v>
      </c>
      <c r="N19" s="1495"/>
      <c r="O19" s="1495"/>
      <c r="P19" s="1496"/>
      <c r="Q19" s="1497"/>
    </row>
    <row r="20" spans="1:17" ht="24.95" customHeight="1">
      <c r="A20" s="1494"/>
      <c r="B20" s="1487"/>
      <c r="C20" s="1487"/>
      <c r="D20" s="1495"/>
      <c r="E20" s="1487"/>
      <c r="F20" s="1489"/>
      <c r="G20" s="1474" t="s">
        <v>6</v>
      </c>
      <c r="H20" s="1490">
        <v>0</v>
      </c>
      <c r="I20" s="1481">
        <v>0</v>
      </c>
      <c r="J20" s="1490">
        <v>0</v>
      </c>
      <c r="K20" s="1490">
        <v>0</v>
      </c>
      <c r="L20" s="1490">
        <v>0</v>
      </c>
      <c r="M20" s="1490">
        <v>0</v>
      </c>
      <c r="N20" s="1495"/>
      <c r="O20" s="1495"/>
      <c r="P20" s="1496"/>
      <c r="Q20" s="1497"/>
    </row>
    <row r="21" spans="1:17" ht="24.95" customHeight="1">
      <c r="A21" s="1498"/>
      <c r="B21" s="1487"/>
      <c r="C21" s="1487"/>
      <c r="D21" s="1499"/>
      <c r="E21" s="1487"/>
      <c r="F21" s="1489"/>
      <c r="G21" s="1474" t="s">
        <v>7</v>
      </c>
      <c r="H21" s="1490">
        <v>0</v>
      </c>
      <c r="I21" s="1481">
        <v>0</v>
      </c>
      <c r="J21" s="1490">
        <v>0</v>
      </c>
      <c r="K21" s="1490">
        <v>0</v>
      </c>
      <c r="L21" s="1490">
        <v>0</v>
      </c>
      <c r="M21" s="1490">
        <v>0</v>
      </c>
      <c r="N21" s="1499"/>
      <c r="O21" s="1499"/>
      <c r="P21" s="1500"/>
      <c r="Q21" s="1501"/>
    </row>
    <row r="22" spans="1:17" ht="27.75" customHeight="1">
      <c r="A22" s="1486">
        <v>3</v>
      </c>
      <c r="B22" s="1487" t="s">
        <v>602</v>
      </c>
      <c r="C22" s="1487" t="s">
        <v>203</v>
      </c>
      <c r="D22" s="1488" t="s">
        <v>201</v>
      </c>
      <c r="E22" s="1487" t="s">
        <v>603</v>
      </c>
      <c r="F22" s="1502">
        <v>1771548.1</v>
      </c>
      <c r="G22" s="1467" t="s">
        <v>3</v>
      </c>
      <c r="H22" s="1490">
        <f t="shared" si="4"/>
        <v>51403.1</v>
      </c>
      <c r="I22" s="1503">
        <f t="shared" si="4"/>
        <v>51403.1</v>
      </c>
      <c r="J22" s="1490">
        <f t="shared" si="4"/>
        <v>259876.5</v>
      </c>
      <c r="K22" s="1490">
        <f t="shared" si="4"/>
        <v>259876.5</v>
      </c>
      <c r="L22" s="1490">
        <f t="shared" si="4"/>
        <v>259876.5</v>
      </c>
      <c r="M22" s="1490">
        <f t="shared" si="4"/>
        <v>0</v>
      </c>
      <c r="N22" s="1491">
        <f>L22/J22</f>
        <v>1</v>
      </c>
      <c r="O22" s="1491">
        <f>(I22+L22+M22)/F22</f>
        <v>0.17571049863111252</v>
      </c>
      <c r="P22" s="1492">
        <f>F22-H22-K22</f>
        <v>1460268.5</v>
      </c>
      <c r="Q22" s="1504" t="s">
        <v>1040</v>
      </c>
    </row>
    <row r="23" spans="1:17" ht="29.25" customHeight="1">
      <c r="A23" s="1494"/>
      <c r="B23" s="1487"/>
      <c r="C23" s="1487"/>
      <c r="D23" s="1495"/>
      <c r="E23" s="1487"/>
      <c r="F23" s="1502"/>
      <c r="G23" s="1474" t="s">
        <v>4</v>
      </c>
      <c r="H23" s="1490">
        <v>0</v>
      </c>
      <c r="I23" s="1505">
        <v>0</v>
      </c>
      <c r="J23" s="1490">
        <v>75364.2</v>
      </c>
      <c r="K23" s="1490">
        <v>75364.2</v>
      </c>
      <c r="L23" s="1490">
        <v>75364.2</v>
      </c>
      <c r="M23" s="1490">
        <v>0</v>
      </c>
      <c r="N23" s="1495"/>
      <c r="O23" s="1495"/>
      <c r="P23" s="1496"/>
      <c r="Q23" s="1506"/>
    </row>
    <row r="24" spans="1:17" ht="35.25" customHeight="1">
      <c r="A24" s="1494"/>
      <c r="B24" s="1487"/>
      <c r="C24" s="1487"/>
      <c r="D24" s="1495"/>
      <c r="E24" s="1487"/>
      <c r="F24" s="1502"/>
      <c r="G24" s="1474" t="s">
        <v>5</v>
      </c>
      <c r="H24" s="1490">
        <v>51403.1</v>
      </c>
      <c r="I24" s="1468">
        <v>51403.1</v>
      </c>
      <c r="J24" s="1490">
        <v>184512.3</v>
      </c>
      <c r="K24" s="1490">
        <v>184512.3</v>
      </c>
      <c r="L24" s="1490">
        <v>184512.3</v>
      </c>
      <c r="M24" s="1490">
        <v>0</v>
      </c>
      <c r="N24" s="1495"/>
      <c r="O24" s="1495"/>
      <c r="P24" s="1496"/>
      <c r="Q24" s="1506"/>
    </row>
    <row r="25" spans="1:17" ht="31.5" customHeight="1">
      <c r="A25" s="1494"/>
      <c r="B25" s="1487"/>
      <c r="C25" s="1487"/>
      <c r="D25" s="1495"/>
      <c r="E25" s="1487"/>
      <c r="F25" s="1502"/>
      <c r="G25" s="1474" t="s">
        <v>6</v>
      </c>
      <c r="H25" s="1490">
        <v>0</v>
      </c>
      <c r="I25" s="1468">
        <v>0</v>
      </c>
      <c r="J25" s="1490">
        <v>0</v>
      </c>
      <c r="K25" s="1490">
        <v>0</v>
      </c>
      <c r="L25" s="1490">
        <v>0</v>
      </c>
      <c r="M25" s="1490">
        <v>0</v>
      </c>
      <c r="N25" s="1495"/>
      <c r="O25" s="1495"/>
      <c r="P25" s="1496"/>
      <c r="Q25" s="1506"/>
    </row>
    <row r="26" spans="1:17" ht="22.5" customHeight="1">
      <c r="A26" s="1498"/>
      <c r="B26" s="1487"/>
      <c r="C26" s="1487"/>
      <c r="D26" s="1499"/>
      <c r="E26" s="1487"/>
      <c r="F26" s="1502"/>
      <c r="G26" s="1474" t="s">
        <v>7</v>
      </c>
      <c r="H26" s="1490">
        <v>0</v>
      </c>
      <c r="I26" s="1468">
        <v>0</v>
      </c>
      <c r="J26" s="1490">
        <v>0</v>
      </c>
      <c r="K26" s="1490">
        <v>0</v>
      </c>
      <c r="L26" s="1490">
        <v>0</v>
      </c>
      <c r="M26" s="1490">
        <v>0</v>
      </c>
      <c r="N26" s="1499"/>
      <c r="O26" s="1499"/>
      <c r="P26" s="1500"/>
      <c r="Q26" s="1507"/>
    </row>
    <row r="27" spans="1:17" ht="25.5" customHeight="1">
      <c r="A27" s="1486">
        <v>4</v>
      </c>
      <c r="B27" s="1488" t="s">
        <v>204</v>
      </c>
      <c r="C27" s="1488" t="s">
        <v>205</v>
      </c>
      <c r="D27" s="1488" t="s">
        <v>201</v>
      </c>
      <c r="E27" s="1488" t="s">
        <v>217</v>
      </c>
      <c r="F27" s="1492">
        <v>349770.9</v>
      </c>
      <c r="G27" s="1474" t="s">
        <v>3</v>
      </c>
      <c r="H27" s="1490">
        <f t="shared" si="4"/>
        <v>135522.9</v>
      </c>
      <c r="I27" s="1468">
        <f>SUM(I28:I31)</f>
        <v>135522.9</v>
      </c>
      <c r="J27" s="1490">
        <f>SUM(J28:J31)</f>
        <v>214248</v>
      </c>
      <c r="K27" s="1490">
        <f>K28+K29+K30</f>
        <v>214248.1</v>
      </c>
      <c r="L27" s="1490">
        <f>L28+L29+L30</f>
        <v>140096.95397</v>
      </c>
      <c r="M27" s="1490">
        <f>SUM(M28:M31)</f>
        <v>0</v>
      </c>
      <c r="N27" s="1491">
        <f>L27/J27</f>
        <v>0.65390087174676081</v>
      </c>
      <c r="O27" s="1491">
        <f>(L27+I27)/F27</f>
        <v>0.7880011000629269</v>
      </c>
      <c r="P27" s="1492">
        <v>0</v>
      </c>
      <c r="Q27" s="1493" t="s">
        <v>1087</v>
      </c>
    </row>
    <row r="28" spans="1:17" ht="25.5" customHeight="1">
      <c r="A28" s="1494"/>
      <c r="B28" s="1495"/>
      <c r="C28" s="1495"/>
      <c r="D28" s="1495"/>
      <c r="E28" s="1495"/>
      <c r="F28" s="1496"/>
      <c r="G28" s="1474" t="s">
        <v>4</v>
      </c>
      <c r="H28" s="1490">
        <v>7725.3</v>
      </c>
      <c r="I28" s="1468">
        <v>7725.3</v>
      </c>
      <c r="J28" s="1490">
        <v>203535.6</v>
      </c>
      <c r="K28" s="1490">
        <v>203535.6</v>
      </c>
      <c r="L28" s="1490">
        <v>117002.59418</v>
      </c>
      <c r="M28" s="1490">
        <v>0</v>
      </c>
      <c r="N28" s="1508"/>
      <c r="O28" s="1508"/>
      <c r="P28" s="1496"/>
      <c r="Q28" s="1497"/>
    </row>
    <row r="29" spans="1:17" ht="22.5" customHeight="1">
      <c r="A29" s="1494"/>
      <c r="B29" s="1495"/>
      <c r="C29" s="1495"/>
      <c r="D29" s="1495"/>
      <c r="E29" s="1495"/>
      <c r="F29" s="1496"/>
      <c r="G29" s="1474" t="s">
        <v>5</v>
      </c>
      <c r="H29" s="1490">
        <v>127391</v>
      </c>
      <c r="I29" s="1468">
        <v>127391</v>
      </c>
      <c r="J29" s="1490">
        <v>0</v>
      </c>
      <c r="K29" s="1490">
        <v>0</v>
      </c>
      <c r="L29" s="1490">
        <v>0</v>
      </c>
      <c r="M29" s="1490">
        <v>0</v>
      </c>
      <c r="N29" s="1508"/>
      <c r="O29" s="1508"/>
      <c r="P29" s="1496"/>
      <c r="Q29" s="1497"/>
    </row>
    <row r="30" spans="1:17" ht="21.75" customHeight="1">
      <c r="A30" s="1494"/>
      <c r="B30" s="1495"/>
      <c r="C30" s="1495"/>
      <c r="D30" s="1495"/>
      <c r="E30" s="1495"/>
      <c r="F30" s="1496"/>
      <c r="G30" s="1474" t="s">
        <v>6</v>
      </c>
      <c r="H30" s="1490">
        <v>406.6</v>
      </c>
      <c r="I30" s="1468">
        <v>406.6</v>
      </c>
      <c r="J30" s="1490">
        <v>10712.4</v>
      </c>
      <c r="K30" s="1490">
        <v>10712.5</v>
      </c>
      <c r="L30" s="1490">
        <v>23094.359789999999</v>
      </c>
      <c r="M30" s="1490">
        <v>0</v>
      </c>
      <c r="N30" s="1508"/>
      <c r="O30" s="1508"/>
      <c r="P30" s="1496"/>
      <c r="Q30" s="1497"/>
    </row>
    <row r="31" spans="1:17" ht="57" customHeight="1">
      <c r="A31" s="1498"/>
      <c r="B31" s="1499"/>
      <c r="C31" s="1499"/>
      <c r="D31" s="1499"/>
      <c r="E31" s="1499"/>
      <c r="F31" s="1500"/>
      <c r="G31" s="1474" t="s">
        <v>7</v>
      </c>
      <c r="H31" s="1490">
        <v>0</v>
      </c>
      <c r="I31" s="1468">
        <v>0</v>
      </c>
      <c r="J31" s="1490">
        <v>0</v>
      </c>
      <c r="K31" s="1490">
        <v>0</v>
      </c>
      <c r="L31" s="1490">
        <v>0</v>
      </c>
      <c r="M31" s="1490">
        <v>0</v>
      </c>
      <c r="N31" s="1509"/>
      <c r="O31" s="1509"/>
      <c r="P31" s="1500"/>
      <c r="Q31" s="1501"/>
    </row>
    <row r="32" spans="1:17">
      <c r="A32" s="1465">
        <v>5</v>
      </c>
      <c r="B32" s="1510" t="s">
        <v>572</v>
      </c>
      <c r="C32" s="1511" t="s">
        <v>604</v>
      </c>
      <c r="D32" s="1511" t="s">
        <v>605</v>
      </c>
      <c r="E32" s="1511" t="s">
        <v>606</v>
      </c>
      <c r="F32" s="1512">
        <v>138492.4</v>
      </c>
      <c r="G32" s="1474" t="s">
        <v>3</v>
      </c>
      <c r="H32" s="1513">
        <f t="shared" ref="H32:M37" si="5">H33+H34+H35+H36</f>
        <v>20659.3</v>
      </c>
      <c r="I32" s="1513">
        <f t="shared" si="5"/>
        <v>20659.3</v>
      </c>
      <c r="J32" s="1513">
        <f t="shared" si="5"/>
        <v>59324.553999999996</v>
      </c>
      <c r="K32" s="1513">
        <f t="shared" si="5"/>
        <v>59324.553999999996</v>
      </c>
      <c r="L32" s="1513">
        <f t="shared" si="5"/>
        <v>59324.553999999996</v>
      </c>
      <c r="M32" s="1513">
        <f t="shared" si="5"/>
        <v>0</v>
      </c>
      <c r="N32" s="1491">
        <f>L32/J32</f>
        <v>1</v>
      </c>
      <c r="O32" s="1491">
        <v>0.15</v>
      </c>
      <c r="P32" s="1492">
        <f>F32-H32-K32</f>
        <v>58508.545999999995</v>
      </c>
      <c r="Q32" s="1514" t="s">
        <v>607</v>
      </c>
    </row>
    <row r="33" spans="1:17">
      <c r="A33" s="1472"/>
      <c r="B33" s="1515"/>
      <c r="C33" s="1516"/>
      <c r="D33" s="1516"/>
      <c r="E33" s="1516"/>
      <c r="F33" s="1517"/>
      <c r="G33" s="1474" t="s">
        <v>4</v>
      </c>
      <c r="H33" s="1513">
        <v>20452.7</v>
      </c>
      <c r="I33" s="1513">
        <v>20452.7</v>
      </c>
      <c r="J33" s="1513">
        <f>'[8]12А'!D246</f>
        <v>58731.353999999999</v>
      </c>
      <c r="K33" s="1513">
        <f>'[8]12А'!E246</f>
        <v>58731.353999999999</v>
      </c>
      <c r="L33" s="1513">
        <f>'[8]12А'!F246</f>
        <v>58731.353999999999</v>
      </c>
      <c r="M33" s="1513">
        <v>0</v>
      </c>
      <c r="N33" s="1508"/>
      <c r="O33" s="1495"/>
      <c r="P33" s="1496"/>
      <c r="Q33" s="1518"/>
    </row>
    <row r="34" spans="1:17">
      <c r="A34" s="1472"/>
      <c r="B34" s="1515"/>
      <c r="C34" s="1516"/>
      <c r="D34" s="1516"/>
      <c r="E34" s="1516"/>
      <c r="F34" s="1517"/>
      <c r="G34" s="1474" t="s">
        <v>5</v>
      </c>
      <c r="H34" s="1513">
        <v>0</v>
      </c>
      <c r="I34" s="1513">
        <v>0</v>
      </c>
      <c r="J34" s="1513">
        <v>0</v>
      </c>
      <c r="K34" s="1513">
        <v>0</v>
      </c>
      <c r="L34" s="1513">
        <v>0</v>
      </c>
      <c r="M34" s="1513">
        <v>0</v>
      </c>
      <c r="N34" s="1508"/>
      <c r="O34" s="1495"/>
      <c r="P34" s="1496"/>
      <c r="Q34" s="1518"/>
    </row>
    <row r="35" spans="1:17">
      <c r="A35" s="1472"/>
      <c r="B35" s="1515"/>
      <c r="C35" s="1516"/>
      <c r="D35" s="1516"/>
      <c r="E35" s="1516"/>
      <c r="F35" s="1517"/>
      <c r="G35" s="1474" t="s">
        <v>6</v>
      </c>
      <c r="H35" s="1513">
        <v>206.6</v>
      </c>
      <c r="I35" s="1513">
        <v>206.6</v>
      </c>
      <c r="J35" s="1513">
        <v>593.20000000000005</v>
      </c>
      <c r="K35" s="1513">
        <v>593.20000000000005</v>
      </c>
      <c r="L35" s="1513">
        <v>593.20000000000005</v>
      </c>
      <c r="M35" s="1513">
        <v>0</v>
      </c>
      <c r="N35" s="1508"/>
      <c r="O35" s="1495"/>
      <c r="P35" s="1496"/>
      <c r="Q35" s="1518"/>
    </row>
    <row r="36" spans="1:17" ht="31.5" customHeight="1">
      <c r="A36" s="1479"/>
      <c r="B36" s="1519"/>
      <c r="C36" s="1520"/>
      <c r="D36" s="1520"/>
      <c r="E36" s="1520"/>
      <c r="F36" s="1521"/>
      <c r="G36" s="1474" t="s">
        <v>7</v>
      </c>
      <c r="H36" s="1513">
        <v>0</v>
      </c>
      <c r="I36" s="1513">
        <v>0</v>
      </c>
      <c r="J36" s="1513">
        <v>0</v>
      </c>
      <c r="K36" s="1513">
        <v>0</v>
      </c>
      <c r="L36" s="1513">
        <v>0</v>
      </c>
      <c r="M36" s="1513">
        <v>0</v>
      </c>
      <c r="N36" s="1509"/>
      <c r="O36" s="1499"/>
      <c r="P36" s="1500"/>
      <c r="Q36" s="1522"/>
    </row>
    <row r="37" spans="1:17">
      <c r="A37" s="1523">
        <v>6</v>
      </c>
      <c r="B37" s="1510" t="s">
        <v>608</v>
      </c>
      <c r="C37" s="1511" t="s">
        <v>604</v>
      </c>
      <c r="D37" s="1511" t="s">
        <v>609</v>
      </c>
      <c r="E37" s="1511" t="s">
        <v>606</v>
      </c>
      <c r="F37" s="1512">
        <v>49393.2</v>
      </c>
      <c r="G37" s="1474" t="s">
        <v>3</v>
      </c>
      <c r="H37" s="1513">
        <f t="shared" si="5"/>
        <v>7623.5</v>
      </c>
      <c r="I37" s="1513">
        <f t="shared" si="5"/>
        <v>7623.5</v>
      </c>
      <c r="J37" s="1513">
        <f t="shared" si="5"/>
        <v>21030.399999999998</v>
      </c>
      <c r="K37" s="1513">
        <f t="shared" si="5"/>
        <v>21030.405000000002</v>
      </c>
      <c r="L37" s="1513">
        <f t="shared" si="5"/>
        <v>21030.405000000002</v>
      </c>
      <c r="M37" s="1513">
        <f t="shared" si="5"/>
        <v>0</v>
      </c>
      <c r="N37" s="1491">
        <f>L37/J37</f>
        <v>1.0000002377510653</v>
      </c>
      <c r="O37" s="1491">
        <f>(I37+L37+M37)/F37</f>
        <v>0.58011841711004763</v>
      </c>
      <c r="P37" s="1492">
        <f>F37-H37-K37</f>
        <v>20739.294999999995</v>
      </c>
      <c r="Q37" s="1514" t="s">
        <v>610</v>
      </c>
    </row>
    <row r="38" spans="1:17">
      <c r="A38" s="1524"/>
      <c r="B38" s="1515"/>
      <c r="C38" s="1516"/>
      <c r="D38" s="1516"/>
      <c r="E38" s="1516"/>
      <c r="F38" s="1517"/>
      <c r="G38" s="1474" t="s">
        <v>4</v>
      </c>
      <c r="H38" s="1513">
        <v>7547.3</v>
      </c>
      <c r="I38" s="1513">
        <v>7547.3</v>
      </c>
      <c r="J38" s="1513">
        <f>'[8]12А'!D251</f>
        <v>20820.099999999999</v>
      </c>
      <c r="K38" s="1513">
        <f>'[8]12А'!E251</f>
        <v>20820.096000000001</v>
      </c>
      <c r="L38" s="1513">
        <f>'[8]12А'!F251</f>
        <v>20820.096000000001</v>
      </c>
      <c r="M38" s="1513">
        <v>0</v>
      </c>
      <c r="N38" s="1508"/>
      <c r="O38" s="1495"/>
      <c r="P38" s="1496"/>
      <c r="Q38" s="1518"/>
    </row>
    <row r="39" spans="1:17">
      <c r="A39" s="1524"/>
      <c r="B39" s="1515"/>
      <c r="C39" s="1516"/>
      <c r="D39" s="1516"/>
      <c r="E39" s="1516"/>
      <c r="F39" s="1517"/>
      <c r="G39" s="1474" t="s">
        <v>5</v>
      </c>
      <c r="H39" s="1513">
        <v>0</v>
      </c>
      <c r="I39" s="1513">
        <v>0</v>
      </c>
      <c r="J39" s="1513">
        <v>0</v>
      </c>
      <c r="K39" s="1513">
        <v>0</v>
      </c>
      <c r="L39" s="1513">
        <v>0</v>
      </c>
      <c r="M39" s="1513">
        <v>0</v>
      </c>
      <c r="N39" s="1508"/>
      <c r="O39" s="1495"/>
      <c r="P39" s="1496"/>
      <c r="Q39" s="1518"/>
    </row>
    <row r="40" spans="1:17">
      <c r="A40" s="1524"/>
      <c r="B40" s="1515"/>
      <c r="C40" s="1516"/>
      <c r="D40" s="1516"/>
      <c r="E40" s="1516"/>
      <c r="F40" s="1517"/>
      <c r="G40" s="1474" t="s">
        <v>6</v>
      </c>
      <c r="H40" s="1513">
        <v>76.2</v>
      </c>
      <c r="I40" s="1513">
        <v>76.2</v>
      </c>
      <c r="J40" s="1513">
        <f>'[8]12А'!D253</f>
        <v>210.3</v>
      </c>
      <c r="K40" s="1513">
        <f>'[8]12А'!E253</f>
        <v>210.309</v>
      </c>
      <c r="L40" s="1513">
        <f>K40</f>
        <v>210.309</v>
      </c>
      <c r="M40" s="1513">
        <v>0</v>
      </c>
      <c r="N40" s="1508"/>
      <c r="O40" s="1495"/>
      <c r="P40" s="1496"/>
      <c r="Q40" s="1518"/>
    </row>
    <row r="41" spans="1:17">
      <c r="A41" s="1525"/>
      <c r="B41" s="1519"/>
      <c r="C41" s="1520"/>
      <c r="D41" s="1520"/>
      <c r="E41" s="1520"/>
      <c r="F41" s="1521"/>
      <c r="G41" s="1474" t="s">
        <v>7</v>
      </c>
      <c r="H41" s="1513">
        <v>0</v>
      </c>
      <c r="I41" s="1513">
        <v>0</v>
      </c>
      <c r="J41" s="1513">
        <v>0</v>
      </c>
      <c r="K41" s="1513">
        <v>0</v>
      </c>
      <c r="L41" s="1513">
        <v>0</v>
      </c>
      <c r="M41" s="1513">
        <v>0</v>
      </c>
      <c r="N41" s="1509"/>
      <c r="O41" s="1499"/>
      <c r="P41" s="1500"/>
      <c r="Q41" s="1522"/>
    </row>
    <row r="42" spans="1:17" ht="23.25" customHeight="1">
      <c r="A42" s="1523">
        <v>7</v>
      </c>
      <c r="B42" s="1510" t="s">
        <v>669</v>
      </c>
      <c r="C42" s="1526" t="s">
        <v>670</v>
      </c>
      <c r="D42" s="1510" t="s">
        <v>671</v>
      </c>
      <c r="E42" s="1510" t="s">
        <v>677</v>
      </c>
      <c r="F42" s="1510" t="s">
        <v>678</v>
      </c>
      <c r="G42" s="1474" t="s">
        <v>3</v>
      </c>
      <c r="H42" s="1513">
        <f t="shared" ref="H42:M42" si="6">H43+H44+H45+H46</f>
        <v>0</v>
      </c>
      <c r="I42" s="1513">
        <f t="shared" si="6"/>
        <v>0</v>
      </c>
      <c r="J42" s="1513">
        <f>J43+J44+J45+J46</f>
        <v>14179.4</v>
      </c>
      <c r="K42" s="1513">
        <f t="shared" si="6"/>
        <v>14179.368420000001</v>
      </c>
      <c r="L42" s="1513">
        <f t="shared" si="6"/>
        <v>14179.368420000001</v>
      </c>
      <c r="M42" s="1513">
        <f t="shared" si="6"/>
        <v>0</v>
      </c>
      <c r="N42" s="1491">
        <f t="shared" ref="N42" si="7">L42/J42</f>
        <v>0.9999977728253665</v>
      </c>
      <c r="O42" s="1491">
        <v>0</v>
      </c>
      <c r="P42" s="1527">
        <v>362210.1</v>
      </c>
      <c r="Q42" s="1510" t="s">
        <v>1041</v>
      </c>
    </row>
    <row r="43" spans="1:17" ht="20.25" customHeight="1">
      <c r="A43" s="1524"/>
      <c r="B43" s="1528"/>
      <c r="C43" s="1529"/>
      <c r="D43" s="1528"/>
      <c r="E43" s="1528"/>
      <c r="F43" s="1528"/>
      <c r="G43" s="1474" t="s">
        <v>4</v>
      </c>
      <c r="H43" s="1513">
        <v>0</v>
      </c>
      <c r="I43" s="1513">
        <v>0</v>
      </c>
      <c r="J43" s="1513">
        <v>3020.4</v>
      </c>
      <c r="K43" s="1513">
        <v>3020.4</v>
      </c>
      <c r="L43" s="1513">
        <f>K43</f>
        <v>3020.4</v>
      </c>
      <c r="M43" s="1513">
        <v>0</v>
      </c>
      <c r="N43" s="1508"/>
      <c r="O43" s="1495"/>
      <c r="P43" s="1530"/>
      <c r="Q43" s="1515"/>
    </row>
    <row r="44" spans="1:17" ht="26.25" customHeight="1">
      <c r="A44" s="1524"/>
      <c r="B44" s="1528"/>
      <c r="C44" s="1529"/>
      <c r="D44" s="1528"/>
      <c r="E44" s="1528"/>
      <c r="F44" s="1528"/>
      <c r="G44" s="1474" t="s">
        <v>5</v>
      </c>
      <c r="H44" s="1513">
        <v>0</v>
      </c>
      <c r="I44" s="1513">
        <v>0</v>
      </c>
      <c r="J44" s="1513">
        <v>0</v>
      </c>
      <c r="K44" s="1513">
        <v>0</v>
      </c>
      <c r="L44" s="1513">
        <v>0</v>
      </c>
      <c r="M44" s="1513">
        <v>0</v>
      </c>
      <c r="N44" s="1508"/>
      <c r="O44" s="1495"/>
      <c r="P44" s="1530"/>
      <c r="Q44" s="1515"/>
    </row>
    <row r="45" spans="1:17" ht="18.75" customHeight="1">
      <c r="A45" s="1524"/>
      <c r="B45" s="1528"/>
      <c r="C45" s="1529"/>
      <c r="D45" s="1528"/>
      <c r="E45" s="1528"/>
      <c r="F45" s="1528"/>
      <c r="G45" s="1474" t="s">
        <v>6</v>
      </c>
      <c r="H45" s="1513">
        <v>0</v>
      </c>
      <c r="I45" s="1513">
        <v>0</v>
      </c>
      <c r="J45" s="1513">
        <v>159</v>
      </c>
      <c r="K45" s="1513">
        <v>158.96842000000001</v>
      </c>
      <c r="L45" s="1513">
        <f>K45</f>
        <v>158.96842000000001</v>
      </c>
      <c r="M45" s="1513">
        <v>0</v>
      </c>
      <c r="N45" s="1508"/>
      <c r="O45" s="1495"/>
      <c r="P45" s="1530"/>
      <c r="Q45" s="1515"/>
    </row>
    <row r="46" spans="1:17" ht="21" customHeight="1">
      <c r="A46" s="1525"/>
      <c r="B46" s="1531"/>
      <c r="C46" s="1532"/>
      <c r="D46" s="1531"/>
      <c r="E46" s="1531"/>
      <c r="F46" s="1531"/>
      <c r="G46" s="1474" t="s">
        <v>7</v>
      </c>
      <c r="H46" s="1513">
        <v>0</v>
      </c>
      <c r="I46" s="1513">
        <v>0</v>
      </c>
      <c r="J46" s="1513">
        <v>11000</v>
      </c>
      <c r="K46" s="1513">
        <v>11000</v>
      </c>
      <c r="L46" s="1513">
        <v>11000</v>
      </c>
      <c r="M46" s="1513">
        <v>0</v>
      </c>
      <c r="N46" s="1509"/>
      <c r="O46" s="1499"/>
      <c r="P46" s="1533"/>
      <c r="Q46" s="1519"/>
    </row>
  </sheetData>
  <mergeCells count="89">
    <mergeCell ref="Q42:Q46"/>
    <mergeCell ref="A42:A46"/>
    <mergeCell ref="B42:B46"/>
    <mergeCell ref="C42:C46"/>
    <mergeCell ref="D42:D46"/>
    <mergeCell ref="E42:E46"/>
    <mergeCell ref="F42:F46"/>
    <mergeCell ref="N42:N46"/>
    <mergeCell ref="O42:O46"/>
    <mergeCell ref="P42:P46"/>
    <mergeCell ref="Q37:Q41"/>
    <mergeCell ref="A37:A41"/>
    <mergeCell ref="B37:B41"/>
    <mergeCell ref="C37:C41"/>
    <mergeCell ref="D37:D41"/>
    <mergeCell ref="E37:E41"/>
    <mergeCell ref="F37:F41"/>
    <mergeCell ref="N37:N41"/>
    <mergeCell ref="O37:O41"/>
    <mergeCell ref="P37:P41"/>
    <mergeCell ref="E27:E31"/>
    <mergeCell ref="F27:F31"/>
    <mergeCell ref="N27:N31"/>
    <mergeCell ref="O27:O31"/>
    <mergeCell ref="P27:P31"/>
    <mergeCell ref="F17:F21"/>
    <mergeCell ref="Q27:Q31"/>
    <mergeCell ref="A32:A36"/>
    <mergeCell ref="B32:B36"/>
    <mergeCell ref="C32:C36"/>
    <mergeCell ref="D32:D36"/>
    <mergeCell ref="E32:E36"/>
    <mergeCell ref="F32:F36"/>
    <mergeCell ref="N32:N36"/>
    <mergeCell ref="O32:O36"/>
    <mergeCell ref="P32:P36"/>
    <mergeCell ref="Q32:Q36"/>
    <mergeCell ref="A27:A31"/>
    <mergeCell ref="B27:B31"/>
    <mergeCell ref="C27:C31"/>
    <mergeCell ref="D27:D31"/>
    <mergeCell ref="A17:A21"/>
    <mergeCell ref="B17:B21"/>
    <mergeCell ref="C17:C21"/>
    <mergeCell ref="D17:D21"/>
    <mergeCell ref="E17:E21"/>
    <mergeCell ref="F22:F26"/>
    <mergeCell ref="N22:N26"/>
    <mergeCell ref="O22:O26"/>
    <mergeCell ref="P22:P26"/>
    <mergeCell ref="Q22:Q26"/>
    <mergeCell ref="A22:A26"/>
    <mergeCell ref="B22:B26"/>
    <mergeCell ref="C22:C26"/>
    <mergeCell ref="D22:D26"/>
    <mergeCell ref="E22:E26"/>
    <mergeCell ref="N17:N21"/>
    <mergeCell ref="O17:O21"/>
    <mergeCell ref="P17:P21"/>
    <mergeCell ref="Q17:Q21"/>
    <mergeCell ref="P7:P11"/>
    <mergeCell ref="Q7:Q11"/>
    <mergeCell ref="N13:N16"/>
    <mergeCell ref="O13:O16"/>
    <mergeCell ref="P13:P16"/>
    <mergeCell ref="Q13:Q16"/>
    <mergeCell ref="E13:E16"/>
    <mergeCell ref="F13:F16"/>
    <mergeCell ref="A7:A11"/>
    <mergeCell ref="B7:F11"/>
    <mergeCell ref="O7:O11"/>
    <mergeCell ref="A13:A16"/>
    <mergeCell ref="B13:B16"/>
    <mergeCell ref="C13:C16"/>
    <mergeCell ref="D13:D16"/>
    <mergeCell ref="A3:Q3"/>
    <mergeCell ref="A5:A6"/>
    <mergeCell ref="B5:B6"/>
    <mergeCell ref="C5:C6"/>
    <mergeCell ref="D5:D6"/>
    <mergeCell ref="E5:E6"/>
    <mergeCell ref="F5:F6"/>
    <mergeCell ref="G5:G6"/>
    <mergeCell ref="H5:I5"/>
    <mergeCell ref="J5:J6"/>
    <mergeCell ref="K5:N5"/>
    <mergeCell ref="O5:O6"/>
    <mergeCell ref="P5:P6"/>
    <mergeCell ref="Q5:Q6"/>
  </mergeCells>
  <pageMargins left="0.7" right="0.7" top="0.75" bottom="0.75" header="0.3" footer="0.3"/>
  <pageSetup paperSize="9" orientation="portrait" horizontalDpi="0"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35"/>
  <sheetViews>
    <sheetView zoomScale="88" zoomScaleNormal="88" workbookViewId="0">
      <pane ySplit="1" topLeftCell="A2" activePane="bottomLeft" state="frozen"/>
      <selection pane="bottomLeft" activeCell="B10" sqref="B10:K10"/>
    </sheetView>
  </sheetViews>
  <sheetFormatPr defaultRowHeight="15"/>
  <cols>
    <col min="1" max="1" width="9.28515625" style="194" bestFit="1" customWidth="1"/>
    <col min="2" max="2" width="21.7109375" style="194" customWidth="1"/>
    <col min="3" max="4" width="9.140625" style="194"/>
    <col min="5" max="8" width="9.28515625" style="2" bestFit="1" customWidth="1"/>
    <col min="9" max="9" width="10.140625" style="2" customWidth="1"/>
    <col min="10" max="10" width="61.85546875" style="2" customWidth="1"/>
    <col min="11" max="11" width="38.7109375" style="2" customWidth="1"/>
    <col min="12" max="12" width="20.28515625" style="2" customWidth="1"/>
    <col min="13" max="14" width="11.140625" style="2" bestFit="1" customWidth="1"/>
    <col min="15" max="16" width="11.140625" style="1389" bestFit="1" customWidth="1"/>
    <col min="17" max="17" width="9.140625" style="1389"/>
    <col min="18" max="18" width="13.5703125" style="194" customWidth="1"/>
    <col min="19" max="19" width="16" style="194" customWidth="1"/>
    <col min="20" max="20" width="4.28515625" style="194" customWidth="1"/>
    <col min="21" max="257" width="9.140625" style="194"/>
    <col min="258" max="258" width="17.7109375" style="194" customWidth="1"/>
    <col min="259" max="265" width="9.140625" style="194"/>
    <col min="266" max="266" width="23.42578125" style="194" customWidth="1"/>
    <col min="267" max="267" width="22.140625" style="194" customWidth="1"/>
    <col min="268" max="268" width="11.85546875" style="194" customWidth="1"/>
    <col min="269" max="273" width="9.140625" style="194"/>
    <col min="274" max="274" width="2.28515625" style="194" customWidth="1"/>
    <col min="275" max="275" width="3.5703125" style="194" customWidth="1"/>
    <col min="276" max="276" width="4.28515625" style="194" customWidth="1"/>
    <col min="277" max="513" width="9.140625" style="194"/>
    <col min="514" max="514" width="17.7109375" style="194" customWidth="1"/>
    <col min="515" max="521" width="9.140625" style="194"/>
    <col min="522" max="522" width="23.42578125" style="194" customWidth="1"/>
    <col min="523" max="523" width="22.140625" style="194" customWidth="1"/>
    <col min="524" max="524" width="11.85546875" style="194" customWidth="1"/>
    <col min="525" max="529" width="9.140625" style="194"/>
    <col min="530" max="530" width="2.28515625" style="194" customWidth="1"/>
    <col min="531" max="531" width="3.5703125" style="194" customWidth="1"/>
    <col min="532" max="532" width="4.28515625" style="194" customWidth="1"/>
    <col min="533" max="769" width="9.140625" style="194"/>
    <col min="770" max="770" width="17.7109375" style="194" customWidth="1"/>
    <col min="771" max="777" width="9.140625" style="194"/>
    <col min="778" max="778" width="23.42578125" style="194" customWidth="1"/>
    <col min="779" max="779" width="22.140625" style="194" customWidth="1"/>
    <col min="780" max="780" width="11.85546875" style="194" customWidth="1"/>
    <col min="781" max="785" width="9.140625" style="194"/>
    <col min="786" max="786" width="2.28515625" style="194" customWidth="1"/>
    <col min="787" max="787" width="3.5703125" style="194" customWidth="1"/>
    <col min="788" max="788" width="4.28515625" style="194" customWidth="1"/>
    <col min="789" max="1025" width="9.140625" style="194"/>
    <col min="1026" max="1026" width="17.7109375" style="194" customWidth="1"/>
    <col min="1027" max="1033" width="9.140625" style="194"/>
    <col min="1034" max="1034" width="23.42578125" style="194" customWidth="1"/>
    <col min="1035" max="1035" width="22.140625" style="194" customWidth="1"/>
    <col min="1036" max="1036" width="11.85546875" style="194" customWidth="1"/>
    <col min="1037" max="1041" width="9.140625" style="194"/>
    <col min="1042" max="1042" width="2.28515625" style="194" customWidth="1"/>
    <col min="1043" max="1043" width="3.5703125" style="194" customWidth="1"/>
    <col min="1044" max="1044" width="4.28515625" style="194" customWidth="1"/>
    <col min="1045" max="1281" width="9.140625" style="194"/>
    <col min="1282" max="1282" width="17.7109375" style="194" customWidth="1"/>
    <col min="1283" max="1289" width="9.140625" style="194"/>
    <col min="1290" max="1290" width="23.42578125" style="194" customWidth="1"/>
    <col min="1291" max="1291" width="22.140625" style="194" customWidth="1"/>
    <col min="1292" max="1292" width="11.85546875" style="194" customWidth="1"/>
    <col min="1293" max="1297" width="9.140625" style="194"/>
    <col min="1298" max="1298" width="2.28515625" style="194" customWidth="1"/>
    <col min="1299" max="1299" width="3.5703125" style="194" customWidth="1"/>
    <col min="1300" max="1300" width="4.28515625" style="194" customWidth="1"/>
    <col min="1301" max="1537" width="9.140625" style="194"/>
    <col min="1538" max="1538" width="17.7109375" style="194" customWidth="1"/>
    <col min="1539" max="1545" width="9.140625" style="194"/>
    <col min="1546" max="1546" width="23.42578125" style="194" customWidth="1"/>
    <col min="1547" max="1547" width="22.140625" style="194" customWidth="1"/>
    <col min="1548" max="1548" width="11.85546875" style="194" customWidth="1"/>
    <col min="1549" max="1553" width="9.140625" style="194"/>
    <col min="1554" max="1554" width="2.28515625" style="194" customWidth="1"/>
    <col min="1555" max="1555" width="3.5703125" style="194" customWidth="1"/>
    <col min="1556" max="1556" width="4.28515625" style="194" customWidth="1"/>
    <col min="1557" max="1793" width="9.140625" style="194"/>
    <col min="1794" max="1794" width="17.7109375" style="194" customWidth="1"/>
    <col min="1795" max="1801" width="9.140625" style="194"/>
    <col min="1802" max="1802" width="23.42578125" style="194" customWidth="1"/>
    <col min="1803" max="1803" width="22.140625" style="194" customWidth="1"/>
    <col min="1804" max="1804" width="11.85546875" style="194" customWidth="1"/>
    <col min="1805" max="1809" width="9.140625" style="194"/>
    <col min="1810" max="1810" width="2.28515625" style="194" customWidth="1"/>
    <col min="1811" max="1811" width="3.5703125" style="194" customWidth="1"/>
    <col min="1812" max="1812" width="4.28515625" style="194" customWidth="1"/>
    <col min="1813" max="2049" width="9.140625" style="194"/>
    <col min="2050" max="2050" width="17.7109375" style="194" customWidth="1"/>
    <col min="2051" max="2057" width="9.140625" style="194"/>
    <col min="2058" max="2058" width="23.42578125" style="194" customWidth="1"/>
    <col min="2059" max="2059" width="22.140625" style="194" customWidth="1"/>
    <col min="2060" max="2060" width="11.85546875" style="194" customWidth="1"/>
    <col min="2061" max="2065" width="9.140625" style="194"/>
    <col min="2066" max="2066" width="2.28515625" style="194" customWidth="1"/>
    <col min="2067" max="2067" width="3.5703125" style="194" customWidth="1"/>
    <col min="2068" max="2068" width="4.28515625" style="194" customWidth="1"/>
    <col min="2069" max="2305" width="9.140625" style="194"/>
    <col min="2306" max="2306" width="17.7109375" style="194" customWidth="1"/>
    <col min="2307" max="2313" width="9.140625" style="194"/>
    <col min="2314" max="2314" width="23.42578125" style="194" customWidth="1"/>
    <col min="2315" max="2315" width="22.140625" style="194" customWidth="1"/>
    <col min="2316" max="2316" width="11.85546875" style="194" customWidth="1"/>
    <col min="2317" max="2321" width="9.140625" style="194"/>
    <col min="2322" max="2322" width="2.28515625" style="194" customWidth="1"/>
    <col min="2323" max="2323" width="3.5703125" style="194" customWidth="1"/>
    <col min="2324" max="2324" width="4.28515625" style="194" customWidth="1"/>
    <col min="2325" max="2561" width="9.140625" style="194"/>
    <col min="2562" max="2562" width="17.7109375" style="194" customWidth="1"/>
    <col min="2563" max="2569" width="9.140625" style="194"/>
    <col min="2570" max="2570" width="23.42578125" style="194" customWidth="1"/>
    <col min="2571" max="2571" width="22.140625" style="194" customWidth="1"/>
    <col min="2572" max="2572" width="11.85546875" style="194" customWidth="1"/>
    <col min="2573" max="2577" width="9.140625" style="194"/>
    <col min="2578" max="2578" width="2.28515625" style="194" customWidth="1"/>
    <col min="2579" max="2579" width="3.5703125" style="194" customWidth="1"/>
    <col min="2580" max="2580" width="4.28515625" style="194" customWidth="1"/>
    <col min="2581" max="2817" width="9.140625" style="194"/>
    <col min="2818" max="2818" width="17.7109375" style="194" customWidth="1"/>
    <col min="2819" max="2825" width="9.140625" style="194"/>
    <col min="2826" max="2826" width="23.42578125" style="194" customWidth="1"/>
    <col min="2827" max="2827" width="22.140625" style="194" customWidth="1"/>
    <col min="2828" max="2828" width="11.85546875" style="194" customWidth="1"/>
    <col min="2829" max="2833" width="9.140625" style="194"/>
    <col min="2834" max="2834" width="2.28515625" style="194" customWidth="1"/>
    <col min="2835" max="2835" width="3.5703125" style="194" customWidth="1"/>
    <col min="2836" max="2836" width="4.28515625" style="194" customWidth="1"/>
    <col min="2837" max="3073" width="9.140625" style="194"/>
    <col min="3074" max="3074" width="17.7109375" style="194" customWidth="1"/>
    <col min="3075" max="3081" width="9.140625" style="194"/>
    <col min="3082" max="3082" width="23.42578125" style="194" customWidth="1"/>
    <col min="3083" max="3083" width="22.140625" style="194" customWidth="1"/>
    <col min="3084" max="3084" width="11.85546875" style="194" customWidth="1"/>
    <col min="3085" max="3089" width="9.140625" style="194"/>
    <col min="3090" max="3090" width="2.28515625" style="194" customWidth="1"/>
    <col min="3091" max="3091" width="3.5703125" style="194" customWidth="1"/>
    <col min="3092" max="3092" width="4.28515625" style="194" customWidth="1"/>
    <col min="3093" max="3329" width="9.140625" style="194"/>
    <col min="3330" max="3330" width="17.7109375" style="194" customWidth="1"/>
    <col min="3331" max="3337" width="9.140625" style="194"/>
    <col min="3338" max="3338" width="23.42578125" style="194" customWidth="1"/>
    <col min="3339" max="3339" width="22.140625" style="194" customWidth="1"/>
    <col min="3340" max="3340" width="11.85546875" style="194" customWidth="1"/>
    <col min="3341" max="3345" width="9.140625" style="194"/>
    <col min="3346" max="3346" width="2.28515625" style="194" customWidth="1"/>
    <col min="3347" max="3347" width="3.5703125" style="194" customWidth="1"/>
    <col min="3348" max="3348" width="4.28515625" style="194" customWidth="1"/>
    <col min="3349" max="3585" width="9.140625" style="194"/>
    <col min="3586" max="3586" width="17.7109375" style="194" customWidth="1"/>
    <col min="3587" max="3593" width="9.140625" style="194"/>
    <col min="3594" max="3594" width="23.42578125" style="194" customWidth="1"/>
    <col min="3595" max="3595" width="22.140625" style="194" customWidth="1"/>
    <col min="3596" max="3596" width="11.85546875" style="194" customWidth="1"/>
    <col min="3597" max="3601" width="9.140625" style="194"/>
    <col min="3602" max="3602" width="2.28515625" style="194" customWidth="1"/>
    <col min="3603" max="3603" width="3.5703125" style="194" customWidth="1"/>
    <col min="3604" max="3604" width="4.28515625" style="194" customWidth="1"/>
    <col min="3605" max="3841" width="9.140625" style="194"/>
    <col min="3842" max="3842" width="17.7109375" style="194" customWidth="1"/>
    <col min="3843" max="3849" width="9.140625" style="194"/>
    <col min="3850" max="3850" width="23.42578125" style="194" customWidth="1"/>
    <col min="3851" max="3851" width="22.140625" style="194" customWidth="1"/>
    <col min="3852" max="3852" width="11.85546875" style="194" customWidth="1"/>
    <col min="3853" max="3857" width="9.140625" style="194"/>
    <col min="3858" max="3858" width="2.28515625" style="194" customWidth="1"/>
    <col min="3859" max="3859" width="3.5703125" style="194" customWidth="1"/>
    <col min="3860" max="3860" width="4.28515625" style="194" customWidth="1"/>
    <col min="3861" max="4097" width="9.140625" style="194"/>
    <col min="4098" max="4098" width="17.7109375" style="194" customWidth="1"/>
    <col min="4099" max="4105" width="9.140625" style="194"/>
    <col min="4106" max="4106" width="23.42578125" style="194" customWidth="1"/>
    <col min="4107" max="4107" width="22.140625" style="194" customWidth="1"/>
    <col min="4108" max="4108" width="11.85546875" style="194" customWidth="1"/>
    <col min="4109" max="4113" width="9.140625" style="194"/>
    <col min="4114" max="4114" width="2.28515625" style="194" customWidth="1"/>
    <col min="4115" max="4115" width="3.5703125" style="194" customWidth="1"/>
    <col min="4116" max="4116" width="4.28515625" style="194" customWidth="1"/>
    <col min="4117" max="4353" width="9.140625" style="194"/>
    <col min="4354" max="4354" width="17.7109375" style="194" customWidth="1"/>
    <col min="4355" max="4361" width="9.140625" style="194"/>
    <col min="4362" max="4362" width="23.42578125" style="194" customWidth="1"/>
    <col min="4363" max="4363" width="22.140625" style="194" customWidth="1"/>
    <col min="4364" max="4364" width="11.85546875" style="194" customWidth="1"/>
    <col min="4365" max="4369" width="9.140625" style="194"/>
    <col min="4370" max="4370" width="2.28515625" style="194" customWidth="1"/>
    <col min="4371" max="4371" width="3.5703125" style="194" customWidth="1"/>
    <col min="4372" max="4372" width="4.28515625" style="194" customWidth="1"/>
    <col min="4373" max="4609" width="9.140625" style="194"/>
    <col min="4610" max="4610" width="17.7109375" style="194" customWidth="1"/>
    <col min="4611" max="4617" width="9.140625" style="194"/>
    <col min="4618" max="4618" width="23.42578125" style="194" customWidth="1"/>
    <col min="4619" max="4619" width="22.140625" style="194" customWidth="1"/>
    <col min="4620" max="4620" width="11.85546875" style="194" customWidth="1"/>
    <col min="4621" max="4625" width="9.140625" style="194"/>
    <col min="4626" max="4626" width="2.28515625" style="194" customWidth="1"/>
    <col min="4627" max="4627" width="3.5703125" style="194" customWidth="1"/>
    <col min="4628" max="4628" width="4.28515625" style="194" customWidth="1"/>
    <col min="4629" max="4865" width="9.140625" style="194"/>
    <col min="4866" max="4866" width="17.7109375" style="194" customWidth="1"/>
    <col min="4867" max="4873" width="9.140625" style="194"/>
    <col min="4874" max="4874" width="23.42578125" style="194" customWidth="1"/>
    <col min="4875" max="4875" width="22.140625" style="194" customWidth="1"/>
    <col min="4876" max="4876" width="11.85546875" style="194" customWidth="1"/>
    <col min="4877" max="4881" width="9.140625" style="194"/>
    <col min="4882" max="4882" width="2.28515625" style="194" customWidth="1"/>
    <col min="4883" max="4883" width="3.5703125" style="194" customWidth="1"/>
    <col min="4884" max="4884" width="4.28515625" style="194" customWidth="1"/>
    <col min="4885" max="5121" width="9.140625" style="194"/>
    <col min="5122" max="5122" width="17.7109375" style="194" customWidth="1"/>
    <col min="5123" max="5129" width="9.140625" style="194"/>
    <col min="5130" max="5130" width="23.42578125" style="194" customWidth="1"/>
    <col min="5131" max="5131" width="22.140625" style="194" customWidth="1"/>
    <col min="5132" max="5132" width="11.85546875" style="194" customWidth="1"/>
    <col min="5133" max="5137" width="9.140625" style="194"/>
    <col min="5138" max="5138" width="2.28515625" style="194" customWidth="1"/>
    <col min="5139" max="5139" width="3.5703125" style="194" customWidth="1"/>
    <col min="5140" max="5140" width="4.28515625" style="194" customWidth="1"/>
    <col min="5141" max="5377" width="9.140625" style="194"/>
    <col min="5378" max="5378" width="17.7109375" style="194" customWidth="1"/>
    <col min="5379" max="5385" width="9.140625" style="194"/>
    <col min="5386" max="5386" width="23.42578125" style="194" customWidth="1"/>
    <col min="5387" max="5387" width="22.140625" style="194" customWidth="1"/>
    <col min="5388" max="5388" width="11.85546875" style="194" customWidth="1"/>
    <col min="5389" max="5393" width="9.140625" style="194"/>
    <col min="5394" max="5394" width="2.28515625" style="194" customWidth="1"/>
    <col min="5395" max="5395" width="3.5703125" style="194" customWidth="1"/>
    <col min="5396" max="5396" width="4.28515625" style="194" customWidth="1"/>
    <col min="5397" max="5633" width="9.140625" style="194"/>
    <col min="5634" max="5634" width="17.7109375" style="194" customWidth="1"/>
    <col min="5635" max="5641" width="9.140625" style="194"/>
    <col min="5642" max="5642" width="23.42578125" style="194" customWidth="1"/>
    <col min="5643" max="5643" width="22.140625" style="194" customWidth="1"/>
    <col min="5644" max="5644" width="11.85546875" style="194" customWidth="1"/>
    <col min="5645" max="5649" width="9.140625" style="194"/>
    <col min="5650" max="5650" width="2.28515625" style="194" customWidth="1"/>
    <col min="5651" max="5651" width="3.5703125" style="194" customWidth="1"/>
    <col min="5652" max="5652" width="4.28515625" style="194" customWidth="1"/>
    <col min="5653" max="5889" width="9.140625" style="194"/>
    <col min="5890" max="5890" width="17.7109375" style="194" customWidth="1"/>
    <col min="5891" max="5897" width="9.140625" style="194"/>
    <col min="5898" max="5898" width="23.42578125" style="194" customWidth="1"/>
    <col min="5899" max="5899" width="22.140625" style="194" customWidth="1"/>
    <col min="5900" max="5900" width="11.85546875" style="194" customWidth="1"/>
    <col min="5901" max="5905" width="9.140625" style="194"/>
    <col min="5906" max="5906" width="2.28515625" style="194" customWidth="1"/>
    <col min="5907" max="5907" width="3.5703125" style="194" customWidth="1"/>
    <col min="5908" max="5908" width="4.28515625" style="194" customWidth="1"/>
    <col min="5909" max="6145" width="9.140625" style="194"/>
    <col min="6146" max="6146" width="17.7109375" style="194" customWidth="1"/>
    <col min="6147" max="6153" width="9.140625" style="194"/>
    <col min="6154" max="6154" width="23.42578125" style="194" customWidth="1"/>
    <col min="6155" max="6155" width="22.140625" style="194" customWidth="1"/>
    <col min="6156" max="6156" width="11.85546875" style="194" customWidth="1"/>
    <col min="6157" max="6161" width="9.140625" style="194"/>
    <col min="6162" max="6162" width="2.28515625" style="194" customWidth="1"/>
    <col min="6163" max="6163" width="3.5703125" style="194" customWidth="1"/>
    <col min="6164" max="6164" width="4.28515625" style="194" customWidth="1"/>
    <col min="6165" max="6401" width="9.140625" style="194"/>
    <col min="6402" max="6402" width="17.7109375" style="194" customWidth="1"/>
    <col min="6403" max="6409" width="9.140625" style="194"/>
    <col min="6410" max="6410" width="23.42578125" style="194" customWidth="1"/>
    <col min="6411" max="6411" width="22.140625" style="194" customWidth="1"/>
    <col min="6412" max="6412" width="11.85546875" style="194" customWidth="1"/>
    <col min="6413" max="6417" width="9.140625" style="194"/>
    <col min="6418" max="6418" width="2.28515625" style="194" customWidth="1"/>
    <col min="6419" max="6419" width="3.5703125" style="194" customWidth="1"/>
    <col min="6420" max="6420" width="4.28515625" style="194" customWidth="1"/>
    <col min="6421" max="6657" width="9.140625" style="194"/>
    <col min="6658" max="6658" width="17.7109375" style="194" customWidth="1"/>
    <col min="6659" max="6665" width="9.140625" style="194"/>
    <col min="6666" max="6666" width="23.42578125" style="194" customWidth="1"/>
    <col min="6667" max="6667" width="22.140625" style="194" customWidth="1"/>
    <col min="6668" max="6668" width="11.85546875" style="194" customWidth="1"/>
    <col min="6669" max="6673" width="9.140625" style="194"/>
    <col min="6674" max="6674" width="2.28515625" style="194" customWidth="1"/>
    <col min="6675" max="6675" width="3.5703125" style="194" customWidth="1"/>
    <col min="6676" max="6676" width="4.28515625" style="194" customWidth="1"/>
    <col min="6677" max="6913" width="9.140625" style="194"/>
    <col min="6914" max="6914" width="17.7109375" style="194" customWidth="1"/>
    <col min="6915" max="6921" width="9.140625" style="194"/>
    <col min="6922" max="6922" width="23.42578125" style="194" customWidth="1"/>
    <col min="6923" max="6923" width="22.140625" style="194" customWidth="1"/>
    <col min="6924" max="6924" width="11.85546875" style="194" customWidth="1"/>
    <col min="6925" max="6929" width="9.140625" style="194"/>
    <col min="6930" max="6930" width="2.28515625" style="194" customWidth="1"/>
    <col min="6931" max="6931" width="3.5703125" style="194" customWidth="1"/>
    <col min="6932" max="6932" width="4.28515625" style="194" customWidth="1"/>
    <col min="6933" max="7169" width="9.140625" style="194"/>
    <col min="7170" max="7170" width="17.7109375" style="194" customWidth="1"/>
    <col min="7171" max="7177" width="9.140625" style="194"/>
    <col min="7178" max="7178" width="23.42578125" style="194" customWidth="1"/>
    <col min="7179" max="7179" width="22.140625" style="194" customWidth="1"/>
    <col min="7180" max="7180" width="11.85546875" style="194" customWidth="1"/>
    <col min="7181" max="7185" width="9.140625" style="194"/>
    <col min="7186" max="7186" width="2.28515625" style="194" customWidth="1"/>
    <col min="7187" max="7187" width="3.5703125" style="194" customWidth="1"/>
    <col min="7188" max="7188" width="4.28515625" style="194" customWidth="1"/>
    <col min="7189" max="7425" width="9.140625" style="194"/>
    <col min="7426" max="7426" width="17.7109375" style="194" customWidth="1"/>
    <col min="7427" max="7433" width="9.140625" style="194"/>
    <col min="7434" max="7434" width="23.42578125" style="194" customWidth="1"/>
    <col min="7435" max="7435" width="22.140625" style="194" customWidth="1"/>
    <col min="7436" max="7436" width="11.85546875" style="194" customWidth="1"/>
    <col min="7437" max="7441" width="9.140625" style="194"/>
    <col min="7442" max="7442" width="2.28515625" style="194" customWidth="1"/>
    <col min="7443" max="7443" width="3.5703125" style="194" customWidth="1"/>
    <col min="7444" max="7444" width="4.28515625" style="194" customWidth="1"/>
    <col min="7445" max="7681" width="9.140625" style="194"/>
    <col min="7682" max="7682" width="17.7109375" style="194" customWidth="1"/>
    <col min="7683" max="7689" width="9.140625" style="194"/>
    <col min="7690" max="7690" width="23.42578125" style="194" customWidth="1"/>
    <col min="7691" max="7691" width="22.140625" style="194" customWidth="1"/>
    <col min="7692" max="7692" width="11.85546875" style="194" customWidth="1"/>
    <col min="7693" max="7697" width="9.140625" style="194"/>
    <col min="7698" max="7698" width="2.28515625" style="194" customWidth="1"/>
    <col min="7699" max="7699" width="3.5703125" style="194" customWidth="1"/>
    <col min="7700" max="7700" width="4.28515625" style="194" customWidth="1"/>
    <col min="7701" max="7937" width="9.140625" style="194"/>
    <col min="7938" max="7938" width="17.7109375" style="194" customWidth="1"/>
    <col min="7939" max="7945" width="9.140625" style="194"/>
    <col min="7946" max="7946" width="23.42578125" style="194" customWidth="1"/>
    <col min="7947" max="7947" width="22.140625" style="194" customWidth="1"/>
    <col min="7948" max="7948" width="11.85546875" style="194" customWidth="1"/>
    <col min="7949" max="7953" width="9.140625" style="194"/>
    <col min="7954" max="7954" width="2.28515625" style="194" customWidth="1"/>
    <col min="7955" max="7955" width="3.5703125" style="194" customWidth="1"/>
    <col min="7956" max="7956" width="4.28515625" style="194" customWidth="1"/>
    <col min="7957" max="8193" width="9.140625" style="194"/>
    <col min="8194" max="8194" width="17.7109375" style="194" customWidth="1"/>
    <col min="8195" max="8201" width="9.140625" style="194"/>
    <col min="8202" max="8202" width="23.42578125" style="194" customWidth="1"/>
    <col min="8203" max="8203" width="22.140625" style="194" customWidth="1"/>
    <col min="8204" max="8204" width="11.85546875" style="194" customWidth="1"/>
    <col min="8205" max="8209" width="9.140625" style="194"/>
    <col min="8210" max="8210" width="2.28515625" style="194" customWidth="1"/>
    <col min="8211" max="8211" width="3.5703125" style="194" customWidth="1"/>
    <col min="8212" max="8212" width="4.28515625" style="194" customWidth="1"/>
    <col min="8213" max="8449" width="9.140625" style="194"/>
    <col min="8450" max="8450" width="17.7109375" style="194" customWidth="1"/>
    <col min="8451" max="8457" width="9.140625" style="194"/>
    <col min="8458" max="8458" width="23.42578125" style="194" customWidth="1"/>
    <col min="8459" max="8459" width="22.140625" style="194" customWidth="1"/>
    <col min="8460" max="8460" width="11.85546875" style="194" customWidth="1"/>
    <col min="8461" max="8465" width="9.140625" style="194"/>
    <col min="8466" max="8466" width="2.28515625" style="194" customWidth="1"/>
    <col min="8467" max="8467" width="3.5703125" style="194" customWidth="1"/>
    <col min="8468" max="8468" width="4.28515625" style="194" customWidth="1"/>
    <col min="8469" max="8705" width="9.140625" style="194"/>
    <col min="8706" max="8706" width="17.7109375" style="194" customWidth="1"/>
    <col min="8707" max="8713" width="9.140625" style="194"/>
    <col min="8714" max="8714" width="23.42578125" style="194" customWidth="1"/>
    <col min="8715" max="8715" width="22.140625" style="194" customWidth="1"/>
    <col min="8716" max="8716" width="11.85546875" style="194" customWidth="1"/>
    <col min="8717" max="8721" width="9.140625" style="194"/>
    <col min="8722" max="8722" width="2.28515625" style="194" customWidth="1"/>
    <col min="8723" max="8723" width="3.5703125" style="194" customWidth="1"/>
    <col min="8724" max="8724" width="4.28515625" style="194" customWidth="1"/>
    <col min="8725" max="8961" width="9.140625" style="194"/>
    <col min="8962" max="8962" width="17.7109375" style="194" customWidth="1"/>
    <col min="8963" max="8969" width="9.140625" style="194"/>
    <col min="8970" max="8970" width="23.42578125" style="194" customWidth="1"/>
    <col min="8971" max="8971" width="22.140625" style="194" customWidth="1"/>
    <col min="8972" max="8972" width="11.85546875" style="194" customWidth="1"/>
    <col min="8973" max="8977" width="9.140625" style="194"/>
    <col min="8978" max="8978" width="2.28515625" style="194" customWidth="1"/>
    <col min="8979" max="8979" width="3.5703125" style="194" customWidth="1"/>
    <col min="8980" max="8980" width="4.28515625" style="194" customWidth="1"/>
    <col min="8981" max="9217" width="9.140625" style="194"/>
    <col min="9218" max="9218" width="17.7109375" style="194" customWidth="1"/>
    <col min="9219" max="9225" width="9.140625" style="194"/>
    <col min="9226" max="9226" width="23.42578125" style="194" customWidth="1"/>
    <col min="9227" max="9227" width="22.140625" style="194" customWidth="1"/>
    <col min="9228" max="9228" width="11.85546875" style="194" customWidth="1"/>
    <col min="9229" max="9233" width="9.140625" style="194"/>
    <col min="9234" max="9234" width="2.28515625" style="194" customWidth="1"/>
    <col min="9235" max="9235" width="3.5703125" style="194" customWidth="1"/>
    <col min="9236" max="9236" width="4.28515625" style="194" customWidth="1"/>
    <col min="9237" max="9473" width="9.140625" style="194"/>
    <col min="9474" max="9474" width="17.7109375" style="194" customWidth="1"/>
    <col min="9475" max="9481" width="9.140625" style="194"/>
    <col min="9482" max="9482" width="23.42578125" style="194" customWidth="1"/>
    <col min="9483" max="9483" width="22.140625" style="194" customWidth="1"/>
    <col min="9484" max="9484" width="11.85546875" style="194" customWidth="1"/>
    <col min="9485" max="9489" width="9.140625" style="194"/>
    <col min="9490" max="9490" width="2.28515625" style="194" customWidth="1"/>
    <col min="9491" max="9491" width="3.5703125" style="194" customWidth="1"/>
    <col min="9492" max="9492" width="4.28515625" style="194" customWidth="1"/>
    <col min="9493" max="9729" width="9.140625" style="194"/>
    <col min="9730" max="9730" width="17.7109375" style="194" customWidth="1"/>
    <col min="9731" max="9737" width="9.140625" style="194"/>
    <col min="9738" max="9738" width="23.42578125" style="194" customWidth="1"/>
    <col min="9739" max="9739" width="22.140625" style="194" customWidth="1"/>
    <col min="9740" max="9740" width="11.85546875" style="194" customWidth="1"/>
    <col min="9741" max="9745" width="9.140625" style="194"/>
    <col min="9746" max="9746" width="2.28515625" style="194" customWidth="1"/>
    <col min="9747" max="9747" width="3.5703125" style="194" customWidth="1"/>
    <col min="9748" max="9748" width="4.28515625" style="194" customWidth="1"/>
    <col min="9749" max="9985" width="9.140625" style="194"/>
    <col min="9986" max="9986" width="17.7109375" style="194" customWidth="1"/>
    <col min="9987" max="9993" width="9.140625" style="194"/>
    <col min="9994" max="9994" width="23.42578125" style="194" customWidth="1"/>
    <col min="9995" max="9995" width="22.140625" style="194" customWidth="1"/>
    <col min="9996" max="9996" width="11.85546875" style="194" customWidth="1"/>
    <col min="9997" max="10001" width="9.140625" style="194"/>
    <col min="10002" max="10002" width="2.28515625" style="194" customWidth="1"/>
    <col min="10003" max="10003" width="3.5703125" style="194" customWidth="1"/>
    <col min="10004" max="10004" width="4.28515625" style="194" customWidth="1"/>
    <col min="10005" max="10241" width="9.140625" style="194"/>
    <col min="10242" max="10242" width="17.7109375" style="194" customWidth="1"/>
    <col min="10243" max="10249" width="9.140625" style="194"/>
    <col min="10250" max="10250" width="23.42578125" style="194" customWidth="1"/>
    <col min="10251" max="10251" width="22.140625" style="194" customWidth="1"/>
    <col min="10252" max="10252" width="11.85546875" style="194" customWidth="1"/>
    <col min="10253" max="10257" width="9.140625" style="194"/>
    <col min="10258" max="10258" width="2.28515625" style="194" customWidth="1"/>
    <col min="10259" max="10259" width="3.5703125" style="194" customWidth="1"/>
    <col min="10260" max="10260" width="4.28515625" style="194" customWidth="1"/>
    <col min="10261" max="10497" width="9.140625" style="194"/>
    <col min="10498" max="10498" width="17.7109375" style="194" customWidth="1"/>
    <col min="10499" max="10505" width="9.140625" style="194"/>
    <col min="10506" max="10506" width="23.42578125" style="194" customWidth="1"/>
    <col min="10507" max="10507" width="22.140625" style="194" customWidth="1"/>
    <col min="10508" max="10508" width="11.85546875" style="194" customWidth="1"/>
    <col min="10509" max="10513" width="9.140625" style="194"/>
    <col min="10514" max="10514" width="2.28515625" style="194" customWidth="1"/>
    <col min="10515" max="10515" width="3.5703125" style="194" customWidth="1"/>
    <col min="10516" max="10516" width="4.28515625" style="194" customWidth="1"/>
    <col min="10517" max="10753" width="9.140625" style="194"/>
    <col min="10754" max="10754" width="17.7109375" style="194" customWidth="1"/>
    <col min="10755" max="10761" width="9.140625" style="194"/>
    <col min="10762" max="10762" width="23.42578125" style="194" customWidth="1"/>
    <col min="10763" max="10763" width="22.140625" style="194" customWidth="1"/>
    <col min="10764" max="10764" width="11.85546875" style="194" customWidth="1"/>
    <col min="10765" max="10769" width="9.140625" style="194"/>
    <col min="10770" max="10770" width="2.28515625" style="194" customWidth="1"/>
    <col min="10771" max="10771" width="3.5703125" style="194" customWidth="1"/>
    <col min="10772" max="10772" width="4.28515625" style="194" customWidth="1"/>
    <col min="10773" max="11009" width="9.140625" style="194"/>
    <col min="11010" max="11010" width="17.7109375" style="194" customWidth="1"/>
    <col min="11011" max="11017" width="9.140625" style="194"/>
    <col min="11018" max="11018" width="23.42578125" style="194" customWidth="1"/>
    <col min="11019" max="11019" width="22.140625" style="194" customWidth="1"/>
    <col min="11020" max="11020" width="11.85546875" style="194" customWidth="1"/>
    <col min="11021" max="11025" width="9.140625" style="194"/>
    <col min="11026" max="11026" width="2.28515625" style="194" customWidth="1"/>
    <col min="11027" max="11027" width="3.5703125" style="194" customWidth="1"/>
    <col min="11028" max="11028" width="4.28515625" style="194" customWidth="1"/>
    <col min="11029" max="11265" width="9.140625" style="194"/>
    <col min="11266" max="11266" width="17.7109375" style="194" customWidth="1"/>
    <col min="11267" max="11273" width="9.140625" style="194"/>
    <col min="11274" max="11274" width="23.42578125" style="194" customWidth="1"/>
    <col min="11275" max="11275" width="22.140625" style="194" customWidth="1"/>
    <col min="11276" max="11276" width="11.85546875" style="194" customWidth="1"/>
    <col min="11277" max="11281" width="9.140625" style="194"/>
    <col min="11282" max="11282" width="2.28515625" style="194" customWidth="1"/>
    <col min="11283" max="11283" width="3.5703125" style="194" customWidth="1"/>
    <col min="11284" max="11284" width="4.28515625" style="194" customWidth="1"/>
    <col min="11285" max="11521" width="9.140625" style="194"/>
    <col min="11522" max="11522" width="17.7109375" style="194" customWidth="1"/>
    <col min="11523" max="11529" width="9.140625" style="194"/>
    <col min="11530" max="11530" width="23.42578125" style="194" customWidth="1"/>
    <col min="11531" max="11531" width="22.140625" style="194" customWidth="1"/>
    <col min="11532" max="11532" width="11.85546875" style="194" customWidth="1"/>
    <col min="11533" max="11537" width="9.140625" style="194"/>
    <col min="11538" max="11538" width="2.28515625" style="194" customWidth="1"/>
    <col min="11539" max="11539" width="3.5703125" style="194" customWidth="1"/>
    <col min="11540" max="11540" width="4.28515625" style="194" customWidth="1"/>
    <col min="11541" max="11777" width="9.140625" style="194"/>
    <col min="11778" max="11778" width="17.7109375" style="194" customWidth="1"/>
    <col min="11779" max="11785" width="9.140625" style="194"/>
    <col min="11786" max="11786" width="23.42578125" style="194" customWidth="1"/>
    <col min="11787" max="11787" width="22.140625" style="194" customWidth="1"/>
    <col min="11788" max="11788" width="11.85546875" style="194" customWidth="1"/>
    <col min="11789" max="11793" width="9.140625" style="194"/>
    <col min="11794" max="11794" width="2.28515625" style="194" customWidth="1"/>
    <col min="11795" max="11795" width="3.5703125" style="194" customWidth="1"/>
    <col min="11796" max="11796" width="4.28515625" style="194" customWidth="1"/>
    <col min="11797" max="12033" width="9.140625" style="194"/>
    <col min="12034" max="12034" width="17.7109375" style="194" customWidth="1"/>
    <col min="12035" max="12041" width="9.140625" style="194"/>
    <col min="12042" max="12042" width="23.42578125" style="194" customWidth="1"/>
    <col min="12043" max="12043" width="22.140625" style="194" customWidth="1"/>
    <col min="12044" max="12044" width="11.85546875" style="194" customWidth="1"/>
    <col min="12045" max="12049" width="9.140625" style="194"/>
    <col min="12050" max="12050" width="2.28515625" style="194" customWidth="1"/>
    <col min="12051" max="12051" width="3.5703125" style="194" customWidth="1"/>
    <col min="12052" max="12052" width="4.28515625" style="194" customWidth="1"/>
    <col min="12053" max="12289" width="9.140625" style="194"/>
    <col min="12290" max="12290" width="17.7109375" style="194" customWidth="1"/>
    <col min="12291" max="12297" width="9.140625" style="194"/>
    <col min="12298" max="12298" width="23.42578125" style="194" customWidth="1"/>
    <col min="12299" max="12299" width="22.140625" style="194" customWidth="1"/>
    <col min="12300" max="12300" width="11.85546875" style="194" customWidth="1"/>
    <col min="12301" max="12305" width="9.140625" style="194"/>
    <col min="12306" max="12306" width="2.28515625" style="194" customWidth="1"/>
    <col min="12307" max="12307" width="3.5703125" style="194" customWidth="1"/>
    <col min="12308" max="12308" width="4.28515625" style="194" customWidth="1"/>
    <col min="12309" max="12545" width="9.140625" style="194"/>
    <col min="12546" max="12546" width="17.7109375" style="194" customWidth="1"/>
    <col min="12547" max="12553" width="9.140625" style="194"/>
    <col min="12554" max="12554" width="23.42578125" style="194" customWidth="1"/>
    <col min="12555" max="12555" width="22.140625" style="194" customWidth="1"/>
    <col min="12556" max="12556" width="11.85546875" style="194" customWidth="1"/>
    <col min="12557" max="12561" width="9.140625" style="194"/>
    <col min="12562" max="12562" width="2.28515625" style="194" customWidth="1"/>
    <col min="12563" max="12563" width="3.5703125" style="194" customWidth="1"/>
    <col min="12564" max="12564" width="4.28515625" style="194" customWidth="1"/>
    <col min="12565" max="12801" width="9.140625" style="194"/>
    <col min="12802" max="12802" width="17.7109375" style="194" customWidth="1"/>
    <col min="12803" max="12809" width="9.140625" style="194"/>
    <col min="12810" max="12810" width="23.42578125" style="194" customWidth="1"/>
    <col min="12811" max="12811" width="22.140625" style="194" customWidth="1"/>
    <col min="12812" max="12812" width="11.85546875" style="194" customWidth="1"/>
    <col min="12813" max="12817" width="9.140625" style="194"/>
    <col min="12818" max="12818" width="2.28515625" style="194" customWidth="1"/>
    <col min="12819" max="12819" width="3.5703125" style="194" customWidth="1"/>
    <col min="12820" max="12820" width="4.28515625" style="194" customWidth="1"/>
    <col min="12821" max="13057" width="9.140625" style="194"/>
    <col min="13058" max="13058" width="17.7109375" style="194" customWidth="1"/>
    <col min="13059" max="13065" width="9.140625" style="194"/>
    <col min="13066" max="13066" width="23.42578125" style="194" customWidth="1"/>
    <col min="13067" max="13067" width="22.140625" style="194" customWidth="1"/>
    <col min="13068" max="13068" width="11.85546875" style="194" customWidth="1"/>
    <col min="13069" max="13073" width="9.140625" style="194"/>
    <col min="13074" max="13074" width="2.28515625" style="194" customWidth="1"/>
    <col min="13075" max="13075" width="3.5703125" style="194" customWidth="1"/>
    <col min="13076" max="13076" width="4.28515625" style="194" customWidth="1"/>
    <col min="13077" max="13313" width="9.140625" style="194"/>
    <col min="13314" max="13314" width="17.7109375" style="194" customWidth="1"/>
    <col min="13315" max="13321" width="9.140625" style="194"/>
    <col min="13322" max="13322" width="23.42578125" style="194" customWidth="1"/>
    <col min="13323" max="13323" width="22.140625" style="194" customWidth="1"/>
    <col min="13324" max="13324" width="11.85546875" style="194" customWidth="1"/>
    <col min="13325" max="13329" width="9.140625" style="194"/>
    <col min="13330" max="13330" width="2.28515625" style="194" customWidth="1"/>
    <col min="13331" max="13331" width="3.5703125" style="194" customWidth="1"/>
    <col min="13332" max="13332" width="4.28515625" style="194" customWidth="1"/>
    <col min="13333" max="13569" width="9.140625" style="194"/>
    <col min="13570" max="13570" width="17.7109375" style="194" customWidth="1"/>
    <col min="13571" max="13577" width="9.140625" style="194"/>
    <col min="13578" max="13578" width="23.42578125" style="194" customWidth="1"/>
    <col min="13579" max="13579" width="22.140625" style="194" customWidth="1"/>
    <col min="13580" max="13580" width="11.85546875" style="194" customWidth="1"/>
    <col min="13581" max="13585" width="9.140625" style="194"/>
    <col min="13586" max="13586" width="2.28515625" style="194" customWidth="1"/>
    <col min="13587" max="13587" width="3.5703125" style="194" customWidth="1"/>
    <col min="13588" max="13588" width="4.28515625" style="194" customWidth="1"/>
    <col min="13589" max="13825" width="9.140625" style="194"/>
    <col min="13826" max="13826" width="17.7109375" style="194" customWidth="1"/>
    <col min="13827" max="13833" width="9.140625" style="194"/>
    <col min="13834" max="13834" width="23.42578125" style="194" customWidth="1"/>
    <col min="13835" max="13835" width="22.140625" style="194" customWidth="1"/>
    <col min="13836" max="13836" width="11.85546875" style="194" customWidth="1"/>
    <col min="13837" max="13841" width="9.140625" style="194"/>
    <col min="13842" max="13842" width="2.28515625" style="194" customWidth="1"/>
    <col min="13843" max="13843" width="3.5703125" style="194" customWidth="1"/>
    <col min="13844" max="13844" width="4.28515625" style="194" customWidth="1"/>
    <col min="13845" max="14081" width="9.140625" style="194"/>
    <col min="14082" max="14082" width="17.7109375" style="194" customWidth="1"/>
    <col min="14083" max="14089" width="9.140625" style="194"/>
    <col min="14090" max="14090" width="23.42578125" style="194" customWidth="1"/>
    <col min="14091" max="14091" width="22.140625" style="194" customWidth="1"/>
    <col min="14092" max="14092" width="11.85546875" style="194" customWidth="1"/>
    <col min="14093" max="14097" width="9.140625" style="194"/>
    <col min="14098" max="14098" width="2.28515625" style="194" customWidth="1"/>
    <col min="14099" max="14099" width="3.5703125" style="194" customWidth="1"/>
    <col min="14100" max="14100" width="4.28515625" style="194" customWidth="1"/>
    <col min="14101" max="14337" width="9.140625" style="194"/>
    <col min="14338" max="14338" width="17.7109375" style="194" customWidth="1"/>
    <col min="14339" max="14345" width="9.140625" style="194"/>
    <col min="14346" max="14346" width="23.42578125" style="194" customWidth="1"/>
    <col min="14347" max="14347" width="22.140625" style="194" customWidth="1"/>
    <col min="14348" max="14348" width="11.85546875" style="194" customWidth="1"/>
    <col min="14349" max="14353" width="9.140625" style="194"/>
    <col min="14354" max="14354" width="2.28515625" style="194" customWidth="1"/>
    <col min="14355" max="14355" width="3.5703125" style="194" customWidth="1"/>
    <col min="14356" max="14356" width="4.28515625" style="194" customWidth="1"/>
    <col min="14357" max="14593" width="9.140625" style="194"/>
    <col min="14594" max="14594" width="17.7109375" style="194" customWidth="1"/>
    <col min="14595" max="14601" width="9.140625" style="194"/>
    <col min="14602" max="14602" width="23.42578125" style="194" customWidth="1"/>
    <col min="14603" max="14603" width="22.140625" style="194" customWidth="1"/>
    <col min="14604" max="14604" width="11.85546875" style="194" customWidth="1"/>
    <col min="14605" max="14609" width="9.140625" style="194"/>
    <col min="14610" max="14610" width="2.28515625" style="194" customWidth="1"/>
    <col min="14611" max="14611" width="3.5703125" style="194" customWidth="1"/>
    <col min="14612" max="14612" width="4.28515625" style="194" customWidth="1"/>
    <col min="14613" max="14849" width="9.140625" style="194"/>
    <col min="14850" max="14850" width="17.7109375" style="194" customWidth="1"/>
    <col min="14851" max="14857" width="9.140625" style="194"/>
    <col min="14858" max="14858" width="23.42578125" style="194" customWidth="1"/>
    <col min="14859" max="14859" width="22.140625" style="194" customWidth="1"/>
    <col min="14860" max="14860" width="11.85546875" style="194" customWidth="1"/>
    <col min="14861" max="14865" width="9.140625" style="194"/>
    <col min="14866" max="14866" width="2.28515625" style="194" customWidth="1"/>
    <col min="14867" max="14867" width="3.5703125" style="194" customWidth="1"/>
    <col min="14868" max="14868" width="4.28515625" style="194" customWidth="1"/>
    <col min="14869" max="15105" width="9.140625" style="194"/>
    <col min="15106" max="15106" width="17.7109375" style="194" customWidth="1"/>
    <col min="15107" max="15113" width="9.140625" style="194"/>
    <col min="15114" max="15114" width="23.42578125" style="194" customWidth="1"/>
    <col min="15115" max="15115" width="22.140625" style="194" customWidth="1"/>
    <col min="15116" max="15116" width="11.85546875" style="194" customWidth="1"/>
    <col min="15117" max="15121" width="9.140625" style="194"/>
    <col min="15122" max="15122" width="2.28515625" style="194" customWidth="1"/>
    <col min="15123" max="15123" width="3.5703125" style="194" customWidth="1"/>
    <col min="15124" max="15124" width="4.28515625" style="194" customWidth="1"/>
    <col min="15125" max="15361" width="9.140625" style="194"/>
    <col min="15362" max="15362" width="17.7109375" style="194" customWidth="1"/>
    <col min="15363" max="15369" width="9.140625" style="194"/>
    <col min="15370" max="15370" width="23.42578125" style="194" customWidth="1"/>
    <col min="15371" max="15371" width="22.140625" style="194" customWidth="1"/>
    <col min="15372" max="15372" width="11.85546875" style="194" customWidth="1"/>
    <col min="15373" max="15377" width="9.140625" style="194"/>
    <col min="15378" max="15378" width="2.28515625" style="194" customWidth="1"/>
    <col min="15379" max="15379" width="3.5703125" style="194" customWidth="1"/>
    <col min="15380" max="15380" width="4.28515625" style="194" customWidth="1"/>
    <col min="15381" max="15617" width="9.140625" style="194"/>
    <col min="15618" max="15618" width="17.7109375" style="194" customWidth="1"/>
    <col min="15619" max="15625" width="9.140625" style="194"/>
    <col min="15626" max="15626" width="23.42578125" style="194" customWidth="1"/>
    <col min="15627" max="15627" width="22.140625" style="194" customWidth="1"/>
    <col min="15628" max="15628" width="11.85546875" style="194" customWidth="1"/>
    <col min="15629" max="15633" width="9.140625" style="194"/>
    <col min="15634" max="15634" width="2.28515625" style="194" customWidth="1"/>
    <col min="15635" max="15635" width="3.5703125" style="194" customWidth="1"/>
    <col min="15636" max="15636" width="4.28515625" style="194" customWidth="1"/>
    <col min="15637" max="15873" width="9.140625" style="194"/>
    <col min="15874" max="15874" width="17.7109375" style="194" customWidth="1"/>
    <col min="15875" max="15881" width="9.140625" style="194"/>
    <col min="15882" max="15882" width="23.42578125" style="194" customWidth="1"/>
    <col min="15883" max="15883" width="22.140625" style="194" customWidth="1"/>
    <col min="15884" max="15884" width="11.85546875" style="194" customWidth="1"/>
    <col min="15885" max="15889" width="9.140625" style="194"/>
    <col min="15890" max="15890" width="2.28515625" style="194" customWidth="1"/>
    <col min="15891" max="15891" width="3.5703125" style="194" customWidth="1"/>
    <col min="15892" max="15892" width="4.28515625" style="194" customWidth="1"/>
    <col min="15893" max="16129" width="9.140625" style="194"/>
    <col min="16130" max="16130" width="17.7109375" style="194" customWidth="1"/>
    <col min="16131" max="16137" width="9.140625" style="194"/>
    <col min="16138" max="16138" width="23.42578125" style="194" customWidth="1"/>
    <col min="16139" max="16139" width="22.140625" style="194" customWidth="1"/>
    <col min="16140" max="16140" width="11.85546875" style="194" customWidth="1"/>
    <col min="16141" max="16145" width="9.140625" style="194"/>
    <col min="16146" max="16146" width="2.28515625" style="194" customWidth="1"/>
    <col min="16147" max="16147" width="3.5703125" style="194" customWidth="1"/>
    <col min="16148" max="16148" width="4.28515625" style="194" customWidth="1"/>
    <col min="16149" max="16384" width="9.140625" style="194"/>
  </cols>
  <sheetData>
    <row r="1" spans="1:16">
      <c r="A1" s="627"/>
      <c r="B1" s="383"/>
      <c r="C1" s="628"/>
      <c r="D1" s="629"/>
      <c r="E1" s="1542"/>
      <c r="F1" s="1542"/>
      <c r="G1" s="1542"/>
      <c r="H1" s="1542"/>
      <c r="I1" s="1542"/>
      <c r="J1" s="1542"/>
      <c r="K1" s="1542"/>
      <c r="L1" s="1543"/>
      <c r="M1" s="1542"/>
      <c r="N1" s="1542"/>
    </row>
    <row r="2" spans="1:16">
      <c r="A2" s="1339" t="s">
        <v>1037</v>
      </c>
      <c r="B2" s="1339"/>
      <c r="C2" s="1339"/>
      <c r="D2" s="1339"/>
      <c r="E2" s="1339"/>
      <c r="F2" s="1339"/>
      <c r="G2" s="1339"/>
      <c r="H2" s="1339"/>
      <c r="I2" s="1339"/>
      <c r="J2" s="1339"/>
      <c r="K2" s="1339"/>
      <c r="L2" s="1339"/>
      <c r="M2" s="1339"/>
      <c r="N2" s="1339"/>
    </row>
    <row r="3" spans="1:16">
      <c r="A3" s="627"/>
      <c r="B3" s="383"/>
      <c r="C3" s="628"/>
      <c r="D3" s="629"/>
      <c r="E3" s="1542"/>
      <c r="F3" s="1542"/>
      <c r="G3" s="1542"/>
      <c r="H3" s="1542"/>
      <c r="I3" s="1542"/>
      <c r="J3" s="1542"/>
      <c r="K3" s="1542"/>
      <c r="L3" s="1543"/>
      <c r="M3" s="1542"/>
      <c r="N3" s="1542"/>
      <c r="P3" s="1536"/>
    </row>
    <row r="4" spans="1:16" ht="40.5" customHeight="1">
      <c r="A4" s="1340" t="s">
        <v>51</v>
      </c>
      <c r="B4" s="1340" t="s">
        <v>788</v>
      </c>
      <c r="C4" s="1340" t="s">
        <v>789</v>
      </c>
      <c r="D4" s="1340" t="s">
        <v>790</v>
      </c>
      <c r="E4" s="1544" t="s">
        <v>791</v>
      </c>
      <c r="F4" s="1544"/>
      <c r="G4" s="1544"/>
      <c r="H4" s="1545" t="s">
        <v>792</v>
      </c>
      <c r="I4" s="1545" t="s">
        <v>793</v>
      </c>
      <c r="J4" s="1545" t="s">
        <v>794</v>
      </c>
      <c r="K4" s="1545" t="s">
        <v>795</v>
      </c>
      <c r="L4" s="1546" t="s">
        <v>796</v>
      </c>
      <c r="M4" s="1545" t="s">
        <v>797</v>
      </c>
      <c r="N4" s="1545" t="s">
        <v>798</v>
      </c>
      <c r="O4" s="1537"/>
      <c r="P4" s="1537"/>
    </row>
    <row r="5" spans="1:16" ht="40.5" customHeight="1">
      <c r="A5" s="1340"/>
      <c r="B5" s="1340"/>
      <c r="C5" s="1340"/>
      <c r="D5" s="1340"/>
      <c r="E5" s="655" t="s">
        <v>799</v>
      </c>
      <c r="F5" s="1545" t="s">
        <v>1036</v>
      </c>
      <c r="G5" s="1545"/>
      <c r="H5" s="1545"/>
      <c r="I5" s="1545"/>
      <c r="J5" s="1545"/>
      <c r="K5" s="1545"/>
      <c r="L5" s="1546"/>
      <c r="M5" s="1545"/>
      <c r="N5" s="1545"/>
      <c r="O5" s="1537"/>
      <c r="P5" s="1537"/>
    </row>
    <row r="6" spans="1:16" ht="40.5" customHeight="1">
      <c r="A6" s="1340"/>
      <c r="B6" s="1340"/>
      <c r="C6" s="1340"/>
      <c r="D6" s="1340"/>
      <c r="E6" s="655" t="s">
        <v>800</v>
      </c>
      <c r="F6" s="655" t="s">
        <v>801</v>
      </c>
      <c r="G6" s="655" t="s">
        <v>800</v>
      </c>
      <c r="H6" s="1545"/>
      <c r="I6" s="1545"/>
      <c r="J6" s="1545"/>
      <c r="K6" s="1545"/>
      <c r="L6" s="1546"/>
      <c r="M6" s="1545"/>
      <c r="N6" s="1545"/>
      <c r="O6" s="1537"/>
      <c r="P6" s="1537"/>
    </row>
    <row r="7" spans="1:16">
      <c r="A7" s="384"/>
      <c r="B7" s="1341" t="s">
        <v>802</v>
      </c>
      <c r="C7" s="1342"/>
      <c r="D7" s="1342"/>
      <c r="E7" s="1342"/>
      <c r="F7" s="1343"/>
      <c r="G7" s="1342"/>
      <c r="H7" s="1342"/>
      <c r="I7" s="1342"/>
      <c r="J7" s="1342"/>
      <c r="K7" s="1344"/>
      <c r="L7" s="1547"/>
      <c r="M7" s="1548">
        <f>AVERAGE(M8:M9,M11:M16,M18:M21,M23:M26)</f>
        <v>0.92071874999999992</v>
      </c>
      <c r="N7" s="1548">
        <f>AVERAGE(N8:N9,N11:N16,N18:N21,N23:N26)</f>
        <v>1.0249369652871387</v>
      </c>
      <c r="O7" s="1538"/>
      <c r="P7" s="1538"/>
    </row>
    <row r="8" spans="1:16" ht="75" customHeight="1">
      <c r="A8" s="384" t="s">
        <v>803</v>
      </c>
      <c r="B8" s="630" t="s">
        <v>804</v>
      </c>
      <c r="C8" s="616" t="s">
        <v>805</v>
      </c>
      <c r="D8" s="385"/>
      <c r="E8" s="1549">
        <v>57.2</v>
      </c>
      <c r="F8" s="1550">
        <v>55.5</v>
      </c>
      <c r="G8" s="1549">
        <v>62.3</v>
      </c>
      <c r="H8" s="1551">
        <f>G8/F8</f>
        <v>1.1225225225225224</v>
      </c>
      <c r="I8" s="1551">
        <f>G8/E8</f>
        <v>1.0891608391608392</v>
      </c>
      <c r="J8" s="655" t="s">
        <v>1077</v>
      </c>
      <c r="K8" s="1552"/>
      <c r="L8" s="1547" t="s">
        <v>237</v>
      </c>
      <c r="M8" s="1551">
        <v>1</v>
      </c>
      <c r="N8" s="1551">
        <f>I8</f>
        <v>1.0891608391608392</v>
      </c>
      <c r="O8" s="1539"/>
      <c r="P8" s="1540">
        <f>(M8+M9+M11+M12+M13+M14+M15+M16+M18+M19+M20+M21+M23+M24+M25+M26)/16</f>
        <v>0.92071874999999992</v>
      </c>
    </row>
    <row r="9" spans="1:16" ht="78.75">
      <c r="A9" s="384" t="s">
        <v>806</v>
      </c>
      <c r="B9" s="385" t="s">
        <v>807</v>
      </c>
      <c r="C9" s="385" t="s">
        <v>808</v>
      </c>
      <c r="D9" s="385"/>
      <c r="E9" s="1553">
        <v>279.3</v>
      </c>
      <c r="F9" s="1550">
        <v>172.5</v>
      </c>
      <c r="G9" s="1553">
        <v>293.39999999999998</v>
      </c>
      <c r="H9" s="1551">
        <f>G9/F9</f>
        <v>1.7008695652173911</v>
      </c>
      <c r="I9" s="1551">
        <f>G9/E9</f>
        <v>1.0504833512352307</v>
      </c>
      <c r="J9" s="655" t="s">
        <v>1078</v>
      </c>
      <c r="K9" s="1552"/>
      <c r="L9" s="1547" t="s">
        <v>237</v>
      </c>
      <c r="M9" s="1551">
        <v>1</v>
      </c>
      <c r="N9" s="1551">
        <f>I9</f>
        <v>1.0504833512352307</v>
      </c>
    </row>
    <row r="10" spans="1:16">
      <c r="A10" s="384">
        <v>1</v>
      </c>
      <c r="B10" s="1335" t="s">
        <v>809</v>
      </c>
      <c r="C10" s="1336"/>
      <c r="D10" s="1336"/>
      <c r="E10" s="1337"/>
      <c r="F10" s="1337"/>
      <c r="G10" s="1336"/>
      <c r="H10" s="1336"/>
      <c r="I10" s="1336"/>
      <c r="J10" s="1336"/>
      <c r="K10" s="1338"/>
      <c r="L10" s="1547"/>
      <c r="M10" s="1551">
        <f>(M11+M12+M13+M16+M14+M15)/6</f>
        <v>0.98928333333333329</v>
      </c>
      <c r="N10" s="1551">
        <f>(N11+N12+N13+N14+N15+N16)/6</f>
        <v>1.0814781355468182</v>
      </c>
      <c r="O10" s="1538"/>
      <c r="P10" s="1538"/>
    </row>
    <row r="11" spans="1:16" ht="99" customHeight="1">
      <c r="A11" s="631" t="s">
        <v>810</v>
      </c>
      <c r="B11" s="385" t="s">
        <v>811</v>
      </c>
      <c r="C11" s="616" t="s">
        <v>805</v>
      </c>
      <c r="D11" s="616"/>
      <c r="E11" s="1554">
        <v>92.3</v>
      </c>
      <c r="F11" s="1550">
        <v>94.2</v>
      </c>
      <c r="G11" s="1554">
        <v>94.4</v>
      </c>
      <c r="H11" s="1555">
        <f t="shared" ref="H11:H16" si="0">G11/F11</f>
        <v>1.0021231422505308</v>
      </c>
      <c r="I11" s="1555">
        <f t="shared" ref="I11:I16" si="1">G11/E11</f>
        <v>1.0227518959913326</v>
      </c>
      <c r="J11" s="655" t="s">
        <v>1077</v>
      </c>
      <c r="K11" s="1552"/>
      <c r="L11" s="1547" t="s">
        <v>237</v>
      </c>
      <c r="M11" s="1551">
        <v>1</v>
      </c>
      <c r="N11" s="1551">
        <f t="shared" ref="N11:N15" si="2">I11</f>
        <v>1.0227518959913326</v>
      </c>
    </row>
    <row r="12" spans="1:16" ht="117" customHeight="1">
      <c r="A12" s="631" t="s">
        <v>812</v>
      </c>
      <c r="B12" s="632" t="s">
        <v>813</v>
      </c>
      <c r="C12" s="616" t="s">
        <v>805</v>
      </c>
      <c r="D12" s="616"/>
      <c r="E12" s="1556">
        <v>48.6</v>
      </c>
      <c r="F12" s="1550">
        <v>52.5</v>
      </c>
      <c r="G12" s="1556">
        <v>56.2</v>
      </c>
      <c r="H12" s="1557">
        <f t="shared" si="0"/>
        <v>1.0704761904761906</v>
      </c>
      <c r="I12" s="1555">
        <f t="shared" si="1"/>
        <v>1.1563786008230452</v>
      </c>
      <c r="J12" s="655" t="s">
        <v>1077</v>
      </c>
      <c r="K12" s="1552"/>
      <c r="L12" s="1547" t="s">
        <v>237</v>
      </c>
      <c r="M12" s="1551">
        <v>1</v>
      </c>
      <c r="N12" s="1551">
        <f>I12</f>
        <v>1.1563786008230452</v>
      </c>
    </row>
    <row r="13" spans="1:16" ht="116.25" customHeight="1">
      <c r="A13" s="631" t="s">
        <v>814</v>
      </c>
      <c r="B13" s="630" t="s">
        <v>815</v>
      </c>
      <c r="C13" s="616" t="s">
        <v>805</v>
      </c>
      <c r="D13" s="616"/>
      <c r="E13" s="1558">
        <v>22.1</v>
      </c>
      <c r="F13" s="1550">
        <v>25.6</v>
      </c>
      <c r="G13" s="1558">
        <v>26</v>
      </c>
      <c r="H13" s="1555">
        <f t="shared" si="0"/>
        <v>1.015625</v>
      </c>
      <c r="I13" s="1555">
        <f t="shared" si="1"/>
        <v>1.1764705882352939</v>
      </c>
      <c r="J13" s="655" t="s">
        <v>1077</v>
      </c>
      <c r="K13" s="1552"/>
      <c r="L13" s="1547" t="s">
        <v>237</v>
      </c>
      <c r="M13" s="1551">
        <v>1</v>
      </c>
      <c r="N13" s="1551">
        <f t="shared" si="2"/>
        <v>1.1764705882352939</v>
      </c>
    </row>
    <row r="14" spans="1:16" ht="69.75" customHeight="1">
      <c r="A14" s="631" t="s">
        <v>816</v>
      </c>
      <c r="B14" s="630" t="s">
        <v>817</v>
      </c>
      <c r="C14" s="616" t="s">
        <v>805</v>
      </c>
      <c r="D14" s="616"/>
      <c r="E14" s="1558">
        <v>58.2</v>
      </c>
      <c r="F14" s="1550">
        <v>54.4</v>
      </c>
      <c r="G14" s="1558">
        <v>66.099999999999994</v>
      </c>
      <c r="H14" s="1555">
        <f t="shared" si="0"/>
        <v>1.2150735294117647</v>
      </c>
      <c r="I14" s="1555">
        <f t="shared" si="1"/>
        <v>1.13573883161512</v>
      </c>
      <c r="J14" s="655" t="s">
        <v>1077</v>
      </c>
      <c r="K14" s="1552"/>
      <c r="L14" s="1547" t="s">
        <v>237</v>
      </c>
      <c r="M14" s="1551">
        <v>1</v>
      </c>
      <c r="N14" s="1551">
        <f t="shared" si="2"/>
        <v>1.13573883161512</v>
      </c>
    </row>
    <row r="15" spans="1:16" ht="192" customHeight="1">
      <c r="A15" s="631" t="s">
        <v>818</v>
      </c>
      <c r="B15" s="630" t="s">
        <v>819</v>
      </c>
      <c r="C15" s="616" t="s">
        <v>805</v>
      </c>
      <c r="D15" s="616"/>
      <c r="E15" s="1558">
        <v>26.1</v>
      </c>
      <c r="F15" s="1550">
        <v>28</v>
      </c>
      <c r="G15" s="1558">
        <v>26.2</v>
      </c>
      <c r="H15" s="1555">
        <f t="shared" si="0"/>
        <v>0.93571428571428572</v>
      </c>
      <c r="I15" s="1559">
        <f t="shared" si="1"/>
        <v>1.0038314176245209</v>
      </c>
      <c r="J15" s="1560" t="s">
        <v>1079</v>
      </c>
      <c r="K15" s="1560" t="s">
        <v>1080</v>
      </c>
      <c r="L15" s="1547" t="s">
        <v>237</v>
      </c>
      <c r="M15" s="1551">
        <v>0.93569999999999998</v>
      </c>
      <c r="N15" s="1551">
        <f t="shared" si="2"/>
        <v>1.0038314176245209</v>
      </c>
    </row>
    <row r="16" spans="1:16" ht="90.75" customHeight="1">
      <c r="A16" s="631" t="s">
        <v>821</v>
      </c>
      <c r="B16" s="385" t="s">
        <v>822</v>
      </c>
      <c r="C16" s="616" t="s">
        <v>805</v>
      </c>
      <c r="D16" s="616"/>
      <c r="E16" s="1553">
        <v>47.6</v>
      </c>
      <c r="F16" s="1550">
        <v>46</v>
      </c>
      <c r="G16" s="1553">
        <v>47.3</v>
      </c>
      <c r="H16" s="1555">
        <f t="shared" si="0"/>
        <v>1.0282608695652173</v>
      </c>
      <c r="I16" s="1559">
        <f t="shared" si="1"/>
        <v>0.99369747899159655</v>
      </c>
      <c r="J16" s="655" t="s">
        <v>1077</v>
      </c>
      <c r="K16" s="1552"/>
      <c r="L16" s="1547" t="s">
        <v>237</v>
      </c>
      <c r="M16" s="1551">
        <v>1</v>
      </c>
      <c r="N16" s="1551">
        <f>I16</f>
        <v>0.99369747899159655</v>
      </c>
    </row>
    <row r="17" spans="1:20">
      <c r="A17" s="384">
        <v>2</v>
      </c>
      <c r="B17" s="1335" t="s">
        <v>823</v>
      </c>
      <c r="C17" s="1336"/>
      <c r="D17" s="1336"/>
      <c r="E17" s="1346"/>
      <c r="F17" s="1337"/>
      <c r="G17" s="1336"/>
      <c r="H17" s="1336"/>
      <c r="I17" s="1336"/>
      <c r="J17" s="1336"/>
      <c r="K17" s="1338"/>
      <c r="L17" s="1547"/>
      <c r="M17" s="1551">
        <f>(M18+M19+M20+M21)/4</f>
        <v>0.84807499999999991</v>
      </c>
      <c r="N17" s="1551">
        <f>SUM(N18+N20+N21)/3</f>
        <v>1.0945717261129915</v>
      </c>
      <c r="O17" s="1538">
        <f>AVERAGE(M18,M19,M20,M21)</f>
        <v>0.84807499999999991</v>
      </c>
      <c r="P17" s="1538">
        <f>AVERAGE(N18:N21)</f>
        <v>1.0945717261129915</v>
      </c>
    </row>
    <row r="18" spans="1:20" ht="72" customHeight="1">
      <c r="A18" s="631" t="s">
        <v>824</v>
      </c>
      <c r="B18" s="630" t="s">
        <v>825</v>
      </c>
      <c r="C18" s="616" t="s">
        <v>826</v>
      </c>
      <c r="D18" s="616"/>
      <c r="E18" s="1553">
        <v>92</v>
      </c>
      <c r="F18" s="1550">
        <v>83</v>
      </c>
      <c r="G18" s="1553">
        <v>94</v>
      </c>
      <c r="H18" s="1555">
        <f>G18/F18</f>
        <v>1.1325301204819278</v>
      </c>
      <c r="I18" s="1555">
        <f>G18/E18</f>
        <v>1.0217391304347827</v>
      </c>
      <c r="J18" s="655" t="s">
        <v>1075</v>
      </c>
      <c r="K18" s="1552"/>
      <c r="L18" s="1547" t="s">
        <v>237</v>
      </c>
      <c r="M18" s="1551">
        <v>1</v>
      </c>
      <c r="N18" s="1551">
        <f t="shared" ref="N18:N23" si="3">I18</f>
        <v>1.0217391304347827</v>
      </c>
      <c r="O18" s="1347"/>
      <c r="P18" s="1348"/>
      <c r="Q18" s="1348"/>
      <c r="R18" s="1348"/>
      <c r="S18" s="1348"/>
      <c r="T18" s="1348"/>
    </row>
    <row r="19" spans="1:20" ht="132" customHeight="1">
      <c r="A19" s="631" t="s">
        <v>38</v>
      </c>
      <c r="B19" s="385" t="s">
        <v>827</v>
      </c>
      <c r="C19" s="616" t="s">
        <v>805</v>
      </c>
      <c r="D19" s="616" t="s">
        <v>828</v>
      </c>
      <c r="E19" s="1561">
        <v>100</v>
      </c>
      <c r="F19" s="1550">
        <v>100</v>
      </c>
      <c r="G19" s="1561">
        <v>100</v>
      </c>
      <c r="H19" s="1555">
        <f>G19/F19</f>
        <v>1</v>
      </c>
      <c r="I19" s="1555">
        <f>G19/E19</f>
        <v>1</v>
      </c>
      <c r="J19" s="1552"/>
      <c r="K19" s="1552"/>
      <c r="L19" s="1547" t="s">
        <v>237</v>
      </c>
      <c r="M19" s="1551">
        <v>1</v>
      </c>
      <c r="N19" s="1551" t="s">
        <v>820</v>
      </c>
    </row>
    <row r="20" spans="1:20" ht="78" customHeight="1">
      <c r="A20" s="631" t="s">
        <v>829</v>
      </c>
      <c r="B20" s="630" t="s">
        <v>830</v>
      </c>
      <c r="C20" s="616" t="s">
        <v>805</v>
      </c>
      <c r="D20" s="616"/>
      <c r="E20" s="1553">
        <v>16.7</v>
      </c>
      <c r="F20" s="1550">
        <v>40</v>
      </c>
      <c r="G20" s="1553">
        <v>16.899999999999999</v>
      </c>
      <c r="H20" s="1555">
        <f>G20/F20</f>
        <v>0.42249999999999999</v>
      </c>
      <c r="I20" s="1555">
        <f>G20/E20</f>
        <v>1.0119760479041915</v>
      </c>
      <c r="J20" s="1552" t="s">
        <v>1076</v>
      </c>
      <c r="K20" s="655" t="s">
        <v>831</v>
      </c>
      <c r="L20" s="1547" t="s">
        <v>237</v>
      </c>
      <c r="M20" s="1551">
        <v>0.42249999999999999</v>
      </c>
      <c r="N20" s="1551">
        <f t="shared" si="3"/>
        <v>1.0119760479041915</v>
      </c>
    </row>
    <row r="21" spans="1:20" ht="78" customHeight="1">
      <c r="A21" s="631" t="s">
        <v>832</v>
      </c>
      <c r="B21" s="630" t="s">
        <v>833</v>
      </c>
      <c r="C21" s="616" t="s">
        <v>805</v>
      </c>
      <c r="D21" s="616"/>
      <c r="E21" s="1549">
        <v>29</v>
      </c>
      <c r="F21" s="1550">
        <v>53</v>
      </c>
      <c r="G21" s="1549">
        <v>51.4</v>
      </c>
      <c r="H21" s="1555">
        <f>G21/F21</f>
        <v>0.96981132075471699</v>
      </c>
      <c r="I21" s="1555">
        <f>G21/E21</f>
        <v>1.7724137931034483</v>
      </c>
      <c r="J21" s="655" t="s">
        <v>1081</v>
      </c>
      <c r="K21" s="655"/>
      <c r="L21" s="1547" t="s">
        <v>237</v>
      </c>
      <c r="M21" s="1551">
        <v>0.9698</v>
      </c>
      <c r="N21" s="1551">
        <v>1.25</v>
      </c>
    </row>
    <row r="22" spans="1:20">
      <c r="A22" s="384">
        <v>3</v>
      </c>
      <c r="B22" s="386" t="s">
        <v>834</v>
      </c>
      <c r="C22" s="385"/>
      <c r="D22" s="385"/>
      <c r="E22" s="1562"/>
      <c r="F22" s="1563"/>
      <c r="G22" s="1562"/>
      <c r="H22" s="655" t="s">
        <v>820</v>
      </c>
      <c r="I22" s="655" t="s">
        <v>820</v>
      </c>
      <c r="J22" s="1552"/>
      <c r="K22" s="1552"/>
      <c r="L22" s="1547"/>
      <c r="M22" s="1551">
        <f>(M23+M24+M25+M26)/4</f>
        <v>0.85087500000000005</v>
      </c>
      <c r="N22" s="1551">
        <f>(N23+N24+N25)/3</f>
        <v>0.81229644400132939</v>
      </c>
      <c r="O22" s="1538">
        <f>AVERAGE(M23:M26)</f>
        <v>0.85087500000000005</v>
      </c>
      <c r="P22" s="1538">
        <f>AVERAGE(N23:N26)</f>
        <v>0.81229644400132939</v>
      </c>
    </row>
    <row r="23" spans="1:20" ht="59.25" customHeight="1">
      <c r="A23" s="631" t="s">
        <v>835</v>
      </c>
      <c r="B23" s="385" t="s">
        <v>836</v>
      </c>
      <c r="C23" s="616" t="s">
        <v>805</v>
      </c>
      <c r="D23" s="657"/>
      <c r="E23" s="1553">
        <v>59.5</v>
      </c>
      <c r="F23" s="1550">
        <v>62.1</v>
      </c>
      <c r="G23" s="1553">
        <v>62.3</v>
      </c>
      <c r="H23" s="1555">
        <f>G23/F23</f>
        <v>1.0032206119162641</v>
      </c>
      <c r="I23" s="1555">
        <f>G23/E23</f>
        <v>1.0470588235294118</v>
      </c>
      <c r="J23" s="655" t="s">
        <v>1082</v>
      </c>
      <c r="K23" s="1552"/>
      <c r="L23" s="1547" t="s">
        <v>237</v>
      </c>
      <c r="M23" s="1551">
        <v>1</v>
      </c>
      <c r="N23" s="1551">
        <f t="shared" si="3"/>
        <v>1.0470588235294118</v>
      </c>
    </row>
    <row r="24" spans="1:20" ht="55.5" customHeight="1">
      <c r="A24" s="631" t="s">
        <v>837</v>
      </c>
      <c r="B24" s="385" t="s">
        <v>838</v>
      </c>
      <c r="C24" s="616" t="s">
        <v>839</v>
      </c>
      <c r="D24" s="616"/>
      <c r="E24" s="1549">
        <v>59</v>
      </c>
      <c r="F24" s="1550">
        <v>57</v>
      </c>
      <c r="G24" s="1549">
        <v>23</v>
      </c>
      <c r="H24" s="1555">
        <f>G24/F24</f>
        <v>0.40350877192982454</v>
      </c>
      <c r="I24" s="1555">
        <f>G24/E24</f>
        <v>0.38983050847457629</v>
      </c>
      <c r="J24" s="1564" t="s">
        <v>1070</v>
      </c>
      <c r="K24" s="655" t="s">
        <v>1071</v>
      </c>
      <c r="L24" s="1547" t="s">
        <v>237</v>
      </c>
      <c r="M24" s="1551">
        <v>0.40350000000000003</v>
      </c>
      <c r="N24" s="1551">
        <f>I24</f>
        <v>0.38983050847457629</v>
      </c>
    </row>
    <row r="25" spans="1:20" ht="54.75" customHeight="1">
      <c r="A25" s="631" t="s">
        <v>840</v>
      </c>
      <c r="B25" s="385" t="s">
        <v>841</v>
      </c>
      <c r="C25" s="616" t="s">
        <v>805</v>
      </c>
      <c r="D25" s="616"/>
      <c r="E25" s="1553">
        <v>65.5</v>
      </c>
      <c r="F25" s="1550">
        <v>61.5</v>
      </c>
      <c r="G25" s="1553">
        <v>65.5</v>
      </c>
      <c r="H25" s="1555">
        <f>G25/F25</f>
        <v>1.065040650406504</v>
      </c>
      <c r="I25" s="1555">
        <f>G25/E25</f>
        <v>1</v>
      </c>
      <c r="J25" s="655" t="s">
        <v>1083</v>
      </c>
      <c r="K25" s="1552"/>
      <c r="L25" s="1547" t="s">
        <v>237</v>
      </c>
      <c r="M25" s="1551">
        <v>1</v>
      </c>
      <c r="N25" s="1551">
        <v>1</v>
      </c>
    </row>
    <row r="26" spans="1:20" ht="68.25" customHeight="1">
      <c r="A26" s="631" t="s">
        <v>842</v>
      </c>
      <c r="B26" s="630" t="s">
        <v>843</v>
      </c>
      <c r="C26" s="616" t="s">
        <v>826</v>
      </c>
      <c r="D26" s="616" t="s">
        <v>828</v>
      </c>
      <c r="E26" s="1549">
        <v>2174</v>
      </c>
      <c r="F26" s="1550">
        <v>2002</v>
      </c>
      <c r="G26" s="1549">
        <v>2144</v>
      </c>
      <c r="H26" s="1555">
        <f>G26/F26</f>
        <v>1.0709290709290709</v>
      </c>
      <c r="I26" s="1555">
        <f>G26/E26</f>
        <v>0.98620055197792089</v>
      </c>
      <c r="J26" s="655" t="s">
        <v>1082</v>
      </c>
      <c r="K26" s="1552"/>
      <c r="L26" s="1547" t="s">
        <v>237</v>
      </c>
      <c r="M26" s="1551">
        <v>1</v>
      </c>
      <c r="N26" s="1551" t="s">
        <v>820</v>
      </c>
    </row>
    <row r="27" spans="1:20">
      <c r="A27" s="628"/>
      <c r="B27" s="383"/>
      <c r="C27" s="383"/>
      <c r="D27" s="633"/>
      <c r="E27" s="1542"/>
      <c r="F27" s="1542"/>
      <c r="G27" s="1542"/>
      <c r="H27" s="1542"/>
      <c r="I27" s="1542"/>
      <c r="J27" s="1542"/>
      <c r="K27" s="1542"/>
      <c r="L27" s="1543"/>
      <c r="M27" s="1542"/>
      <c r="N27" s="1542"/>
    </row>
    <row r="28" spans="1:20">
      <c r="A28" s="628"/>
      <c r="B28" s="383"/>
      <c r="C28" s="383"/>
      <c r="D28" s="633"/>
      <c r="E28" s="1542"/>
      <c r="F28" s="1542"/>
      <c r="G28" s="1542"/>
      <c r="H28" s="1542"/>
      <c r="I28" s="1542"/>
      <c r="J28" s="1542"/>
      <c r="K28" s="1542"/>
      <c r="L28" s="1543"/>
      <c r="M28" s="1542"/>
      <c r="N28" s="1542"/>
    </row>
    <row r="29" spans="1:20">
      <c r="A29" s="628"/>
      <c r="B29" s="383"/>
      <c r="C29" s="383"/>
      <c r="D29" s="633"/>
      <c r="E29" s="1542"/>
      <c r="F29" s="1542"/>
      <c r="G29" s="1542"/>
      <c r="H29" s="1542"/>
      <c r="I29" s="1542"/>
      <c r="J29" s="1542"/>
      <c r="K29" s="1542"/>
      <c r="L29" s="1543"/>
      <c r="M29" s="1542"/>
      <c r="N29" s="1542"/>
    </row>
    <row r="30" spans="1:20">
      <c r="A30" s="387"/>
      <c r="B30" s="388"/>
      <c r="C30" s="388"/>
      <c r="D30" s="388"/>
      <c r="E30" s="1565"/>
      <c r="F30" s="1565"/>
      <c r="G30" s="1565"/>
      <c r="H30" s="1565"/>
      <c r="I30" s="1565"/>
      <c r="J30" s="1565"/>
      <c r="K30" s="1565"/>
      <c r="L30" s="1566"/>
      <c r="M30" s="1565"/>
      <c r="N30" s="1565"/>
      <c r="O30" s="1541"/>
      <c r="P30" s="1541"/>
    </row>
    <row r="31" spans="1:20">
      <c r="A31" s="1345" t="s">
        <v>844</v>
      </c>
      <c r="B31" s="1345"/>
      <c r="C31" s="1345"/>
      <c r="D31" s="1345"/>
      <c r="E31" s="1345"/>
      <c r="F31" s="1345"/>
      <c r="G31" s="1345"/>
      <c r="H31" s="1345"/>
      <c r="I31" s="1345"/>
      <c r="J31" s="1345"/>
      <c r="K31" s="1345"/>
      <c r="L31" s="1345"/>
      <c r="M31" s="1345"/>
      <c r="N31" s="1345"/>
      <c r="O31" s="1345"/>
      <c r="P31" s="1541"/>
    </row>
    <row r="32" spans="1:20">
      <c r="A32" s="1349" t="s">
        <v>845</v>
      </c>
      <c r="B32" s="1349"/>
      <c r="C32" s="1349"/>
      <c r="D32" s="1349"/>
      <c r="E32" s="1349"/>
      <c r="F32" s="1349"/>
      <c r="G32" s="1349"/>
      <c r="H32" s="1349"/>
      <c r="I32" s="1349"/>
      <c r="J32" s="1349"/>
      <c r="K32" s="1349"/>
      <c r="L32" s="1349"/>
      <c r="M32" s="1349"/>
      <c r="N32" s="1349"/>
      <c r="O32" s="1349"/>
      <c r="P32" s="1541"/>
    </row>
    <row r="33" spans="1:16">
      <c r="A33" s="1345" t="s">
        <v>846</v>
      </c>
      <c r="B33" s="1345"/>
      <c r="C33" s="1345"/>
      <c r="D33" s="1345"/>
      <c r="E33" s="1345"/>
      <c r="F33" s="1345"/>
      <c r="G33" s="1345"/>
      <c r="H33" s="1345"/>
      <c r="I33" s="1345"/>
      <c r="J33" s="1345"/>
      <c r="K33" s="1345"/>
      <c r="L33" s="1345"/>
      <c r="M33" s="1345"/>
      <c r="N33" s="1345"/>
      <c r="O33" s="1345"/>
      <c r="P33" s="1541"/>
    </row>
    <row r="34" spans="1:16" ht="67.5" customHeight="1">
      <c r="A34" s="1345" t="s">
        <v>847</v>
      </c>
      <c r="B34" s="1345"/>
      <c r="C34" s="1345"/>
      <c r="D34" s="1345"/>
      <c r="E34" s="1345"/>
      <c r="F34" s="1345"/>
      <c r="G34" s="1345"/>
      <c r="H34" s="1345"/>
      <c r="I34" s="1345"/>
      <c r="J34" s="1345"/>
      <c r="K34" s="1345"/>
      <c r="L34" s="1345"/>
      <c r="M34" s="1345"/>
      <c r="N34" s="1345"/>
      <c r="O34" s="1345"/>
      <c r="P34" s="1541"/>
    </row>
    <row r="35" spans="1:16">
      <c r="A35" s="1345"/>
      <c r="B35" s="1345"/>
      <c r="C35" s="1345"/>
      <c r="D35" s="1345"/>
      <c r="E35" s="1345"/>
      <c r="F35" s="1345"/>
      <c r="G35" s="1345"/>
      <c r="H35" s="1345"/>
      <c r="I35" s="1345"/>
      <c r="J35" s="1345"/>
      <c r="K35" s="1345"/>
      <c r="L35" s="1345"/>
      <c r="M35" s="1345"/>
      <c r="N35" s="1345"/>
      <c r="O35" s="1345"/>
      <c r="P35" s="1541"/>
    </row>
  </sheetData>
  <mergeCells count="23">
    <mergeCell ref="A35:O35"/>
    <mergeCell ref="B17:K17"/>
    <mergeCell ref="O18:T18"/>
    <mergeCell ref="A31:O31"/>
    <mergeCell ref="A32:O32"/>
    <mergeCell ref="A33:O33"/>
    <mergeCell ref="A34:O34"/>
    <mergeCell ref="B10:K10"/>
    <mergeCell ref="A2:N2"/>
    <mergeCell ref="A4:A6"/>
    <mergeCell ref="B4:B6"/>
    <mergeCell ref="C4:C6"/>
    <mergeCell ref="D4:D6"/>
    <mergeCell ref="E4:G4"/>
    <mergeCell ref="H4:H6"/>
    <mergeCell ref="I4:I6"/>
    <mergeCell ref="J4:J6"/>
    <mergeCell ref="K4:K6"/>
    <mergeCell ref="L4:L6"/>
    <mergeCell ref="M4:M6"/>
    <mergeCell ref="N4:N6"/>
    <mergeCell ref="F5:G5"/>
    <mergeCell ref="B7:K7"/>
  </mergeCells>
  <pageMargins left="0" right="0" top="0" bottom="0" header="0.31496062992125984" footer="0.31496062992125984"/>
  <pageSetup paperSize="9" scale="59" fitToHeight="15" orientation="landscape" r:id="rId1"/>
  <colBreaks count="1" manualBreakCount="1">
    <brk id="7" max="1048575" man="1"/>
  </col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4"/>
  <sheetViews>
    <sheetView zoomScale="85" zoomScaleNormal="85" zoomScaleSheetLayoutView="85" workbookViewId="0">
      <selection activeCell="C5" sqref="C5"/>
    </sheetView>
  </sheetViews>
  <sheetFormatPr defaultRowHeight="15"/>
  <cols>
    <col min="1" max="1" width="9.140625" style="401" customWidth="1"/>
    <col min="2" max="2" width="42.85546875" style="403" customWidth="1"/>
    <col min="3" max="6" width="40.5703125" style="401" customWidth="1"/>
    <col min="7" max="7" width="42.7109375" style="403" customWidth="1"/>
    <col min="8" max="16384" width="9.140625" style="401"/>
  </cols>
  <sheetData>
    <row r="1" spans="1:7" s="389" customFormat="1" ht="60.75" customHeight="1">
      <c r="B1" s="1350" t="s">
        <v>848</v>
      </c>
      <c r="C1" s="1350"/>
      <c r="D1" s="1350"/>
      <c r="E1" s="1350"/>
      <c r="F1" s="1350"/>
      <c r="G1" s="1351"/>
    </row>
    <row r="2" spans="1:7" s="391" customFormat="1" ht="30">
      <c r="A2" s="390" t="s">
        <v>51</v>
      </c>
      <c r="B2" s="390" t="s">
        <v>849</v>
      </c>
      <c r="C2" s="390" t="s">
        <v>850</v>
      </c>
      <c r="D2" s="390" t="s">
        <v>851</v>
      </c>
      <c r="E2" s="390" t="s">
        <v>852</v>
      </c>
      <c r="F2" s="390" t="s">
        <v>853</v>
      </c>
      <c r="G2" s="390" t="s">
        <v>854</v>
      </c>
    </row>
    <row r="3" spans="1:7" s="391" customFormat="1" ht="18" customHeight="1">
      <c r="A3" s="392">
        <v>1</v>
      </c>
      <c r="B3" s="1352" t="s">
        <v>855</v>
      </c>
      <c r="C3" s="1353"/>
      <c r="D3" s="1353"/>
      <c r="E3" s="1354"/>
      <c r="F3" s="393"/>
      <c r="G3" s="394"/>
    </row>
    <row r="4" spans="1:7" s="391" customFormat="1" ht="18" customHeight="1">
      <c r="A4" s="392"/>
      <c r="B4" s="395"/>
      <c r="C4" s="396"/>
      <c r="D4" s="396"/>
      <c r="E4" s="397"/>
      <c r="F4" s="393"/>
      <c r="G4" s="394"/>
    </row>
    <row r="5" spans="1:7" s="391" customFormat="1" ht="297.75" customHeight="1">
      <c r="A5" s="398" t="s">
        <v>810</v>
      </c>
      <c r="B5" s="393" t="s">
        <v>856</v>
      </c>
      <c r="C5" s="393"/>
      <c r="D5" s="393"/>
      <c r="E5" s="399" t="s">
        <v>872</v>
      </c>
      <c r="F5" s="393"/>
      <c r="G5" s="400" t="s">
        <v>857</v>
      </c>
    </row>
    <row r="6" spans="1:7" s="391" customFormat="1"/>
    <row r="7" spans="1:7" ht="18.75" customHeight="1">
      <c r="A7" s="391"/>
      <c r="B7" s="1355" t="s">
        <v>858</v>
      </c>
      <c r="C7" s="1356"/>
      <c r="D7" s="1356"/>
      <c r="E7" s="1356"/>
      <c r="F7" s="1356"/>
      <c r="G7" s="391"/>
    </row>
    <row r="8" spans="1:7" ht="36" customHeight="1">
      <c r="A8" s="391"/>
      <c r="B8" s="1355" t="s">
        <v>859</v>
      </c>
      <c r="C8" s="1356"/>
      <c r="D8" s="1356"/>
      <c r="E8" s="1356"/>
      <c r="F8" s="1356"/>
      <c r="G8" s="391"/>
    </row>
    <row r="9" spans="1:7">
      <c r="A9" s="391"/>
      <c r="B9" s="402"/>
      <c r="C9" s="391"/>
      <c r="D9" s="391"/>
      <c r="E9" s="391"/>
      <c r="F9" s="391"/>
      <c r="G9" s="391"/>
    </row>
    <row r="10" spans="1:7">
      <c r="A10" s="391"/>
      <c r="B10" s="391"/>
      <c r="C10" s="391"/>
      <c r="D10" s="391"/>
      <c r="E10" s="391"/>
      <c r="F10" s="391"/>
      <c r="G10" s="391"/>
    </row>
    <row r="11" spans="1:7">
      <c r="A11" s="391"/>
      <c r="B11" s="391"/>
      <c r="C11" s="391"/>
      <c r="D11" s="391"/>
      <c r="E11" s="391"/>
      <c r="F11" s="391"/>
      <c r="G11" s="391"/>
    </row>
    <row r="12" spans="1:7">
      <c r="A12" s="391"/>
      <c r="B12" s="391"/>
      <c r="C12" s="391"/>
      <c r="D12" s="391"/>
      <c r="E12" s="391"/>
      <c r="F12" s="391"/>
      <c r="G12" s="391"/>
    </row>
    <row r="13" spans="1:7">
      <c r="A13" s="391"/>
      <c r="B13" s="391"/>
      <c r="C13" s="391"/>
      <c r="D13" s="391"/>
      <c r="E13" s="391"/>
      <c r="F13" s="391"/>
      <c r="G13" s="391"/>
    </row>
    <row r="14" spans="1:7">
      <c r="A14" s="391"/>
      <c r="B14" s="391"/>
      <c r="C14" s="391"/>
      <c r="D14" s="391"/>
      <c r="E14" s="391"/>
      <c r="F14" s="391"/>
      <c r="G14" s="391"/>
    </row>
    <row r="15" spans="1:7">
      <c r="A15" s="391"/>
      <c r="B15" s="391"/>
      <c r="C15" s="391"/>
      <c r="D15" s="391"/>
      <c r="E15" s="391"/>
      <c r="F15" s="391"/>
      <c r="G15" s="391"/>
    </row>
    <row r="16" spans="1:7">
      <c r="A16" s="391"/>
      <c r="B16" s="391"/>
      <c r="C16" s="391"/>
      <c r="D16" s="391"/>
      <c r="E16" s="391"/>
      <c r="F16" s="391"/>
      <c r="G16" s="391"/>
    </row>
    <row r="17" spans="1:7">
      <c r="A17" s="391"/>
      <c r="B17" s="391"/>
      <c r="C17" s="391"/>
      <c r="D17" s="391"/>
      <c r="E17" s="391"/>
      <c r="F17" s="391"/>
      <c r="G17" s="391"/>
    </row>
    <row r="18" spans="1:7">
      <c r="A18" s="391"/>
      <c r="B18" s="391"/>
      <c r="C18" s="391"/>
      <c r="D18" s="391"/>
      <c r="E18" s="391"/>
      <c r="F18" s="391"/>
      <c r="G18" s="391"/>
    </row>
    <row r="19" spans="1:7">
      <c r="A19" s="391"/>
      <c r="B19" s="391"/>
      <c r="C19" s="391"/>
      <c r="D19" s="391"/>
      <c r="E19" s="391"/>
      <c r="F19" s="391"/>
      <c r="G19" s="391"/>
    </row>
    <row r="20" spans="1:7">
      <c r="A20" s="391"/>
      <c r="B20" s="391"/>
      <c r="C20" s="391"/>
      <c r="D20" s="391"/>
      <c r="E20" s="391"/>
      <c r="F20" s="391"/>
      <c r="G20" s="391"/>
    </row>
    <row r="21" spans="1:7">
      <c r="A21" s="391"/>
      <c r="B21" s="391"/>
      <c r="C21" s="391"/>
      <c r="D21" s="391"/>
      <c r="E21" s="391"/>
      <c r="F21" s="391"/>
      <c r="G21" s="391"/>
    </row>
    <row r="22" spans="1:7">
      <c r="A22" s="391"/>
      <c r="B22" s="391"/>
      <c r="C22" s="391"/>
      <c r="D22" s="391"/>
      <c r="E22" s="391"/>
      <c r="F22" s="391"/>
      <c r="G22" s="391"/>
    </row>
    <row r="23" spans="1:7">
      <c r="A23" s="391"/>
      <c r="B23" s="391"/>
      <c r="C23" s="391"/>
      <c r="D23" s="391"/>
      <c r="E23" s="391"/>
      <c r="F23" s="391"/>
      <c r="G23" s="391"/>
    </row>
    <row r="24" spans="1:7">
      <c r="A24" s="391"/>
      <c r="B24" s="391"/>
      <c r="C24" s="391"/>
      <c r="D24" s="391"/>
      <c r="E24" s="391"/>
      <c r="F24" s="391"/>
      <c r="G24" s="391"/>
    </row>
    <row r="25" spans="1:7">
      <c r="A25" s="391"/>
      <c r="B25" s="391"/>
      <c r="C25" s="391"/>
      <c r="D25" s="391"/>
      <c r="E25" s="391"/>
      <c r="F25" s="391"/>
      <c r="G25" s="391"/>
    </row>
    <row r="26" spans="1:7">
      <c r="A26" s="391"/>
      <c r="B26" s="391"/>
      <c r="C26" s="391"/>
      <c r="D26" s="391"/>
      <c r="E26" s="391"/>
      <c r="F26" s="391"/>
      <c r="G26" s="391"/>
    </row>
    <row r="27" spans="1:7">
      <c r="A27" s="391"/>
      <c r="B27" s="391"/>
      <c r="C27" s="391"/>
      <c r="D27" s="391"/>
      <c r="E27" s="391"/>
      <c r="F27" s="391"/>
      <c r="G27" s="391"/>
    </row>
    <row r="28" spans="1:7">
      <c r="A28" s="391"/>
      <c r="B28" s="391"/>
      <c r="C28" s="391"/>
      <c r="D28" s="391"/>
      <c r="E28" s="391"/>
      <c r="F28" s="391"/>
      <c r="G28" s="391"/>
    </row>
    <row r="29" spans="1:7">
      <c r="A29" s="391"/>
      <c r="B29" s="391"/>
      <c r="C29" s="391"/>
      <c r="D29" s="391"/>
      <c r="E29" s="391"/>
      <c r="F29" s="391"/>
      <c r="G29" s="391"/>
    </row>
    <row r="30" spans="1:7">
      <c r="A30" s="391"/>
      <c r="B30" s="391"/>
      <c r="C30" s="391"/>
      <c r="D30" s="391"/>
      <c r="E30" s="391"/>
      <c r="F30" s="391"/>
      <c r="G30" s="391"/>
    </row>
    <row r="31" spans="1:7">
      <c r="A31" s="391"/>
      <c r="B31" s="391"/>
      <c r="C31" s="391"/>
      <c r="D31" s="391"/>
      <c r="E31" s="391"/>
      <c r="F31" s="391"/>
      <c r="G31" s="391"/>
    </row>
    <row r="32" spans="1:7">
      <c r="A32" s="391"/>
      <c r="B32" s="391"/>
      <c r="C32" s="391"/>
      <c r="D32" s="391"/>
      <c r="E32" s="391"/>
      <c r="F32" s="391"/>
      <c r="G32" s="391"/>
    </row>
    <row r="33" spans="1:7">
      <c r="A33" s="391"/>
      <c r="B33" s="391"/>
      <c r="C33" s="391"/>
      <c r="D33" s="391"/>
      <c r="E33" s="391"/>
      <c r="F33" s="391"/>
      <c r="G33" s="391"/>
    </row>
    <row r="34" spans="1:7">
      <c r="A34" s="391"/>
      <c r="B34" s="391"/>
      <c r="C34" s="391"/>
      <c r="D34" s="391"/>
      <c r="E34" s="391"/>
      <c r="F34" s="391"/>
      <c r="G34" s="391"/>
    </row>
    <row r="35" spans="1:7">
      <c r="A35" s="391"/>
      <c r="B35" s="391"/>
      <c r="C35" s="391"/>
      <c r="D35" s="391"/>
      <c r="E35" s="391"/>
      <c r="F35" s="391"/>
      <c r="G35" s="391"/>
    </row>
    <row r="36" spans="1:7">
      <c r="A36" s="391"/>
      <c r="B36" s="391"/>
      <c r="C36" s="391"/>
      <c r="D36" s="391"/>
      <c r="E36" s="391"/>
      <c r="F36" s="391"/>
      <c r="G36" s="391"/>
    </row>
    <row r="37" spans="1:7">
      <c r="A37" s="391"/>
      <c r="B37" s="391"/>
      <c r="C37" s="391"/>
      <c r="D37" s="391"/>
      <c r="E37" s="391"/>
      <c r="F37" s="391"/>
      <c r="G37" s="391"/>
    </row>
    <row r="38" spans="1:7">
      <c r="A38" s="391"/>
      <c r="B38" s="391"/>
      <c r="C38" s="391"/>
      <c r="D38" s="391"/>
      <c r="E38" s="391"/>
      <c r="F38" s="391"/>
      <c r="G38" s="391"/>
    </row>
    <row r="39" spans="1:7">
      <c r="A39" s="391"/>
      <c r="B39" s="391"/>
      <c r="C39" s="391"/>
      <c r="D39" s="391"/>
      <c r="E39" s="391"/>
      <c r="F39" s="391"/>
      <c r="G39" s="391"/>
    </row>
    <row r="40" spans="1:7">
      <c r="A40" s="391"/>
      <c r="B40" s="391"/>
      <c r="C40" s="391"/>
      <c r="D40" s="391"/>
      <c r="E40" s="391"/>
      <c r="F40" s="391"/>
      <c r="G40" s="391"/>
    </row>
    <row r="41" spans="1:7">
      <c r="A41" s="391"/>
      <c r="B41" s="391"/>
      <c r="C41" s="391"/>
      <c r="D41" s="391"/>
      <c r="E41" s="391"/>
      <c r="F41" s="391"/>
      <c r="G41" s="391"/>
    </row>
    <row r="42" spans="1:7">
      <c r="A42" s="391"/>
      <c r="B42" s="391"/>
      <c r="C42" s="391"/>
      <c r="D42" s="391"/>
      <c r="E42" s="391"/>
      <c r="F42" s="391"/>
      <c r="G42" s="391"/>
    </row>
    <row r="43" spans="1:7">
      <c r="A43" s="391"/>
      <c r="B43" s="391"/>
      <c r="C43" s="391"/>
      <c r="D43" s="391"/>
      <c r="E43" s="391"/>
      <c r="F43" s="391"/>
      <c r="G43" s="391"/>
    </row>
    <row r="44" spans="1:7">
      <c r="A44" s="391"/>
      <c r="B44" s="391"/>
      <c r="C44" s="391"/>
      <c r="D44" s="391"/>
      <c r="E44" s="391"/>
      <c r="F44" s="391"/>
      <c r="G44" s="391"/>
    </row>
  </sheetData>
  <mergeCells count="4">
    <mergeCell ref="B1:G1"/>
    <mergeCell ref="B3:E3"/>
    <mergeCell ref="B7:F7"/>
    <mergeCell ref="B8:F8"/>
  </mergeCells>
  <pageMargins left="0.70866141732283472" right="0.70866141732283472" top="0.74803149606299213" bottom="0.74803149606299213" header="0.31496062992125984" footer="0.31496062992125984"/>
  <pageSetup paperSize="9" scale="50" fitToHeight="0" orientation="landscape" horizontalDpi="300" verticalDpi="3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pageSetUpPr fitToPage="1"/>
  </sheetPr>
  <dimension ref="A1:J12"/>
  <sheetViews>
    <sheetView tabSelected="1" workbookViewId="0">
      <selection activeCell="A2" sqref="A2:H2"/>
    </sheetView>
  </sheetViews>
  <sheetFormatPr defaultColWidth="8.85546875" defaultRowHeight="15"/>
  <cols>
    <col min="1" max="1" width="5.140625" customWidth="1"/>
    <col min="2" max="2" width="33.85546875" customWidth="1"/>
    <col min="3" max="3" width="20.42578125" customWidth="1"/>
    <col min="4" max="4" width="15" customWidth="1"/>
    <col min="5" max="5" width="23.42578125" customWidth="1"/>
    <col min="6" max="6" width="16.140625" customWidth="1"/>
    <col min="7" max="7" width="17.42578125" customWidth="1"/>
    <col min="8" max="8" width="13.28515625" customWidth="1"/>
    <col min="257" max="257" width="5.140625" customWidth="1"/>
    <col min="258" max="258" width="26.42578125" customWidth="1"/>
    <col min="259" max="259" width="20.42578125" customWidth="1"/>
    <col min="260" max="260" width="15" customWidth="1"/>
    <col min="261" max="261" width="23.42578125" customWidth="1"/>
    <col min="262" max="262" width="16.140625" customWidth="1"/>
    <col min="263" max="263" width="17.42578125" customWidth="1"/>
    <col min="264" max="264" width="13.28515625" customWidth="1"/>
    <col min="513" max="513" width="5.140625" customWidth="1"/>
    <col min="514" max="514" width="26.42578125" customWidth="1"/>
    <col min="515" max="515" width="20.42578125" customWidth="1"/>
    <col min="516" max="516" width="15" customWidth="1"/>
    <col min="517" max="517" width="23.42578125" customWidth="1"/>
    <col min="518" max="518" width="16.140625" customWidth="1"/>
    <col min="519" max="519" width="17.42578125" customWidth="1"/>
    <col min="520" max="520" width="13.28515625" customWidth="1"/>
    <col min="769" max="769" width="5.140625" customWidth="1"/>
    <col min="770" max="770" width="26.42578125" customWidth="1"/>
    <col min="771" max="771" width="20.42578125" customWidth="1"/>
    <col min="772" max="772" width="15" customWidth="1"/>
    <col min="773" max="773" width="23.42578125" customWidth="1"/>
    <col min="774" max="774" width="16.140625" customWidth="1"/>
    <col min="775" max="775" width="17.42578125" customWidth="1"/>
    <col min="776" max="776" width="13.28515625" customWidth="1"/>
    <col min="1025" max="1025" width="5.140625" customWidth="1"/>
    <col min="1026" max="1026" width="26.42578125" customWidth="1"/>
    <col min="1027" max="1027" width="20.42578125" customWidth="1"/>
    <col min="1028" max="1028" width="15" customWidth="1"/>
    <col min="1029" max="1029" width="23.42578125" customWidth="1"/>
    <col min="1030" max="1030" width="16.140625" customWidth="1"/>
    <col min="1031" max="1031" width="17.42578125" customWidth="1"/>
    <col min="1032" max="1032" width="13.28515625" customWidth="1"/>
    <col min="1281" max="1281" width="5.140625" customWidth="1"/>
    <col min="1282" max="1282" width="26.42578125" customWidth="1"/>
    <col min="1283" max="1283" width="20.42578125" customWidth="1"/>
    <col min="1284" max="1284" width="15" customWidth="1"/>
    <col min="1285" max="1285" width="23.42578125" customWidth="1"/>
    <col min="1286" max="1286" width="16.140625" customWidth="1"/>
    <col min="1287" max="1287" width="17.42578125" customWidth="1"/>
    <col min="1288" max="1288" width="13.28515625" customWidth="1"/>
    <col min="1537" max="1537" width="5.140625" customWidth="1"/>
    <col min="1538" max="1538" width="26.42578125" customWidth="1"/>
    <col min="1539" max="1539" width="20.42578125" customWidth="1"/>
    <col min="1540" max="1540" width="15" customWidth="1"/>
    <col min="1541" max="1541" width="23.42578125" customWidth="1"/>
    <col min="1542" max="1542" width="16.140625" customWidth="1"/>
    <col min="1543" max="1543" width="17.42578125" customWidth="1"/>
    <col min="1544" max="1544" width="13.28515625" customWidth="1"/>
    <col min="1793" max="1793" width="5.140625" customWidth="1"/>
    <col min="1794" max="1794" width="26.42578125" customWidth="1"/>
    <col min="1795" max="1795" width="20.42578125" customWidth="1"/>
    <col min="1796" max="1796" width="15" customWidth="1"/>
    <col min="1797" max="1797" width="23.42578125" customWidth="1"/>
    <col min="1798" max="1798" width="16.140625" customWidth="1"/>
    <col min="1799" max="1799" width="17.42578125" customWidth="1"/>
    <col min="1800" max="1800" width="13.28515625" customWidth="1"/>
    <col min="2049" max="2049" width="5.140625" customWidth="1"/>
    <col min="2050" max="2050" width="26.42578125" customWidth="1"/>
    <col min="2051" max="2051" width="20.42578125" customWidth="1"/>
    <col min="2052" max="2052" width="15" customWidth="1"/>
    <col min="2053" max="2053" width="23.42578125" customWidth="1"/>
    <col min="2054" max="2054" width="16.140625" customWidth="1"/>
    <col min="2055" max="2055" width="17.42578125" customWidth="1"/>
    <col min="2056" max="2056" width="13.28515625" customWidth="1"/>
    <col min="2305" max="2305" width="5.140625" customWidth="1"/>
    <col min="2306" max="2306" width="26.42578125" customWidth="1"/>
    <col min="2307" max="2307" width="20.42578125" customWidth="1"/>
    <col min="2308" max="2308" width="15" customWidth="1"/>
    <col min="2309" max="2309" width="23.42578125" customWidth="1"/>
    <col min="2310" max="2310" width="16.140625" customWidth="1"/>
    <col min="2311" max="2311" width="17.42578125" customWidth="1"/>
    <col min="2312" max="2312" width="13.28515625" customWidth="1"/>
    <col min="2561" max="2561" width="5.140625" customWidth="1"/>
    <col min="2562" max="2562" width="26.42578125" customWidth="1"/>
    <col min="2563" max="2563" width="20.42578125" customWidth="1"/>
    <col min="2564" max="2564" width="15" customWidth="1"/>
    <col min="2565" max="2565" width="23.42578125" customWidth="1"/>
    <col min="2566" max="2566" width="16.140625" customWidth="1"/>
    <col min="2567" max="2567" width="17.42578125" customWidth="1"/>
    <col min="2568" max="2568" width="13.28515625" customWidth="1"/>
    <col min="2817" max="2817" width="5.140625" customWidth="1"/>
    <col min="2818" max="2818" width="26.42578125" customWidth="1"/>
    <col min="2819" max="2819" width="20.42578125" customWidth="1"/>
    <col min="2820" max="2820" width="15" customWidth="1"/>
    <col min="2821" max="2821" width="23.42578125" customWidth="1"/>
    <col min="2822" max="2822" width="16.140625" customWidth="1"/>
    <col min="2823" max="2823" width="17.42578125" customWidth="1"/>
    <col min="2824" max="2824" width="13.28515625" customWidth="1"/>
    <col min="3073" max="3073" width="5.140625" customWidth="1"/>
    <col min="3074" max="3074" width="26.42578125" customWidth="1"/>
    <col min="3075" max="3075" width="20.42578125" customWidth="1"/>
    <col min="3076" max="3076" width="15" customWidth="1"/>
    <col min="3077" max="3077" width="23.42578125" customWidth="1"/>
    <col min="3078" max="3078" width="16.140625" customWidth="1"/>
    <col min="3079" max="3079" width="17.42578125" customWidth="1"/>
    <col min="3080" max="3080" width="13.28515625" customWidth="1"/>
    <col min="3329" max="3329" width="5.140625" customWidth="1"/>
    <col min="3330" max="3330" width="26.42578125" customWidth="1"/>
    <col min="3331" max="3331" width="20.42578125" customWidth="1"/>
    <col min="3332" max="3332" width="15" customWidth="1"/>
    <col min="3333" max="3333" width="23.42578125" customWidth="1"/>
    <col min="3334" max="3334" width="16.140625" customWidth="1"/>
    <col min="3335" max="3335" width="17.42578125" customWidth="1"/>
    <col min="3336" max="3336" width="13.28515625" customWidth="1"/>
    <col min="3585" max="3585" width="5.140625" customWidth="1"/>
    <col min="3586" max="3586" width="26.42578125" customWidth="1"/>
    <col min="3587" max="3587" width="20.42578125" customWidth="1"/>
    <col min="3588" max="3588" width="15" customWidth="1"/>
    <col min="3589" max="3589" width="23.42578125" customWidth="1"/>
    <col min="3590" max="3590" width="16.140625" customWidth="1"/>
    <col min="3591" max="3591" width="17.42578125" customWidth="1"/>
    <col min="3592" max="3592" width="13.28515625" customWidth="1"/>
    <col min="3841" max="3841" width="5.140625" customWidth="1"/>
    <col min="3842" max="3842" width="26.42578125" customWidth="1"/>
    <col min="3843" max="3843" width="20.42578125" customWidth="1"/>
    <col min="3844" max="3844" width="15" customWidth="1"/>
    <col min="3845" max="3845" width="23.42578125" customWidth="1"/>
    <col min="3846" max="3846" width="16.140625" customWidth="1"/>
    <col min="3847" max="3847" width="17.42578125" customWidth="1"/>
    <col min="3848" max="3848" width="13.28515625" customWidth="1"/>
    <col min="4097" max="4097" width="5.140625" customWidth="1"/>
    <col min="4098" max="4098" width="26.42578125" customWidth="1"/>
    <col min="4099" max="4099" width="20.42578125" customWidth="1"/>
    <col min="4100" max="4100" width="15" customWidth="1"/>
    <col min="4101" max="4101" width="23.42578125" customWidth="1"/>
    <col min="4102" max="4102" width="16.140625" customWidth="1"/>
    <col min="4103" max="4103" width="17.42578125" customWidth="1"/>
    <col min="4104" max="4104" width="13.28515625" customWidth="1"/>
    <col min="4353" max="4353" width="5.140625" customWidth="1"/>
    <col min="4354" max="4354" width="26.42578125" customWidth="1"/>
    <col min="4355" max="4355" width="20.42578125" customWidth="1"/>
    <col min="4356" max="4356" width="15" customWidth="1"/>
    <col min="4357" max="4357" width="23.42578125" customWidth="1"/>
    <col min="4358" max="4358" width="16.140625" customWidth="1"/>
    <col min="4359" max="4359" width="17.42578125" customWidth="1"/>
    <col min="4360" max="4360" width="13.28515625" customWidth="1"/>
    <col min="4609" max="4609" width="5.140625" customWidth="1"/>
    <col min="4610" max="4610" width="26.42578125" customWidth="1"/>
    <col min="4611" max="4611" width="20.42578125" customWidth="1"/>
    <col min="4612" max="4612" width="15" customWidth="1"/>
    <col min="4613" max="4613" width="23.42578125" customWidth="1"/>
    <col min="4614" max="4614" width="16.140625" customWidth="1"/>
    <col min="4615" max="4615" width="17.42578125" customWidth="1"/>
    <col min="4616" max="4616" width="13.28515625" customWidth="1"/>
    <col min="4865" max="4865" width="5.140625" customWidth="1"/>
    <col min="4866" max="4866" width="26.42578125" customWidth="1"/>
    <col min="4867" max="4867" width="20.42578125" customWidth="1"/>
    <col min="4868" max="4868" width="15" customWidth="1"/>
    <col min="4869" max="4869" width="23.42578125" customWidth="1"/>
    <col min="4870" max="4870" width="16.140625" customWidth="1"/>
    <col min="4871" max="4871" width="17.42578125" customWidth="1"/>
    <col min="4872" max="4872" width="13.28515625" customWidth="1"/>
    <col min="5121" max="5121" width="5.140625" customWidth="1"/>
    <col min="5122" max="5122" width="26.42578125" customWidth="1"/>
    <col min="5123" max="5123" width="20.42578125" customWidth="1"/>
    <col min="5124" max="5124" width="15" customWidth="1"/>
    <col min="5125" max="5125" width="23.42578125" customWidth="1"/>
    <col min="5126" max="5126" width="16.140625" customWidth="1"/>
    <col min="5127" max="5127" width="17.42578125" customWidth="1"/>
    <col min="5128" max="5128" width="13.28515625" customWidth="1"/>
    <col min="5377" max="5377" width="5.140625" customWidth="1"/>
    <col min="5378" max="5378" width="26.42578125" customWidth="1"/>
    <col min="5379" max="5379" width="20.42578125" customWidth="1"/>
    <col min="5380" max="5380" width="15" customWidth="1"/>
    <col min="5381" max="5381" width="23.42578125" customWidth="1"/>
    <col min="5382" max="5382" width="16.140625" customWidth="1"/>
    <col min="5383" max="5383" width="17.42578125" customWidth="1"/>
    <col min="5384" max="5384" width="13.28515625" customWidth="1"/>
    <col min="5633" max="5633" width="5.140625" customWidth="1"/>
    <col min="5634" max="5634" width="26.42578125" customWidth="1"/>
    <col min="5635" max="5635" width="20.42578125" customWidth="1"/>
    <col min="5636" max="5636" width="15" customWidth="1"/>
    <col min="5637" max="5637" width="23.42578125" customWidth="1"/>
    <col min="5638" max="5638" width="16.140625" customWidth="1"/>
    <col min="5639" max="5639" width="17.42578125" customWidth="1"/>
    <col min="5640" max="5640" width="13.28515625" customWidth="1"/>
    <col min="5889" max="5889" width="5.140625" customWidth="1"/>
    <col min="5890" max="5890" width="26.42578125" customWidth="1"/>
    <col min="5891" max="5891" width="20.42578125" customWidth="1"/>
    <col min="5892" max="5892" width="15" customWidth="1"/>
    <col min="5893" max="5893" width="23.42578125" customWidth="1"/>
    <col min="5894" max="5894" width="16.140625" customWidth="1"/>
    <col min="5895" max="5895" width="17.42578125" customWidth="1"/>
    <col min="5896" max="5896" width="13.28515625" customWidth="1"/>
    <col min="6145" max="6145" width="5.140625" customWidth="1"/>
    <col min="6146" max="6146" width="26.42578125" customWidth="1"/>
    <col min="6147" max="6147" width="20.42578125" customWidth="1"/>
    <col min="6148" max="6148" width="15" customWidth="1"/>
    <col min="6149" max="6149" width="23.42578125" customWidth="1"/>
    <col min="6150" max="6150" width="16.140625" customWidth="1"/>
    <col min="6151" max="6151" width="17.42578125" customWidth="1"/>
    <col min="6152" max="6152" width="13.28515625" customWidth="1"/>
    <col min="6401" max="6401" width="5.140625" customWidth="1"/>
    <col min="6402" max="6402" width="26.42578125" customWidth="1"/>
    <col min="6403" max="6403" width="20.42578125" customWidth="1"/>
    <col min="6404" max="6404" width="15" customWidth="1"/>
    <col min="6405" max="6405" width="23.42578125" customWidth="1"/>
    <col min="6406" max="6406" width="16.140625" customWidth="1"/>
    <col min="6407" max="6407" width="17.42578125" customWidth="1"/>
    <col min="6408" max="6408" width="13.28515625" customWidth="1"/>
    <col min="6657" max="6657" width="5.140625" customWidth="1"/>
    <col min="6658" max="6658" width="26.42578125" customWidth="1"/>
    <col min="6659" max="6659" width="20.42578125" customWidth="1"/>
    <col min="6660" max="6660" width="15" customWidth="1"/>
    <col min="6661" max="6661" width="23.42578125" customWidth="1"/>
    <col min="6662" max="6662" width="16.140625" customWidth="1"/>
    <col min="6663" max="6663" width="17.42578125" customWidth="1"/>
    <col min="6664" max="6664" width="13.28515625" customWidth="1"/>
    <col min="6913" max="6913" width="5.140625" customWidth="1"/>
    <col min="6914" max="6914" width="26.42578125" customWidth="1"/>
    <col min="6915" max="6915" width="20.42578125" customWidth="1"/>
    <col min="6916" max="6916" width="15" customWidth="1"/>
    <col min="6917" max="6917" width="23.42578125" customWidth="1"/>
    <col min="6918" max="6918" width="16.140625" customWidth="1"/>
    <col min="6919" max="6919" width="17.42578125" customWidth="1"/>
    <col min="6920" max="6920" width="13.28515625" customWidth="1"/>
    <col min="7169" max="7169" width="5.140625" customWidth="1"/>
    <col min="7170" max="7170" width="26.42578125" customWidth="1"/>
    <col min="7171" max="7171" width="20.42578125" customWidth="1"/>
    <col min="7172" max="7172" width="15" customWidth="1"/>
    <col min="7173" max="7173" width="23.42578125" customWidth="1"/>
    <col min="7174" max="7174" width="16.140625" customWidth="1"/>
    <col min="7175" max="7175" width="17.42578125" customWidth="1"/>
    <col min="7176" max="7176" width="13.28515625" customWidth="1"/>
    <col min="7425" max="7425" width="5.140625" customWidth="1"/>
    <col min="7426" max="7426" width="26.42578125" customWidth="1"/>
    <col min="7427" max="7427" width="20.42578125" customWidth="1"/>
    <col min="7428" max="7428" width="15" customWidth="1"/>
    <col min="7429" max="7429" width="23.42578125" customWidth="1"/>
    <col min="7430" max="7430" width="16.140625" customWidth="1"/>
    <col min="7431" max="7431" width="17.42578125" customWidth="1"/>
    <col min="7432" max="7432" width="13.28515625" customWidth="1"/>
    <col min="7681" max="7681" width="5.140625" customWidth="1"/>
    <col min="7682" max="7682" width="26.42578125" customWidth="1"/>
    <col min="7683" max="7683" width="20.42578125" customWidth="1"/>
    <col min="7684" max="7684" width="15" customWidth="1"/>
    <col min="7685" max="7685" width="23.42578125" customWidth="1"/>
    <col min="7686" max="7686" width="16.140625" customWidth="1"/>
    <col min="7687" max="7687" width="17.42578125" customWidth="1"/>
    <col min="7688" max="7688" width="13.28515625" customWidth="1"/>
    <col min="7937" max="7937" width="5.140625" customWidth="1"/>
    <col min="7938" max="7938" width="26.42578125" customWidth="1"/>
    <col min="7939" max="7939" width="20.42578125" customWidth="1"/>
    <col min="7940" max="7940" width="15" customWidth="1"/>
    <col min="7941" max="7941" width="23.42578125" customWidth="1"/>
    <col min="7942" max="7942" width="16.140625" customWidth="1"/>
    <col min="7943" max="7943" width="17.42578125" customWidth="1"/>
    <col min="7944" max="7944" width="13.28515625" customWidth="1"/>
    <col min="8193" max="8193" width="5.140625" customWidth="1"/>
    <col min="8194" max="8194" width="26.42578125" customWidth="1"/>
    <col min="8195" max="8195" width="20.42578125" customWidth="1"/>
    <col min="8196" max="8196" width="15" customWidth="1"/>
    <col min="8197" max="8197" width="23.42578125" customWidth="1"/>
    <col min="8198" max="8198" width="16.140625" customWidth="1"/>
    <col min="8199" max="8199" width="17.42578125" customWidth="1"/>
    <col min="8200" max="8200" width="13.28515625" customWidth="1"/>
    <col min="8449" max="8449" width="5.140625" customWidth="1"/>
    <col min="8450" max="8450" width="26.42578125" customWidth="1"/>
    <col min="8451" max="8451" width="20.42578125" customWidth="1"/>
    <col min="8452" max="8452" width="15" customWidth="1"/>
    <col min="8453" max="8453" width="23.42578125" customWidth="1"/>
    <col min="8454" max="8454" width="16.140625" customWidth="1"/>
    <col min="8455" max="8455" width="17.42578125" customWidth="1"/>
    <col min="8456" max="8456" width="13.28515625" customWidth="1"/>
    <col min="8705" max="8705" width="5.140625" customWidth="1"/>
    <col min="8706" max="8706" width="26.42578125" customWidth="1"/>
    <col min="8707" max="8707" width="20.42578125" customWidth="1"/>
    <col min="8708" max="8708" width="15" customWidth="1"/>
    <col min="8709" max="8709" width="23.42578125" customWidth="1"/>
    <col min="8710" max="8710" width="16.140625" customWidth="1"/>
    <col min="8711" max="8711" width="17.42578125" customWidth="1"/>
    <col min="8712" max="8712" width="13.28515625" customWidth="1"/>
    <col min="8961" max="8961" width="5.140625" customWidth="1"/>
    <col min="8962" max="8962" width="26.42578125" customWidth="1"/>
    <col min="8963" max="8963" width="20.42578125" customWidth="1"/>
    <col min="8964" max="8964" width="15" customWidth="1"/>
    <col min="8965" max="8965" width="23.42578125" customWidth="1"/>
    <col min="8966" max="8966" width="16.140625" customWidth="1"/>
    <col min="8967" max="8967" width="17.42578125" customWidth="1"/>
    <col min="8968" max="8968" width="13.28515625" customWidth="1"/>
    <col min="9217" max="9217" width="5.140625" customWidth="1"/>
    <col min="9218" max="9218" width="26.42578125" customWidth="1"/>
    <col min="9219" max="9219" width="20.42578125" customWidth="1"/>
    <col min="9220" max="9220" width="15" customWidth="1"/>
    <col min="9221" max="9221" width="23.42578125" customWidth="1"/>
    <col min="9222" max="9222" width="16.140625" customWidth="1"/>
    <col min="9223" max="9223" width="17.42578125" customWidth="1"/>
    <col min="9224" max="9224" width="13.28515625" customWidth="1"/>
    <col min="9473" max="9473" width="5.140625" customWidth="1"/>
    <col min="9474" max="9474" width="26.42578125" customWidth="1"/>
    <col min="9475" max="9475" width="20.42578125" customWidth="1"/>
    <col min="9476" max="9476" width="15" customWidth="1"/>
    <col min="9477" max="9477" width="23.42578125" customWidth="1"/>
    <col min="9478" max="9478" width="16.140625" customWidth="1"/>
    <col min="9479" max="9479" width="17.42578125" customWidth="1"/>
    <col min="9480" max="9480" width="13.28515625" customWidth="1"/>
    <col min="9729" max="9729" width="5.140625" customWidth="1"/>
    <col min="9730" max="9730" width="26.42578125" customWidth="1"/>
    <col min="9731" max="9731" width="20.42578125" customWidth="1"/>
    <col min="9732" max="9732" width="15" customWidth="1"/>
    <col min="9733" max="9733" width="23.42578125" customWidth="1"/>
    <col min="9734" max="9734" width="16.140625" customWidth="1"/>
    <col min="9735" max="9735" width="17.42578125" customWidth="1"/>
    <col min="9736" max="9736" width="13.28515625" customWidth="1"/>
    <col min="9985" max="9985" width="5.140625" customWidth="1"/>
    <col min="9986" max="9986" width="26.42578125" customWidth="1"/>
    <col min="9987" max="9987" width="20.42578125" customWidth="1"/>
    <col min="9988" max="9988" width="15" customWidth="1"/>
    <col min="9989" max="9989" width="23.42578125" customWidth="1"/>
    <col min="9990" max="9990" width="16.140625" customWidth="1"/>
    <col min="9991" max="9991" width="17.42578125" customWidth="1"/>
    <col min="9992" max="9992" width="13.28515625" customWidth="1"/>
    <col min="10241" max="10241" width="5.140625" customWidth="1"/>
    <col min="10242" max="10242" width="26.42578125" customWidth="1"/>
    <col min="10243" max="10243" width="20.42578125" customWidth="1"/>
    <col min="10244" max="10244" width="15" customWidth="1"/>
    <col min="10245" max="10245" width="23.42578125" customWidth="1"/>
    <col min="10246" max="10246" width="16.140625" customWidth="1"/>
    <col min="10247" max="10247" width="17.42578125" customWidth="1"/>
    <col min="10248" max="10248" width="13.28515625" customWidth="1"/>
    <col min="10497" max="10497" width="5.140625" customWidth="1"/>
    <col min="10498" max="10498" width="26.42578125" customWidth="1"/>
    <col min="10499" max="10499" width="20.42578125" customWidth="1"/>
    <col min="10500" max="10500" width="15" customWidth="1"/>
    <col min="10501" max="10501" width="23.42578125" customWidth="1"/>
    <col min="10502" max="10502" width="16.140625" customWidth="1"/>
    <col min="10503" max="10503" width="17.42578125" customWidth="1"/>
    <col min="10504" max="10504" width="13.28515625" customWidth="1"/>
    <col min="10753" max="10753" width="5.140625" customWidth="1"/>
    <col min="10754" max="10754" width="26.42578125" customWidth="1"/>
    <col min="10755" max="10755" width="20.42578125" customWidth="1"/>
    <col min="10756" max="10756" width="15" customWidth="1"/>
    <col min="10757" max="10757" width="23.42578125" customWidth="1"/>
    <col min="10758" max="10758" width="16.140625" customWidth="1"/>
    <col min="10759" max="10759" width="17.42578125" customWidth="1"/>
    <col min="10760" max="10760" width="13.28515625" customWidth="1"/>
    <col min="11009" max="11009" width="5.140625" customWidth="1"/>
    <col min="11010" max="11010" width="26.42578125" customWidth="1"/>
    <col min="11011" max="11011" width="20.42578125" customWidth="1"/>
    <col min="11012" max="11012" width="15" customWidth="1"/>
    <col min="11013" max="11013" width="23.42578125" customWidth="1"/>
    <col min="11014" max="11014" width="16.140625" customWidth="1"/>
    <col min="11015" max="11015" width="17.42578125" customWidth="1"/>
    <col min="11016" max="11016" width="13.28515625" customWidth="1"/>
    <col min="11265" max="11265" width="5.140625" customWidth="1"/>
    <col min="11266" max="11266" width="26.42578125" customWidth="1"/>
    <col min="11267" max="11267" width="20.42578125" customWidth="1"/>
    <col min="11268" max="11268" width="15" customWidth="1"/>
    <col min="11269" max="11269" width="23.42578125" customWidth="1"/>
    <col min="11270" max="11270" width="16.140625" customWidth="1"/>
    <col min="11271" max="11271" width="17.42578125" customWidth="1"/>
    <col min="11272" max="11272" width="13.28515625" customWidth="1"/>
    <col min="11521" max="11521" width="5.140625" customWidth="1"/>
    <col min="11522" max="11522" width="26.42578125" customWidth="1"/>
    <col min="11523" max="11523" width="20.42578125" customWidth="1"/>
    <col min="11524" max="11524" width="15" customWidth="1"/>
    <col min="11525" max="11525" width="23.42578125" customWidth="1"/>
    <col min="11526" max="11526" width="16.140625" customWidth="1"/>
    <col min="11527" max="11527" width="17.42578125" customWidth="1"/>
    <col min="11528" max="11528" width="13.28515625" customWidth="1"/>
    <col min="11777" max="11777" width="5.140625" customWidth="1"/>
    <col min="11778" max="11778" width="26.42578125" customWidth="1"/>
    <col min="11779" max="11779" width="20.42578125" customWidth="1"/>
    <col min="11780" max="11780" width="15" customWidth="1"/>
    <col min="11781" max="11781" width="23.42578125" customWidth="1"/>
    <col min="11782" max="11782" width="16.140625" customWidth="1"/>
    <col min="11783" max="11783" width="17.42578125" customWidth="1"/>
    <col min="11784" max="11784" width="13.28515625" customWidth="1"/>
    <col min="12033" max="12033" width="5.140625" customWidth="1"/>
    <col min="12034" max="12034" width="26.42578125" customWidth="1"/>
    <col min="12035" max="12035" width="20.42578125" customWidth="1"/>
    <col min="12036" max="12036" width="15" customWidth="1"/>
    <col min="12037" max="12037" width="23.42578125" customWidth="1"/>
    <col min="12038" max="12038" width="16.140625" customWidth="1"/>
    <col min="12039" max="12039" width="17.42578125" customWidth="1"/>
    <col min="12040" max="12040" width="13.28515625" customWidth="1"/>
    <col min="12289" max="12289" width="5.140625" customWidth="1"/>
    <col min="12290" max="12290" width="26.42578125" customWidth="1"/>
    <col min="12291" max="12291" width="20.42578125" customWidth="1"/>
    <col min="12292" max="12292" width="15" customWidth="1"/>
    <col min="12293" max="12293" width="23.42578125" customWidth="1"/>
    <col min="12294" max="12294" width="16.140625" customWidth="1"/>
    <col min="12295" max="12295" width="17.42578125" customWidth="1"/>
    <col min="12296" max="12296" width="13.28515625" customWidth="1"/>
    <col min="12545" max="12545" width="5.140625" customWidth="1"/>
    <col min="12546" max="12546" width="26.42578125" customWidth="1"/>
    <col min="12547" max="12547" width="20.42578125" customWidth="1"/>
    <col min="12548" max="12548" width="15" customWidth="1"/>
    <col min="12549" max="12549" width="23.42578125" customWidth="1"/>
    <col min="12550" max="12550" width="16.140625" customWidth="1"/>
    <col min="12551" max="12551" width="17.42578125" customWidth="1"/>
    <col min="12552" max="12552" width="13.28515625" customWidth="1"/>
    <col min="12801" max="12801" width="5.140625" customWidth="1"/>
    <col min="12802" max="12802" width="26.42578125" customWidth="1"/>
    <col min="12803" max="12803" width="20.42578125" customWidth="1"/>
    <col min="12804" max="12804" width="15" customWidth="1"/>
    <col min="12805" max="12805" width="23.42578125" customWidth="1"/>
    <col min="12806" max="12806" width="16.140625" customWidth="1"/>
    <col min="12807" max="12807" width="17.42578125" customWidth="1"/>
    <col min="12808" max="12808" width="13.28515625" customWidth="1"/>
    <col min="13057" max="13057" width="5.140625" customWidth="1"/>
    <col min="13058" max="13058" width="26.42578125" customWidth="1"/>
    <col min="13059" max="13059" width="20.42578125" customWidth="1"/>
    <col min="13060" max="13060" width="15" customWidth="1"/>
    <col min="13061" max="13061" width="23.42578125" customWidth="1"/>
    <col min="13062" max="13062" width="16.140625" customWidth="1"/>
    <col min="13063" max="13063" width="17.42578125" customWidth="1"/>
    <col min="13064" max="13064" width="13.28515625" customWidth="1"/>
    <col min="13313" max="13313" width="5.140625" customWidth="1"/>
    <col min="13314" max="13314" width="26.42578125" customWidth="1"/>
    <col min="13315" max="13315" width="20.42578125" customWidth="1"/>
    <col min="13316" max="13316" width="15" customWidth="1"/>
    <col min="13317" max="13317" width="23.42578125" customWidth="1"/>
    <col min="13318" max="13318" width="16.140625" customWidth="1"/>
    <col min="13319" max="13319" width="17.42578125" customWidth="1"/>
    <col min="13320" max="13320" width="13.28515625" customWidth="1"/>
    <col min="13569" max="13569" width="5.140625" customWidth="1"/>
    <col min="13570" max="13570" width="26.42578125" customWidth="1"/>
    <col min="13571" max="13571" width="20.42578125" customWidth="1"/>
    <col min="13572" max="13572" width="15" customWidth="1"/>
    <col min="13573" max="13573" width="23.42578125" customWidth="1"/>
    <col min="13574" max="13574" width="16.140625" customWidth="1"/>
    <col min="13575" max="13575" width="17.42578125" customWidth="1"/>
    <col min="13576" max="13576" width="13.28515625" customWidth="1"/>
    <col min="13825" max="13825" width="5.140625" customWidth="1"/>
    <col min="13826" max="13826" width="26.42578125" customWidth="1"/>
    <col min="13827" max="13827" width="20.42578125" customWidth="1"/>
    <col min="13828" max="13828" width="15" customWidth="1"/>
    <col min="13829" max="13829" width="23.42578125" customWidth="1"/>
    <col min="13830" max="13830" width="16.140625" customWidth="1"/>
    <col min="13831" max="13831" width="17.42578125" customWidth="1"/>
    <col min="13832" max="13832" width="13.28515625" customWidth="1"/>
    <col min="14081" max="14081" width="5.140625" customWidth="1"/>
    <col min="14082" max="14082" width="26.42578125" customWidth="1"/>
    <col min="14083" max="14083" width="20.42578125" customWidth="1"/>
    <col min="14084" max="14084" width="15" customWidth="1"/>
    <col min="14085" max="14085" width="23.42578125" customWidth="1"/>
    <col min="14086" max="14086" width="16.140625" customWidth="1"/>
    <col min="14087" max="14087" width="17.42578125" customWidth="1"/>
    <col min="14088" max="14088" width="13.28515625" customWidth="1"/>
    <col min="14337" max="14337" width="5.140625" customWidth="1"/>
    <col min="14338" max="14338" width="26.42578125" customWidth="1"/>
    <col min="14339" max="14339" width="20.42578125" customWidth="1"/>
    <col min="14340" max="14340" width="15" customWidth="1"/>
    <col min="14341" max="14341" width="23.42578125" customWidth="1"/>
    <col min="14342" max="14342" width="16.140625" customWidth="1"/>
    <col min="14343" max="14343" width="17.42578125" customWidth="1"/>
    <col min="14344" max="14344" width="13.28515625" customWidth="1"/>
    <col min="14593" max="14593" width="5.140625" customWidth="1"/>
    <col min="14594" max="14594" width="26.42578125" customWidth="1"/>
    <col min="14595" max="14595" width="20.42578125" customWidth="1"/>
    <col min="14596" max="14596" width="15" customWidth="1"/>
    <col min="14597" max="14597" width="23.42578125" customWidth="1"/>
    <col min="14598" max="14598" width="16.140625" customWidth="1"/>
    <col min="14599" max="14599" width="17.42578125" customWidth="1"/>
    <col min="14600" max="14600" width="13.28515625" customWidth="1"/>
    <col min="14849" max="14849" width="5.140625" customWidth="1"/>
    <col min="14850" max="14850" width="26.42578125" customWidth="1"/>
    <col min="14851" max="14851" width="20.42578125" customWidth="1"/>
    <col min="14852" max="14852" width="15" customWidth="1"/>
    <col min="14853" max="14853" width="23.42578125" customWidth="1"/>
    <col min="14854" max="14854" width="16.140625" customWidth="1"/>
    <col min="14855" max="14855" width="17.42578125" customWidth="1"/>
    <col min="14856" max="14856" width="13.28515625" customWidth="1"/>
    <col min="15105" max="15105" width="5.140625" customWidth="1"/>
    <col min="15106" max="15106" width="26.42578125" customWidth="1"/>
    <col min="15107" max="15107" width="20.42578125" customWidth="1"/>
    <col min="15108" max="15108" width="15" customWidth="1"/>
    <col min="15109" max="15109" width="23.42578125" customWidth="1"/>
    <col min="15110" max="15110" width="16.140625" customWidth="1"/>
    <col min="15111" max="15111" width="17.42578125" customWidth="1"/>
    <col min="15112" max="15112" width="13.28515625" customWidth="1"/>
    <col min="15361" max="15361" width="5.140625" customWidth="1"/>
    <col min="15362" max="15362" width="26.42578125" customWidth="1"/>
    <col min="15363" max="15363" width="20.42578125" customWidth="1"/>
    <col min="15364" max="15364" width="15" customWidth="1"/>
    <col min="15365" max="15365" width="23.42578125" customWidth="1"/>
    <col min="15366" max="15366" width="16.140625" customWidth="1"/>
    <col min="15367" max="15367" width="17.42578125" customWidth="1"/>
    <col min="15368" max="15368" width="13.28515625" customWidth="1"/>
    <col min="15617" max="15617" width="5.140625" customWidth="1"/>
    <col min="15618" max="15618" width="26.42578125" customWidth="1"/>
    <col min="15619" max="15619" width="20.42578125" customWidth="1"/>
    <col min="15620" max="15620" width="15" customWidth="1"/>
    <col min="15621" max="15621" width="23.42578125" customWidth="1"/>
    <col min="15622" max="15622" width="16.140625" customWidth="1"/>
    <col min="15623" max="15623" width="17.42578125" customWidth="1"/>
    <col min="15624" max="15624" width="13.28515625" customWidth="1"/>
    <col min="15873" max="15873" width="5.140625" customWidth="1"/>
    <col min="15874" max="15874" width="26.42578125" customWidth="1"/>
    <col min="15875" max="15875" width="20.42578125" customWidth="1"/>
    <col min="15876" max="15876" width="15" customWidth="1"/>
    <col min="15877" max="15877" width="23.42578125" customWidth="1"/>
    <col min="15878" max="15878" width="16.140625" customWidth="1"/>
    <col min="15879" max="15879" width="17.42578125" customWidth="1"/>
    <col min="15880" max="15880" width="13.28515625" customWidth="1"/>
    <col min="16129" max="16129" width="5.140625" customWidth="1"/>
    <col min="16130" max="16130" width="26.42578125" customWidth="1"/>
    <col min="16131" max="16131" width="20.42578125" customWidth="1"/>
    <col min="16132" max="16132" width="15" customWidth="1"/>
    <col min="16133" max="16133" width="23.42578125" customWidth="1"/>
    <col min="16134" max="16134" width="16.140625" customWidth="1"/>
    <col min="16135" max="16135" width="17.42578125" customWidth="1"/>
    <col min="16136" max="16136" width="13.28515625" customWidth="1"/>
  </cols>
  <sheetData>
    <row r="1" spans="1:10" s="408" customFormat="1" ht="18.75">
      <c r="A1" s="404"/>
      <c r="B1" s="405"/>
      <c r="C1" s="405"/>
      <c r="D1" s="406"/>
      <c r="E1" s="406"/>
      <c r="F1" s="407"/>
      <c r="G1" s="405"/>
      <c r="H1" s="405"/>
      <c r="I1" s="405"/>
    </row>
    <row r="2" spans="1:10" s="408" customFormat="1" ht="15.75" customHeight="1">
      <c r="A2" s="1357" t="s">
        <v>1084</v>
      </c>
      <c r="B2" s="1357"/>
      <c r="C2" s="1357"/>
      <c r="D2" s="1357"/>
      <c r="E2" s="1357"/>
      <c r="F2" s="1357"/>
      <c r="G2" s="1357"/>
      <c r="H2" s="1357"/>
      <c r="I2" s="409"/>
      <c r="J2" s="410"/>
    </row>
    <row r="3" spans="1:10" s="408" customFormat="1" ht="15.75">
      <c r="A3" s="411"/>
      <c r="B3" s="412"/>
      <c r="C3" s="412"/>
      <c r="D3" s="412"/>
      <c r="E3" s="412"/>
      <c r="F3" s="413"/>
      <c r="G3" s="412"/>
      <c r="H3" s="412"/>
      <c r="I3" s="412"/>
    </row>
    <row r="4" spans="1:10" s="408" customFormat="1" ht="67.5" customHeight="1">
      <c r="A4" s="414" t="s">
        <v>51</v>
      </c>
      <c r="B4" s="237" t="s">
        <v>860</v>
      </c>
      <c r="C4" s="237" t="s">
        <v>861</v>
      </c>
      <c r="D4" s="237" t="s">
        <v>862</v>
      </c>
      <c r="E4" s="415" t="s">
        <v>863</v>
      </c>
      <c r="F4" s="237" t="s">
        <v>864</v>
      </c>
      <c r="G4" s="237" t="s">
        <v>865</v>
      </c>
      <c r="H4" s="237" t="s">
        <v>866</v>
      </c>
      <c r="I4" s="412"/>
    </row>
    <row r="5" spans="1:10" s="408" customFormat="1" ht="15.75">
      <c r="A5" s="416"/>
      <c r="B5" s="237"/>
      <c r="C5" s="237"/>
      <c r="D5" s="237">
        <v>0.3</v>
      </c>
      <c r="E5" s="237">
        <v>0.35</v>
      </c>
      <c r="F5" s="237">
        <v>0.35</v>
      </c>
      <c r="G5" s="237"/>
      <c r="H5" s="237"/>
      <c r="I5" s="412"/>
    </row>
    <row r="6" spans="1:10" s="408" customFormat="1" ht="88.5" customHeight="1">
      <c r="A6" s="417">
        <v>1</v>
      </c>
      <c r="B6" s="418" t="s">
        <v>867</v>
      </c>
      <c r="C6" s="418" t="s">
        <v>65</v>
      </c>
      <c r="D6" s="658">
        <f>'12В'!M7</f>
        <v>0.92071874999999992</v>
      </c>
      <c r="E6" s="658">
        <f>'12В'!N7</f>
        <v>1.0249369652871387</v>
      </c>
      <c r="F6" s="658">
        <f>'12А_2024'!J10</f>
        <v>0.89473684210526316</v>
      </c>
      <c r="G6" s="658">
        <f>D6*0.3+(E6-3%)*0.35+F6*0.35</f>
        <v>0.93760145758734059</v>
      </c>
      <c r="H6" s="656" t="str">
        <f>IF(G6&gt;=97%,"Высокая",IF((G6&gt;=92%)*AND(G6&lt;97%),"Средняя",IF((G6&gt;=85%)*AND(G6&lt;92%),"Ниже среднего","Низкая")))</f>
        <v>Средняя</v>
      </c>
      <c r="I6" s="419">
        <f>D6*0.3+(E6-3)*0.35+F6*0.35</f>
        <v>-0.10189854241265939</v>
      </c>
    </row>
    <row r="7" spans="1:10" s="408" customFormat="1" ht="102" customHeight="1">
      <c r="A7" s="416" t="s">
        <v>868</v>
      </c>
      <c r="B7" s="420" t="s">
        <v>809</v>
      </c>
      <c r="C7" s="418" t="s">
        <v>65</v>
      </c>
      <c r="D7" s="658">
        <f>'12В'!M10</f>
        <v>0.98928333333333329</v>
      </c>
      <c r="E7" s="658">
        <f>'12В'!N10</f>
        <v>1.0814781355468182</v>
      </c>
      <c r="F7" s="658">
        <f>'12А_2024'!J25</f>
        <v>0.95454545454545459</v>
      </c>
      <c r="G7" s="658">
        <f>D7*0.3+(E7-3%)*0.35+F7*0.35</f>
        <v>0.99889325653229533</v>
      </c>
      <c r="H7" s="656" t="str">
        <f>IF(G7&gt;=97%,"Высокая",IF((G7&gt;=92%)*AND(G7&lt;97%),"Средняя",IF((G7&gt;=85%)*AND(G7&lt;92%),"Ниже среднего","Низкая")))</f>
        <v>Высокая</v>
      </c>
      <c r="I7" s="419">
        <f>D7*0.3+(E7-3)*0.35+F7*0.35</f>
        <v>-4.0606743467704542E-2</v>
      </c>
    </row>
    <row r="8" spans="1:10" s="408" customFormat="1" ht="96.75" customHeight="1">
      <c r="A8" s="416" t="s">
        <v>869</v>
      </c>
      <c r="B8" s="420" t="s">
        <v>870</v>
      </c>
      <c r="C8" s="418" t="s">
        <v>65</v>
      </c>
      <c r="D8" s="658">
        <f>'12В'!M17</f>
        <v>0.84807499999999991</v>
      </c>
      <c r="E8" s="658">
        <f>'12В'!N17</f>
        <v>1.0945717261129915</v>
      </c>
      <c r="F8" s="658">
        <f>'12А_2024'!J95</f>
        <v>0.8928571428571429</v>
      </c>
      <c r="G8" s="658">
        <f>D8*0.3+(E8-3%)*0.35+F8*0.35</f>
        <v>0.93952260413954691</v>
      </c>
      <c r="H8" s="656" t="str">
        <f>IF(G8&gt;=97%,"Высокая",IF((G8&gt;=92%)*AND(G8&lt;97%),"Средняя",IF((G8&gt;=85%)*AND(G8&lt;92%),"Ниже среднего","Низкая")))</f>
        <v>Средняя</v>
      </c>
      <c r="I8" s="419">
        <f>D8*0.3+(E8-3)*0.35+F8*0.35</f>
        <v>-9.9977395860453011E-2</v>
      </c>
    </row>
    <row r="9" spans="1:10" s="408" customFormat="1" ht="75.75" customHeight="1">
      <c r="A9" s="416" t="s">
        <v>814</v>
      </c>
      <c r="B9" s="420" t="s">
        <v>834</v>
      </c>
      <c r="C9" s="418" t="s">
        <v>65</v>
      </c>
      <c r="D9" s="658">
        <f>'12В'!M22</f>
        <v>0.85087500000000005</v>
      </c>
      <c r="E9" s="658">
        <f>'12В'!N22</f>
        <v>0.81229644400132939</v>
      </c>
      <c r="F9" s="658">
        <f>'12А_2024'!J185</f>
        <v>0.83333333333333337</v>
      </c>
      <c r="G9" s="658">
        <f>D9*0.3+(E9-3%)*0.35+F9*0.35</f>
        <v>0.820732922067132</v>
      </c>
      <c r="H9" s="656" t="str">
        <f>IF(G9&gt;=97%,"Высокая",IF((G9&gt;=92%)*AND(G9&lt;97%),"Средняя",IF((G9&gt;=85%)*AND(G9&lt;92%),"Ниже среднего","Низкая")))</f>
        <v>Низкая</v>
      </c>
      <c r="I9" s="419">
        <f>D9*0.3+(E9-3)*0.35+F9*0.35</f>
        <v>-0.21876707793286793</v>
      </c>
    </row>
    <row r="10" spans="1:10" s="408" customFormat="1" ht="15.75">
      <c r="A10" s="421"/>
      <c r="B10" s="412"/>
      <c r="C10" s="412"/>
      <c r="D10" s="412"/>
      <c r="E10" s="412"/>
      <c r="F10" s="413"/>
      <c r="G10" s="412"/>
      <c r="H10" s="412"/>
      <c r="I10" s="412"/>
    </row>
    <row r="11" spans="1:10" s="408" customFormat="1" ht="63" customHeight="1">
      <c r="A11" s="1358" t="s">
        <v>871</v>
      </c>
      <c r="B11" s="1358"/>
      <c r="C11" s="1358"/>
      <c r="D11" s="1358"/>
      <c r="E11" s="1358"/>
      <c r="F11" s="1358"/>
      <c r="G11" s="1358"/>
      <c r="H11" s="1358"/>
      <c r="I11" s="412"/>
    </row>
    <row r="12" spans="1:10" s="408" customFormat="1" ht="15.75">
      <c r="A12" s="422"/>
      <c r="F12" s="423"/>
    </row>
  </sheetData>
  <mergeCells count="2">
    <mergeCell ref="A2:H2"/>
    <mergeCell ref="A11:H11"/>
  </mergeCells>
  <pageMargins left="0.70866141732283472" right="0.70866141732283472" top="0.74803149606299213" bottom="0.74803149606299213" header="0.31496062992125984" footer="0.31496062992125984"/>
  <pageSetup paperSize="9" scale="90" fitToHeight="0" orientation="landscape" r:id="rId1"/>
  <headerFooter>
    <oddHeader>&amp;C&amp;"Times New Roman,обычный" 6</oddHead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pageSetUpPr fitToPage="1"/>
  </sheetPr>
  <dimension ref="A1:M1627"/>
  <sheetViews>
    <sheetView zoomScale="78" zoomScaleNormal="78" zoomScaleSheetLayoutView="85" workbookViewId="0">
      <pane xSplit="2" ySplit="5" topLeftCell="C162" activePane="bottomRight" state="frozen"/>
      <selection pane="topRight" activeCell="C1" sqref="C1"/>
      <selection pane="bottomLeft" activeCell="A4" sqref="A4"/>
      <selection pane="bottomRight" activeCell="H236" sqref="H236:H240"/>
    </sheetView>
  </sheetViews>
  <sheetFormatPr defaultColWidth="9.140625" defaultRowHeight="15.75"/>
  <cols>
    <col min="1" max="1" width="11.85546875" style="1" customWidth="1"/>
    <col min="2" max="2" width="67.5703125" style="8" customWidth="1"/>
    <col min="3" max="3" width="7.85546875" style="5" customWidth="1"/>
    <col min="4" max="4" width="14.28515625" style="13" customWidth="1"/>
    <col min="5" max="5" width="14.42578125" style="24" customWidth="1"/>
    <col min="6" max="6" width="14.42578125" style="9" customWidth="1"/>
    <col min="7" max="7" width="12.85546875" style="5" customWidth="1"/>
    <col min="8" max="8" width="54.140625" style="16" customWidth="1"/>
    <col min="9" max="9" width="84.85546875" style="69" customWidth="1"/>
    <col min="10" max="10" width="23.140625" style="70" customWidth="1"/>
    <col min="11" max="11" width="42.28515625" style="71" customWidth="1"/>
    <col min="12" max="12" width="40" style="71" customWidth="1"/>
    <col min="13" max="13" width="9.140625" style="5"/>
    <col min="14" max="16384" width="9.140625" style="2"/>
  </cols>
  <sheetData>
    <row r="1" spans="1:13">
      <c r="B1" s="222">
        <f>E11+E16</f>
        <v>3403318.9240999999</v>
      </c>
      <c r="D1" s="73">
        <f>J23+J93+J183+J283</f>
        <v>6</v>
      </c>
      <c r="E1" s="74"/>
    </row>
    <row r="2" spans="1:13">
      <c r="D2" s="73"/>
      <c r="E2" s="74"/>
    </row>
    <row r="3" spans="1:13" ht="15">
      <c r="A3" s="795" t="s">
        <v>689</v>
      </c>
      <c r="B3" s="795"/>
      <c r="C3" s="795"/>
      <c r="D3" s="795"/>
      <c r="E3" s="795"/>
      <c r="F3" s="795"/>
      <c r="G3" s="795"/>
      <c r="H3" s="795"/>
      <c r="I3" s="795"/>
      <c r="J3" s="795"/>
      <c r="K3" s="795"/>
      <c r="L3" s="795"/>
      <c r="M3" s="795"/>
    </row>
    <row r="4" spans="1:13" ht="27.75" customHeight="1">
      <c r="A4" s="1044" t="s">
        <v>0</v>
      </c>
      <c r="B4" s="1045" t="s">
        <v>24</v>
      </c>
      <c r="C4" s="818" t="s">
        <v>1</v>
      </c>
      <c r="D4" s="818"/>
      <c r="E4" s="818"/>
      <c r="F4" s="818"/>
      <c r="G4" s="818"/>
      <c r="H4" s="819" t="s">
        <v>25</v>
      </c>
      <c r="I4" s="820"/>
      <c r="J4" s="821"/>
      <c r="K4" s="672" t="s">
        <v>2</v>
      </c>
      <c r="L4" s="1050" t="s">
        <v>223</v>
      </c>
      <c r="M4" s="1051" t="s">
        <v>32</v>
      </c>
    </row>
    <row r="5" spans="1:13" ht="30">
      <c r="A5" s="711"/>
      <c r="B5" s="817"/>
      <c r="C5" s="493" t="s">
        <v>26</v>
      </c>
      <c r="D5" s="7" t="s">
        <v>27</v>
      </c>
      <c r="E5" s="7" t="s">
        <v>33</v>
      </c>
      <c r="F5" s="495" t="s">
        <v>28</v>
      </c>
      <c r="G5" s="496" t="s">
        <v>34</v>
      </c>
      <c r="H5" s="497" t="s">
        <v>29</v>
      </c>
      <c r="I5" s="644" t="s">
        <v>30</v>
      </c>
      <c r="J5" s="644" t="s">
        <v>1030</v>
      </c>
      <c r="K5" s="674"/>
      <c r="L5" s="815"/>
      <c r="M5" s="812"/>
    </row>
    <row r="6" spans="1:13">
      <c r="A6" s="1038"/>
      <c r="B6" s="1039" t="s">
        <v>228</v>
      </c>
      <c r="C6" s="643" t="s">
        <v>3</v>
      </c>
      <c r="D6" s="28">
        <f>SUM(D7:D10)</f>
        <v>3444457.1543910527</v>
      </c>
      <c r="E6" s="28">
        <f>SUM(E7:E10)</f>
        <v>3333125.2871000003</v>
      </c>
      <c r="F6" s="28">
        <f>SUM(F7:F10)</f>
        <v>3333125.2871000003</v>
      </c>
      <c r="G6" s="76">
        <f t="shared" ref="G6:G12" si="0">IFERROR(F6/D6,0)</f>
        <v>0.96767796424782793</v>
      </c>
      <c r="H6" s="1040"/>
      <c r="I6" s="91" t="s">
        <v>45</v>
      </c>
      <c r="J6" s="92">
        <f>SUM(J11,J16)</f>
        <v>39</v>
      </c>
      <c r="K6" s="1041" t="s">
        <v>104</v>
      </c>
      <c r="L6" s="804"/>
      <c r="M6" s="1043">
        <v>823</v>
      </c>
    </row>
    <row r="7" spans="1:13">
      <c r="A7" s="806"/>
      <c r="B7" s="809"/>
      <c r="C7" s="643" t="s">
        <v>4</v>
      </c>
      <c r="D7" s="623">
        <f>SUM(D22,D92,D182,D282)</f>
        <v>2722805.5285300002</v>
      </c>
      <c r="E7" s="623">
        <f t="shared" ref="D7:E9" si="1">SUM(E22,E92,E182,E282)</f>
        <v>2694337.3410400003</v>
      </c>
      <c r="F7" s="28">
        <f>E7</f>
        <v>2694337.3410400003</v>
      </c>
      <c r="G7" s="76">
        <f t="shared" si="0"/>
        <v>0.98954453882522797</v>
      </c>
      <c r="H7" s="776"/>
      <c r="I7" s="91" t="s">
        <v>46</v>
      </c>
      <c r="J7" s="92">
        <f>SUM(J12,J17)</f>
        <v>31</v>
      </c>
      <c r="K7" s="803"/>
      <c r="L7" s="804"/>
      <c r="M7" s="706"/>
    </row>
    <row r="8" spans="1:13">
      <c r="A8" s="806"/>
      <c r="B8" s="809"/>
      <c r="C8" s="643" t="s">
        <v>5</v>
      </c>
      <c r="D8" s="28">
        <f t="shared" si="1"/>
        <v>632873.55863999994</v>
      </c>
      <c r="E8" s="28">
        <f t="shared" si="1"/>
        <v>562683.55863999994</v>
      </c>
      <c r="F8" s="28">
        <f>E8</f>
        <v>562683.55863999994</v>
      </c>
      <c r="G8" s="76">
        <f t="shared" si="0"/>
        <v>0.88909317028375578</v>
      </c>
      <c r="H8" s="776"/>
      <c r="I8" s="91" t="s">
        <v>47</v>
      </c>
      <c r="J8" s="92">
        <f t="shared" ref="J8:J9" si="2">SUM(J13,J18)</f>
        <v>6</v>
      </c>
      <c r="K8" s="803"/>
      <c r="L8" s="804"/>
      <c r="M8" s="706"/>
    </row>
    <row r="9" spans="1:13">
      <c r="A9" s="806"/>
      <c r="B9" s="809"/>
      <c r="C9" s="643" t="s">
        <v>6</v>
      </c>
      <c r="D9" s="26">
        <f t="shared" si="1"/>
        <v>77778.067221052625</v>
      </c>
      <c r="E9" s="26">
        <f t="shared" si="1"/>
        <v>76104.387419999999</v>
      </c>
      <c r="F9" s="26">
        <f>E9</f>
        <v>76104.387419999999</v>
      </c>
      <c r="G9" s="76">
        <f t="shared" si="0"/>
        <v>0.97848133978058538</v>
      </c>
      <c r="H9" s="776"/>
      <c r="I9" s="91" t="s">
        <v>48</v>
      </c>
      <c r="J9" s="92">
        <f t="shared" si="2"/>
        <v>2</v>
      </c>
      <c r="K9" s="803"/>
      <c r="L9" s="804"/>
      <c r="M9" s="706"/>
    </row>
    <row r="10" spans="1:13">
      <c r="A10" s="807"/>
      <c r="B10" s="810"/>
      <c r="C10" s="643" t="s">
        <v>7</v>
      </c>
      <c r="D10" s="26">
        <f>SUM(D25,D95,D185,D285)</f>
        <v>11000</v>
      </c>
      <c r="E10" s="26">
        <v>0</v>
      </c>
      <c r="F10" s="26">
        <v>0</v>
      </c>
      <c r="G10" s="76">
        <f t="shared" si="0"/>
        <v>0</v>
      </c>
      <c r="H10" s="777"/>
      <c r="I10" s="91" t="s">
        <v>49</v>
      </c>
      <c r="J10" s="505">
        <f>(J7+0.5*J8)/J6</f>
        <v>0.87179487179487181</v>
      </c>
      <c r="K10" s="813"/>
      <c r="L10" s="804"/>
      <c r="M10" s="707"/>
    </row>
    <row r="11" spans="1:13">
      <c r="A11" s="1044"/>
      <c r="B11" s="1106" t="s">
        <v>63</v>
      </c>
      <c r="C11" s="175" t="s">
        <v>3</v>
      </c>
      <c r="D11" s="180">
        <f>SUM(D12:D15)</f>
        <v>2147706.6375000002</v>
      </c>
      <c r="E11" s="185">
        <f>SUM(E12:E15)</f>
        <v>2132870.6903400002</v>
      </c>
      <c r="F11" s="185">
        <f>SUM(F12:F15)</f>
        <v>2089297.4613399999</v>
      </c>
      <c r="G11" s="174">
        <f t="shared" si="0"/>
        <v>0.97280393181259128</v>
      </c>
      <c r="H11" s="1360"/>
      <c r="I11" s="617" t="s">
        <v>45</v>
      </c>
      <c r="J11" s="618">
        <f>SUM(J12:J14)</f>
        <v>31</v>
      </c>
      <c r="K11" s="672" t="s">
        <v>89</v>
      </c>
      <c r="L11" s="700"/>
      <c r="M11" s="1281">
        <v>823</v>
      </c>
    </row>
    <row r="12" spans="1:13">
      <c r="A12" s="711"/>
      <c r="B12" s="744"/>
      <c r="C12" s="175" t="s">
        <v>4</v>
      </c>
      <c r="D12" s="183">
        <f>SUM(D22,D92,D202,D212,D207,D272,D282,D227)</f>
        <v>2003350.8260600001</v>
      </c>
      <c r="E12" s="183">
        <f t="shared" ref="E12:F12" si="3">SUM(E22,E92,E202,E212,E207,E272,E282,E227)</f>
        <v>1990188.6126999999</v>
      </c>
      <c r="F12" s="183">
        <f t="shared" si="3"/>
        <v>1990188.6126999999</v>
      </c>
      <c r="G12" s="174">
        <f t="shared" si="0"/>
        <v>0.99342990094955741</v>
      </c>
      <c r="H12" s="1259"/>
      <c r="I12" s="617" t="s">
        <v>46</v>
      </c>
      <c r="J12" s="618">
        <v>27</v>
      </c>
      <c r="K12" s="673"/>
      <c r="L12" s="700"/>
      <c r="M12" s="676"/>
    </row>
    <row r="13" spans="1:13">
      <c r="A13" s="711"/>
      <c r="B13" s="744"/>
      <c r="C13" s="175" t="s">
        <v>5</v>
      </c>
      <c r="D13" s="183">
        <f t="shared" ref="D13:F15" si="4">SUM(D23,D93,D203,D213,D208,D273,D283,D228)</f>
        <v>78252.658639999994</v>
      </c>
      <c r="E13" s="183">
        <f t="shared" si="4"/>
        <v>78252.658639999994</v>
      </c>
      <c r="F13" s="183">
        <f t="shared" si="4"/>
        <v>78252.658639999994</v>
      </c>
      <c r="G13" s="174">
        <f>IFERROR(F13/D13,0)</f>
        <v>1</v>
      </c>
      <c r="H13" s="1259"/>
      <c r="I13" s="617" t="s">
        <v>47</v>
      </c>
      <c r="J13" s="618">
        <f>COUNTIFS($M$21:$M$295,823,$J$21:$J$295,"Частично")</f>
        <v>4</v>
      </c>
      <c r="K13" s="673"/>
      <c r="L13" s="700"/>
      <c r="M13" s="676"/>
    </row>
    <row r="14" spans="1:13">
      <c r="A14" s="711"/>
      <c r="B14" s="744"/>
      <c r="C14" s="175" t="s">
        <v>6</v>
      </c>
      <c r="D14" s="183">
        <f t="shared" si="4"/>
        <v>66103.152799999996</v>
      </c>
      <c r="E14" s="183">
        <f t="shared" si="4"/>
        <v>64429.418999999994</v>
      </c>
      <c r="F14" s="183">
        <f t="shared" si="4"/>
        <v>20856.189999999999</v>
      </c>
      <c r="G14" s="174">
        <f t="shared" ref="G14:G77" si="5">IFERROR(F14/D14,0)</f>
        <v>0.31550976188839208</v>
      </c>
      <c r="H14" s="1259"/>
      <c r="I14" s="617" t="s">
        <v>48</v>
      </c>
      <c r="J14" s="618">
        <f>COUNTIFS($M$21:$M$295,823,$J$21:$J$295,"Нет")</f>
        <v>0</v>
      </c>
      <c r="K14" s="673"/>
      <c r="L14" s="700"/>
      <c r="M14" s="676"/>
    </row>
    <row r="15" spans="1:13">
      <c r="A15" s="712"/>
      <c r="B15" s="745"/>
      <c r="C15" s="175" t="s">
        <v>7</v>
      </c>
      <c r="D15" s="183">
        <f t="shared" si="4"/>
        <v>0</v>
      </c>
      <c r="E15" s="183">
        <f t="shared" si="4"/>
        <v>0</v>
      </c>
      <c r="F15" s="183">
        <f t="shared" si="4"/>
        <v>0</v>
      </c>
      <c r="G15" s="174">
        <f t="shared" si="5"/>
        <v>0</v>
      </c>
      <c r="H15" s="1260"/>
      <c r="I15" s="617" t="s">
        <v>49</v>
      </c>
      <c r="J15" s="619">
        <f>(J12+0.5*J13)/J11</f>
        <v>0.93548387096774188</v>
      </c>
      <c r="K15" s="673"/>
      <c r="L15" s="700"/>
      <c r="M15" s="677"/>
    </row>
    <row r="16" spans="1:13">
      <c r="A16" s="1084"/>
      <c r="B16" s="1359" t="s">
        <v>57</v>
      </c>
      <c r="C16" s="181" t="s">
        <v>3</v>
      </c>
      <c r="D16" s="185">
        <f>SUM(D17:D20)</f>
        <v>1296750.5168910525</v>
      </c>
      <c r="E16" s="185">
        <f>SUM(E17:E20)</f>
        <v>1270448.2337599997</v>
      </c>
      <c r="F16" s="185">
        <f>SUM(F17:F20)</f>
        <v>898002.33768000011</v>
      </c>
      <c r="G16" s="620">
        <f t="shared" si="5"/>
        <v>0.69250200866158318</v>
      </c>
      <c r="H16" s="1360"/>
      <c r="I16" s="617" t="s">
        <v>45</v>
      </c>
      <c r="J16" s="621">
        <f>SUM(J17:J19)</f>
        <v>8</v>
      </c>
      <c r="K16" s="672" t="str">
        <f>'[1]Пр ГП 19-20'!$K$11</f>
        <v>Министерство строительства МО</v>
      </c>
      <c r="L16" s="700"/>
      <c r="M16" s="1281">
        <v>807</v>
      </c>
    </row>
    <row r="17" spans="1:13">
      <c r="A17" s="720"/>
      <c r="B17" s="1262"/>
      <c r="C17" s="181" t="s">
        <v>4</v>
      </c>
      <c r="D17" s="188">
        <f>SUM(D237,D242,D277,D247,D217,D192,D257,D262)</f>
        <v>719454.70247000002</v>
      </c>
      <c r="E17" s="188">
        <f t="shared" ref="E17:F17" si="6">SUM(E237,E242,E277,E247,E217,E192,E257,E262)</f>
        <v>704148.72834000003</v>
      </c>
      <c r="F17" s="188">
        <f t="shared" si="6"/>
        <v>460581.74925000005</v>
      </c>
      <c r="G17" s="620">
        <f t="shared" si="5"/>
        <v>0.64018172050130628</v>
      </c>
      <c r="H17" s="1259"/>
      <c r="I17" s="617" t="s">
        <v>46</v>
      </c>
      <c r="J17" s="621">
        <f>COUNTIFS($M$21:$M$295,807,$J$21:$J$295,"Да")</f>
        <v>4</v>
      </c>
      <c r="K17" s="673"/>
      <c r="L17" s="700"/>
      <c r="M17" s="676"/>
    </row>
    <row r="18" spans="1:13">
      <c r="A18" s="720"/>
      <c r="B18" s="1262"/>
      <c r="C18" s="181" t="s">
        <v>5</v>
      </c>
      <c r="D18" s="188">
        <f t="shared" ref="D18:F20" si="7">SUM(D238,D243,D278,D248,D218,D193,D258,D263)</f>
        <v>554620.89999999991</v>
      </c>
      <c r="E18" s="188">
        <f t="shared" si="7"/>
        <v>554620.89999999991</v>
      </c>
      <c r="F18" s="188">
        <f t="shared" si="7"/>
        <v>413360.12321999995</v>
      </c>
      <c r="G18" s="620">
        <f t="shared" si="5"/>
        <v>0.7453021031482947</v>
      </c>
      <c r="H18" s="1259"/>
      <c r="I18" s="617" t="s">
        <v>47</v>
      </c>
      <c r="J18" s="621">
        <f>COUNTIFS($M$21:$M$295,807,$J$21:$J$295,"Частично")</f>
        <v>2</v>
      </c>
      <c r="K18" s="673"/>
      <c r="L18" s="700"/>
      <c r="M18" s="676"/>
    </row>
    <row r="19" spans="1:13">
      <c r="A19" s="720"/>
      <c r="B19" s="1262"/>
      <c r="C19" s="181" t="s">
        <v>6</v>
      </c>
      <c r="D19" s="188">
        <f t="shared" si="7"/>
        <v>11674.91442105263</v>
      </c>
      <c r="E19" s="188">
        <f t="shared" si="7"/>
        <v>11678.605419999998</v>
      </c>
      <c r="F19" s="188">
        <f t="shared" si="7"/>
        <v>24060.465210000002</v>
      </c>
      <c r="G19" s="620">
        <f t="shared" si="5"/>
        <v>2.06086865755635</v>
      </c>
      <c r="H19" s="1259"/>
      <c r="I19" s="617" t="s">
        <v>48</v>
      </c>
      <c r="J19" s="621">
        <v>2</v>
      </c>
      <c r="K19" s="673"/>
      <c r="L19" s="700"/>
      <c r="M19" s="676"/>
    </row>
    <row r="20" spans="1:13">
      <c r="A20" s="721"/>
      <c r="B20" s="1263"/>
      <c r="C20" s="181" t="s">
        <v>7</v>
      </c>
      <c r="D20" s="188">
        <f t="shared" si="7"/>
        <v>11000</v>
      </c>
      <c r="E20" s="188">
        <f t="shared" si="7"/>
        <v>0</v>
      </c>
      <c r="F20" s="188">
        <f t="shared" si="7"/>
        <v>0</v>
      </c>
      <c r="G20" s="620">
        <f t="shared" si="5"/>
        <v>0</v>
      </c>
      <c r="H20" s="1260"/>
      <c r="I20" s="617" t="s">
        <v>49</v>
      </c>
      <c r="J20" s="619">
        <f>(J17+0.5*J18)/J16</f>
        <v>0.625</v>
      </c>
      <c r="K20" s="673"/>
      <c r="L20" s="700"/>
      <c r="M20" s="677"/>
    </row>
    <row r="21" spans="1:13">
      <c r="A21" s="1071" t="s">
        <v>8</v>
      </c>
      <c r="B21" s="1072" t="s">
        <v>110</v>
      </c>
      <c r="C21" s="42" t="s">
        <v>3</v>
      </c>
      <c r="D21" s="43">
        <f>SUM(D22:D25)</f>
        <v>542015.88037999999</v>
      </c>
      <c r="E21" s="43">
        <f>SUM(E22:E25)</f>
        <v>530652.1912</v>
      </c>
      <c r="F21" s="43">
        <f>SUM(F22:F25)</f>
        <v>487078.96219999995</v>
      </c>
      <c r="G21" s="63">
        <f t="shared" si="5"/>
        <v>0.89864334207055985</v>
      </c>
      <c r="H21" s="1073"/>
      <c r="I21" s="65" t="s">
        <v>45</v>
      </c>
      <c r="J21" s="66">
        <f>SUM(J26,J76)</f>
        <v>11</v>
      </c>
      <c r="K21" s="1074" t="s">
        <v>128</v>
      </c>
      <c r="L21" s="1074"/>
      <c r="M21" s="1075">
        <v>823</v>
      </c>
    </row>
    <row r="22" spans="1:13">
      <c r="A22" s="829"/>
      <c r="B22" s="832"/>
      <c r="C22" s="42" t="s">
        <v>4</v>
      </c>
      <c r="D22" s="64">
        <f>SUM(D27,D77)</f>
        <v>496768.91758000001</v>
      </c>
      <c r="E22" s="64">
        <f>SUM(E27,E77)</f>
        <v>487078.96219999995</v>
      </c>
      <c r="F22" s="64">
        <f>E22</f>
        <v>487078.96219999995</v>
      </c>
      <c r="G22" s="63">
        <f t="shared" si="5"/>
        <v>0.98049403850143346</v>
      </c>
      <c r="H22" s="827"/>
      <c r="I22" s="65" t="s">
        <v>46</v>
      </c>
      <c r="J22" s="66">
        <f>SUM(J27,J77)</f>
        <v>10</v>
      </c>
      <c r="K22" s="825"/>
      <c r="L22" s="825"/>
      <c r="M22" s="823"/>
    </row>
    <row r="23" spans="1:13">
      <c r="A23" s="829"/>
      <c r="B23" s="832"/>
      <c r="C23" s="42" t="s">
        <v>5</v>
      </c>
      <c r="D23" s="64">
        <v>0</v>
      </c>
      <c r="E23" s="64">
        <f t="shared" ref="E23:E24" si="8">SUM(E28,E78)</f>
        <v>0</v>
      </c>
      <c r="F23" s="64">
        <f>E23</f>
        <v>0</v>
      </c>
      <c r="G23" s="63">
        <f t="shared" si="5"/>
        <v>0</v>
      </c>
      <c r="H23" s="827"/>
      <c r="I23" s="65" t="s">
        <v>47</v>
      </c>
      <c r="J23" s="66">
        <f>SUM(J28,J78)</f>
        <v>1</v>
      </c>
      <c r="K23" s="825"/>
      <c r="L23" s="825"/>
      <c r="M23" s="823"/>
    </row>
    <row r="24" spans="1:13">
      <c r="A24" s="829"/>
      <c r="B24" s="832"/>
      <c r="C24" s="42" t="s">
        <v>6</v>
      </c>
      <c r="D24" s="64">
        <f>'[2]334-ПП'!H30</f>
        <v>45246.962800000001</v>
      </c>
      <c r="E24" s="64">
        <f t="shared" si="8"/>
        <v>43573.228999999999</v>
      </c>
      <c r="F24" s="64">
        <v>0</v>
      </c>
      <c r="G24" s="63">
        <f t="shared" si="5"/>
        <v>0</v>
      </c>
      <c r="H24" s="827"/>
      <c r="I24" s="65" t="s">
        <v>48</v>
      </c>
      <c r="J24" s="66">
        <f>SUM(J29,J79)</f>
        <v>0</v>
      </c>
      <c r="K24" s="825"/>
      <c r="L24" s="825"/>
      <c r="M24" s="823"/>
    </row>
    <row r="25" spans="1:13">
      <c r="A25" s="830"/>
      <c r="B25" s="833"/>
      <c r="C25" s="42" t="s">
        <v>7</v>
      </c>
      <c r="D25" s="64">
        <v>0</v>
      </c>
      <c r="E25" s="64">
        <v>0</v>
      </c>
      <c r="F25" s="64">
        <v>0</v>
      </c>
      <c r="G25" s="63">
        <f t="shared" si="5"/>
        <v>0</v>
      </c>
      <c r="H25" s="827"/>
      <c r="I25" s="523" t="s">
        <v>49</v>
      </c>
      <c r="J25" s="524">
        <f>(J22+0.5*J23)/J21</f>
        <v>0.95454545454545459</v>
      </c>
      <c r="K25" s="825"/>
      <c r="L25" s="825"/>
      <c r="M25" s="823"/>
    </row>
    <row r="26" spans="1:13" s="10" customFormat="1" ht="15.75" customHeight="1">
      <c r="A26" s="1067" t="s">
        <v>170</v>
      </c>
      <c r="B26" s="1068" t="s">
        <v>210</v>
      </c>
      <c r="C26" s="84" t="s">
        <v>3</v>
      </c>
      <c r="D26" s="36">
        <f>SUM(D27:D30)</f>
        <v>526016.70837999997</v>
      </c>
      <c r="E26" s="36">
        <f>SUM(E27:E30)</f>
        <v>514653.01999999996</v>
      </c>
      <c r="F26" s="36">
        <f>E26</f>
        <v>514653.01999999996</v>
      </c>
      <c r="G26" s="37">
        <f>IFERROR(F26/D26,0)</f>
        <v>0.97839671592372546</v>
      </c>
      <c r="H26" s="1069" t="s">
        <v>259</v>
      </c>
      <c r="I26" s="18" t="s">
        <v>45</v>
      </c>
      <c r="J26" s="32">
        <f>SUM(J27:J29)</f>
        <v>9</v>
      </c>
      <c r="K26" s="929" t="s">
        <v>64</v>
      </c>
      <c r="L26" s="929"/>
      <c r="M26" s="1070">
        <v>823</v>
      </c>
    </row>
    <row r="27" spans="1:13" s="10" customFormat="1">
      <c r="A27" s="842"/>
      <c r="B27" s="845"/>
      <c r="C27" s="84" t="s">
        <v>4</v>
      </c>
      <c r="D27" s="38">
        <f>SUM(D32,D37,D42,D47,D52,D57,D62,D67,D72)</f>
        <v>480769.74557999999</v>
      </c>
      <c r="E27" s="38">
        <f>SUM(E32,E37,E42,E47,E52,E57,E62,E67,E72)</f>
        <v>471079.79099999997</v>
      </c>
      <c r="F27" s="38">
        <f>E27</f>
        <v>471079.79099999997</v>
      </c>
      <c r="G27" s="37">
        <f t="shared" si="5"/>
        <v>0.97984491605579283</v>
      </c>
      <c r="H27" s="836"/>
      <c r="I27" s="18" t="s">
        <v>46</v>
      </c>
      <c r="J27" s="19">
        <f>COUNTIF($J$31:$J$75,"Да")</f>
        <v>8</v>
      </c>
      <c r="K27" s="762"/>
      <c r="L27" s="762"/>
      <c r="M27" s="764"/>
    </row>
    <row r="28" spans="1:13" s="10" customFormat="1">
      <c r="A28" s="842"/>
      <c r="B28" s="845"/>
      <c r="C28" s="84" t="s">
        <v>5</v>
      </c>
      <c r="D28" s="38">
        <f>SUM(D33,D38,D43,D48,D53,D58,D63,D68,D73)</f>
        <v>0</v>
      </c>
      <c r="E28" s="36">
        <f>SUM(E33,E38,E43,E48,E53,E58,E63,E68,E73)</f>
        <v>0</v>
      </c>
      <c r="F28" s="36">
        <f>E28</f>
        <v>0</v>
      </c>
      <c r="G28" s="37">
        <f t="shared" si="5"/>
        <v>0</v>
      </c>
      <c r="H28" s="836"/>
      <c r="I28" s="18" t="s">
        <v>47</v>
      </c>
      <c r="J28" s="19">
        <f>COUNTIF($J$31:$J$75,"Частично")</f>
        <v>1</v>
      </c>
      <c r="K28" s="762"/>
      <c r="L28" s="762"/>
      <c r="M28" s="764"/>
    </row>
    <row r="29" spans="1:13" s="10" customFormat="1">
      <c r="A29" s="842"/>
      <c r="B29" s="845"/>
      <c r="C29" s="84" t="s">
        <v>6</v>
      </c>
      <c r="D29" s="38">
        <f>SUM(D34,D39,D44,D49,D54,D64,D69,D74)</f>
        <v>45246.962800000001</v>
      </c>
      <c r="E29" s="36">
        <f>SUM(E34,E39,E44,E49,E54,E59,E64,E69,E74)</f>
        <v>43573.228999999999</v>
      </c>
      <c r="F29" s="36">
        <f>E29</f>
        <v>43573.228999999999</v>
      </c>
      <c r="G29" s="37">
        <f t="shared" si="5"/>
        <v>0.96300892487749468</v>
      </c>
      <c r="H29" s="836"/>
      <c r="I29" s="18" t="s">
        <v>48</v>
      </c>
      <c r="J29" s="19">
        <f>COUNTIF($J$31:$J$75,"Нет")</f>
        <v>0</v>
      </c>
      <c r="K29" s="762"/>
      <c r="L29" s="762"/>
      <c r="M29" s="764"/>
    </row>
    <row r="30" spans="1:13" s="10" customFormat="1" ht="25.5" customHeight="1">
      <c r="A30" s="843"/>
      <c r="B30" s="846"/>
      <c r="C30" s="84" t="s">
        <v>7</v>
      </c>
      <c r="D30" s="38">
        <v>0</v>
      </c>
      <c r="E30" s="36">
        <f>SUM(E35,E40,E45,E50,E55,E60,E65,E70,E75)</f>
        <v>0</v>
      </c>
      <c r="F30" s="36">
        <f>E30</f>
        <v>0</v>
      </c>
      <c r="G30" s="37">
        <f t="shared" si="5"/>
        <v>0</v>
      </c>
      <c r="H30" s="837"/>
      <c r="I30" s="531" t="s">
        <v>49</v>
      </c>
      <c r="J30" s="532">
        <f>(J27+0.5*J28)/J26</f>
        <v>0.94444444444444442</v>
      </c>
      <c r="K30" s="762"/>
      <c r="L30" s="762"/>
      <c r="M30" s="764"/>
    </row>
    <row r="31" spans="1:13" s="10" customFormat="1" ht="15" customHeight="1">
      <c r="A31" s="1044" t="s">
        <v>11</v>
      </c>
      <c r="B31" s="1079" t="s">
        <v>218</v>
      </c>
      <c r="C31" s="172" t="s">
        <v>3</v>
      </c>
      <c r="D31" s="173">
        <f>SUM(D32:D35)</f>
        <v>82011.627000000008</v>
      </c>
      <c r="E31" s="173">
        <f>SUM(E32:E35)</f>
        <v>82011.626999999993</v>
      </c>
      <c r="F31" s="173">
        <f>SUM(F32:F35)</f>
        <v>82011.626999999993</v>
      </c>
      <c r="G31" s="174">
        <f t="shared" si="5"/>
        <v>0.99999999999999978</v>
      </c>
      <c r="H31" s="1083" t="s">
        <v>106</v>
      </c>
      <c r="I31" s="1081" t="s">
        <v>1056</v>
      </c>
      <c r="J31" s="1082" t="s">
        <v>177</v>
      </c>
      <c r="K31" s="672" t="s">
        <v>87</v>
      </c>
      <c r="L31" s="1087"/>
      <c r="M31" s="1281">
        <v>823</v>
      </c>
    </row>
    <row r="32" spans="1:13" s="10" customFormat="1" ht="22.5" customHeight="1">
      <c r="A32" s="838"/>
      <c r="B32" s="793"/>
      <c r="C32" s="175" t="s">
        <v>4</v>
      </c>
      <c r="D32" s="176">
        <f>'[9]912-ПП'!F72</f>
        <v>82011.627000000008</v>
      </c>
      <c r="E32" s="176">
        <f>'[9]2024'!H22</f>
        <v>82011.626999999993</v>
      </c>
      <c r="F32" s="176">
        <f>E32</f>
        <v>82011.626999999993</v>
      </c>
      <c r="G32" s="174">
        <f t="shared" si="5"/>
        <v>0.99999999999999978</v>
      </c>
      <c r="H32" s="790"/>
      <c r="I32" s="768"/>
      <c r="J32" s="667"/>
      <c r="K32" s="667"/>
      <c r="L32" s="702"/>
      <c r="M32" s="1264"/>
    </row>
    <row r="33" spans="1:13" s="10" customFormat="1" ht="21" customHeight="1">
      <c r="A33" s="838"/>
      <c r="B33" s="793"/>
      <c r="C33" s="175" t="s">
        <v>5</v>
      </c>
      <c r="D33" s="176">
        <v>0</v>
      </c>
      <c r="E33" s="176">
        <v>0</v>
      </c>
      <c r="F33" s="176">
        <v>0</v>
      </c>
      <c r="G33" s="174">
        <f t="shared" si="5"/>
        <v>0</v>
      </c>
      <c r="H33" s="790"/>
      <c r="I33" s="768"/>
      <c r="J33" s="667"/>
      <c r="K33" s="667"/>
      <c r="L33" s="702"/>
      <c r="M33" s="1264"/>
    </row>
    <row r="34" spans="1:13" s="10" customFormat="1" ht="18.75" customHeight="1">
      <c r="A34" s="838"/>
      <c r="B34" s="793"/>
      <c r="C34" s="175" t="s">
        <v>6</v>
      </c>
      <c r="D34" s="176">
        <v>0</v>
      </c>
      <c r="E34" s="176">
        <v>0</v>
      </c>
      <c r="F34" s="176">
        <v>0</v>
      </c>
      <c r="G34" s="174">
        <f t="shared" si="5"/>
        <v>0</v>
      </c>
      <c r="H34" s="790"/>
      <c r="I34" s="768"/>
      <c r="J34" s="667"/>
      <c r="K34" s="667"/>
      <c r="L34" s="702"/>
      <c r="M34" s="1264"/>
    </row>
    <row r="35" spans="1:13" s="10" customFormat="1" ht="20.25" customHeight="1">
      <c r="A35" s="839"/>
      <c r="B35" s="794"/>
      <c r="C35" s="497" t="s">
        <v>7</v>
      </c>
      <c r="D35" s="537">
        <v>0</v>
      </c>
      <c r="E35" s="537">
        <v>0</v>
      </c>
      <c r="F35" s="537">
        <v>0</v>
      </c>
      <c r="G35" s="174">
        <f t="shared" si="5"/>
        <v>0</v>
      </c>
      <c r="H35" s="791"/>
      <c r="I35" s="769"/>
      <c r="J35" s="668"/>
      <c r="K35" s="668"/>
      <c r="L35" s="703"/>
      <c r="M35" s="1265"/>
    </row>
    <row r="36" spans="1:13" s="10" customFormat="1" ht="23.25" customHeight="1">
      <c r="A36" s="1044" t="s">
        <v>39</v>
      </c>
      <c r="B36" s="1079" t="s">
        <v>174</v>
      </c>
      <c r="C36" s="175" t="s">
        <v>3</v>
      </c>
      <c r="D36" s="538">
        <f>SUM(D37:D40)</f>
        <v>55000</v>
      </c>
      <c r="E36" s="538">
        <f>SUM(E37:E40)</f>
        <v>55000</v>
      </c>
      <c r="F36" s="538">
        <f>SUM(F37:F40)</f>
        <v>55000</v>
      </c>
      <c r="G36" s="174">
        <f t="shared" si="5"/>
        <v>1</v>
      </c>
      <c r="H36" s="1080" t="s">
        <v>169</v>
      </c>
      <c r="I36" s="1081" t="s">
        <v>1056</v>
      </c>
      <c r="J36" s="1082" t="s">
        <v>177</v>
      </c>
      <c r="K36" s="672" t="s">
        <v>87</v>
      </c>
      <c r="L36" s="1087"/>
      <c r="M36" s="1281">
        <v>823</v>
      </c>
    </row>
    <row r="37" spans="1:13" s="10" customFormat="1" ht="22.5" customHeight="1">
      <c r="A37" s="711"/>
      <c r="B37" s="852"/>
      <c r="C37" s="175" t="s">
        <v>4</v>
      </c>
      <c r="D37" s="537">
        <f>'[9]912-ПП'!E86</f>
        <v>55000</v>
      </c>
      <c r="E37" s="537">
        <f>'[9]2024'!H23</f>
        <v>55000</v>
      </c>
      <c r="F37" s="537">
        <f>E37</f>
        <v>55000</v>
      </c>
      <c r="G37" s="174">
        <f t="shared" si="5"/>
        <v>1</v>
      </c>
      <c r="H37" s="848"/>
      <c r="I37" s="768"/>
      <c r="J37" s="667"/>
      <c r="K37" s="667"/>
      <c r="L37" s="702"/>
      <c r="M37" s="676"/>
    </row>
    <row r="38" spans="1:13" s="10" customFormat="1" ht="22.5" customHeight="1">
      <c r="A38" s="711"/>
      <c r="B38" s="852"/>
      <c r="C38" s="175" t="s">
        <v>5</v>
      </c>
      <c r="D38" s="537">
        <v>0</v>
      </c>
      <c r="E38" s="537">
        <v>0</v>
      </c>
      <c r="F38" s="537">
        <v>0</v>
      </c>
      <c r="G38" s="174">
        <f t="shared" si="5"/>
        <v>0</v>
      </c>
      <c r="H38" s="848"/>
      <c r="I38" s="768"/>
      <c r="J38" s="667"/>
      <c r="K38" s="667"/>
      <c r="L38" s="702"/>
      <c r="M38" s="676"/>
    </row>
    <row r="39" spans="1:13" s="10" customFormat="1" ht="25.5" customHeight="1">
      <c r="A39" s="711"/>
      <c r="B39" s="852"/>
      <c r="C39" s="175" t="s">
        <v>6</v>
      </c>
      <c r="D39" s="537">
        <v>0</v>
      </c>
      <c r="E39" s="537">
        <v>0</v>
      </c>
      <c r="F39" s="537">
        <v>0</v>
      </c>
      <c r="G39" s="174">
        <f t="shared" si="5"/>
        <v>0</v>
      </c>
      <c r="H39" s="848"/>
      <c r="I39" s="768"/>
      <c r="J39" s="667"/>
      <c r="K39" s="667"/>
      <c r="L39" s="702"/>
      <c r="M39" s="676"/>
    </row>
    <row r="40" spans="1:13" s="10" customFormat="1" ht="21.75" customHeight="1">
      <c r="A40" s="712"/>
      <c r="B40" s="853"/>
      <c r="C40" s="175" t="s">
        <v>7</v>
      </c>
      <c r="D40" s="537">
        <v>0</v>
      </c>
      <c r="E40" s="537">
        <v>0</v>
      </c>
      <c r="F40" s="537">
        <v>0</v>
      </c>
      <c r="G40" s="174">
        <f t="shared" si="5"/>
        <v>0</v>
      </c>
      <c r="H40" s="849"/>
      <c r="I40" s="769"/>
      <c r="J40" s="668"/>
      <c r="K40" s="668"/>
      <c r="L40" s="703"/>
      <c r="M40" s="677"/>
    </row>
    <row r="41" spans="1:13" s="14" customFormat="1" ht="21.75" customHeight="1">
      <c r="A41" s="1084" t="s">
        <v>71</v>
      </c>
      <c r="B41" s="1085" t="s">
        <v>211</v>
      </c>
      <c r="C41" s="179" t="s">
        <v>3</v>
      </c>
      <c r="D41" s="180">
        <f>SUM(D42:D45)</f>
        <v>2274.0250000000001</v>
      </c>
      <c r="E41" s="180">
        <f>SUM(E42:E45)</f>
        <v>2274.0250000000001</v>
      </c>
      <c r="F41" s="180">
        <f>SUM(F42:F45)</f>
        <v>2274.0250000000001</v>
      </c>
      <c r="G41" s="174">
        <f t="shared" si="5"/>
        <v>1</v>
      </c>
      <c r="H41" s="1086" t="s">
        <v>73</v>
      </c>
      <c r="I41" s="1087" t="s">
        <v>652</v>
      </c>
      <c r="J41" s="1082" t="s">
        <v>177</v>
      </c>
      <c r="K41" s="1088" t="s">
        <v>87</v>
      </c>
      <c r="L41" s="1087"/>
      <c r="M41" s="1281">
        <v>823</v>
      </c>
    </row>
    <row r="42" spans="1:13" s="14" customFormat="1" ht="21.75" customHeight="1">
      <c r="A42" s="720"/>
      <c r="B42" s="850"/>
      <c r="C42" s="181" t="s">
        <v>4</v>
      </c>
      <c r="D42" s="182">
        <f>'[9]912-ПП'!F93</f>
        <v>2274.0250000000001</v>
      </c>
      <c r="E42" s="182">
        <f>'[2]2024'!H22</f>
        <v>2274.0250000000001</v>
      </c>
      <c r="F42" s="182">
        <f>E42</f>
        <v>2274.0250000000001</v>
      </c>
      <c r="G42" s="174">
        <f t="shared" si="5"/>
        <v>1</v>
      </c>
      <c r="H42" s="780"/>
      <c r="I42" s="702"/>
      <c r="J42" s="667"/>
      <c r="K42" s="738"/>
      <c r="L42" s="702"/>
      <c r="M42" s="676"/>
    </row>
    <row r="43" spans="1:13" s="14" customFormat="1" ht="23.25" customHeight="1">
      <c r="A43" s="720"/>
      <c r="B43" s="850"/>
      <c r="C43" s="181" t="s">
        <v>5</v>
      </c>
      <c r="D43" s="183">
        <v>0</v>
      </c>
      <c r="E43" s="182">
        <v>0</v>
      </c>
      <c r="F43" s="182">
        <v>0</v>
      </c>
      <c r="G43" s="174">
        <f t="shared" si="5"/>
        <v>0</v>
      </c>
      <c r="H43" s="780"/>
      <c r="I43" s="702"/>
      <c r="J43" s="667"/>
      <c r="K43" s="738"/>
      <c r="L43" s="702"/>
      <c r="M43" s="676"/>
    </row>
    <row r="44" spans="1:13" s="14" customFormat="1" ht="22.5" customHeight="1">
      <c r="A44" s="720"/>
      <c r="B44" s="850"/>
      <c r="C44" s="181" t="s">
        <v>6</v>
      </c>
      <c r="D44" s="183">
        <v>0</v>
      </c>
      <c r="E44" s="182">
        <v>0</v>
      </c>
      <c r="F44" s="182">
        <v>0</v>
      </c>
      <c r="G44" s="174">
        <f t="shared" si="5"/>
        <v>0</v>
      </c>
      <c r="H44" s="780"/>
      <c r="I44" s="702"/>
      <c r="J44" s="667"/>
      <c r="K44" s="738"/>
      <c r="L44" s="702"/>
      <c r="M44" s="676"/>
    </row>
    <row r="45" spans="1:13" s="14" customFormat="1" ht="15" customHeight="1">
      <c r="A45" s="721"/>
      <c r="B45" s="851"/>
      <c r="C45" s="181" t="s">
        <v>7</v>
      </c>
      <c r="D45" s="183">
        <v>0</v>
      </c>
      <c r="E45" s="182">
        <v>0</v>
      </c>
      <c r="F45" s="182">
        <v>0</v>
      </c>
      <c r="G45" s="174">
        <f t="shared" si="5"/>
        <v>0</v>
      </c>
      <c r="H45" s="781"/>
      <c r="I45" s="703"/>
      <c r="J45" s="668"/>
      <c r="K45" s="738"/>
      <c r="L45" s="703"/>
      <c r="M45" s="677"/>
    </row>
    <row r="46" spans="1:13" s="14" customFormat="1" ht="15" customHeight="1">
      <c r="A46" s="1084" t="s">
        <v>72</v>
      </c>
      <c r="B46" s="1085" t="s">
        <v>168</v>
      </c>
      <c r="C46" s="179" t="s">
        <v>3</v>
      </c>
      <c r="D46" s="184">
        <f>SUM(D47:D50)</f>
        <v>160494.09357999999</v>
      </c>
      <c r="E46" s="184">
        <f>SUM(E47:E50)</f>
        <v>159314.783</v>
      </c>
      <c r="F46" s="184">
        <f>SUM(F47:F50)</f>
        <v>159314.783</v>
      </c>
      <c r="G46" s="174">
        <f t="shared" si="5"/>
        <v>0.99265200012228394</v>
      </c>
      <c r="H46" s="1086" t="s">
        <v>74</v>
      </c>
      <c r="I46" s="1083" t="s">
        <v>1029</v>
      </c>
      <c r="J46" s="1082" t="s">
        <v>177</v>
      </c>
      <c r="K46" s="1088" t="s">
        <v>65</v>
      </c>
      <c r="L46" s="1087"/>
      <c r="M46" s="1281">
        <v>823</v>
      </c>
    </row>
    <row r="47" spans="1:13" s="14" customFormat="1" ht="15" customHeight="1">
      <c r="A47" s="720"/>
      <c r="B47" s="793"/>
      <c r="C47" s="181" t="s">
        <v>4</v>
      </c>
      <c r="D47" s="182">
        <f>'[9]912-ПП'!F100</f>
        <v>160494.09357999999</v>
      </c>
      <c r="E47" s="182">
        <f>'[9]2024'!I25</f>
        <v>159314.783</v>
      </c>
      <c r="F47" s="182">
        <f>E47</f>
        <v>159314.783</v>
      </c>
      <c r="G47" s="174">
        <f t="shared" si="5"/>
        <v>0.99265200012228394</v>
      </c>
      <c r="H47" s="790"/>
      <c r="I47" s="1266"/>
      <c r="J47" s="667"/>
      <c r="K47" s="738"/>
      <c r="L47" s="702"/>
      <c r="M47" s="676"/>
    </row>
    <row r="48" spans="1:13" s="14" customFormat="1" ht="15" customHeight="1">
      <c r="A48" s="720"/>
      <c r="B48" s="793"/>
      <c r="C48" s="181" t="s">
        <v>5</v>
      </c>
      <c r="D48" s="183">
        <v>0</v>
      </c>
      <c r="E48" s="182">
        <v>0</v>
      </c>
      <c r="F48" s="182">
        <v>0</v>
      </c>
      <c r="G48" s="174">
        <f t="shared" si="5"/>
        <v>0</v>
      </c>
      <c r="H48" s="790"/>
      <c r="I48" s="1266"/>
      <c r="J48" s="667"/>
      <c r="K48" s="738"/>
      <c r="L48" s="702"/>
      <c r="M48" s="676"/>
    </row>
    <row r="49" spans="1:13" s="14" customFormat="1" ht="15" customHeight="1">
      <c r="A49" s="720"/>
      <c r="B49" s="793"/>
      <c r="C49" s="181" t="s">
        <v>6</v>
      </c>
      <c r="D49" s="183">
        <v>0</v>
      </c>
      <c r="E49" s="182">
        <v>0</v>
      </c>
      <c r="F49" s="182">
        <v>0</v>
      </c>
      <c r="G49" s="174">
        <f t="shared" si="5"/>
        <v>0</v>
      </c>
      <c r="H49" s="790"/>
      <c r="I49" s="1266"/>
      <c r="J49" s="667"/>
      <c r="K49" s="738"/>
      <c r="L49" s="702"/>
      <c r="M49" s="676"/>
    </row>
    <row r="50" spans="1:13" s="14" customFormat="1" ht="42" customHeight="1">
      <c r="A50" s="721"/>
      <c r="B50" s="794"/>
      <c r="C50" s="181" t="s">
        <v>7</v>
      </c>
      <c r="D50" s="183">
        <v>0</v>
      </c>
      <c r="E50" s="182">
        <v>0</v>
      </c>
      <c r="F50" s="182">
        <v>0</v>
      </c>
      <c r="G50" s="174">
        <f t="shared" si="5"/>
        <v>0</v>
      </c>
      <c r="H50" s="791"/>
      <c r="I50" s="1267"/>
      <c r="J50" s="668"/>
      <c r="K50" s="739"/>
      <c r="L50" s="703"/>
      <c r="M50" s="676"/>
    </row>
    <row r="51" spans="1:13" s="14" customFormat="1" ht="15" customHeight="1">
      <c r="A51" s="660" t="s">
        <v>109</v>
      </c>
      <c r="B51" s="1089" t="s">
        <v>107</v>
      </c>
      <c r="C51" s="179" t="s">
        <v>3</v>
      </c>
      <c r="D51" s="185">
        <f>SUM(D52:D55)</f>
        <v>20000</v>
      </c>
      <c r="E51" s="186">
        <f>SUM(E52:E55)</f>
        <v>20000</v>
      </c>
      <c r="F51" s="186">
        <f>SUM(F52:F55)</f>
        <v>20000</v>
      </c>
      <c r="G51" s="174">
        <f t="shared" si="5"/>
        <v>1</v>
      </c>
      <c r="H51" s="784" t="s">
        <v>106</v>
      </c>
      <c r="I51" s="1087" t="s">
        <v>219</v>
      </c>
      <c r="J51" s="1082" t="s">
        <v>177</v>
      </c>
      <c r="K51" s="1088" t="s">
        <v>65</v>
      </c>
      <c r="L51" s="672"/>
      <c r="M51" s="1281">
        <v>823</v>
      </c>
    </row>
    <row r="52" spans="1:13" s="14" customFormat="1" ht="15" customHeight="1">
      <c r="A52" s="661"/>
      <c r="B52" s="723"/>
      <c r="C52" s="181" t="s">
        <v>4</v>
      </c>
      <c r="D52" s="187">
        <f>'[9]912-ПП'!F107</f>
        <v>20000</v>
      </c>
      <c r="E52" s="188">
        <f>'[9]2024'!H26</f>
        <v>20000</v>
      </c>
      <c r="F52" s="188">
        <f>E52</f>
        <v>20000</v>
      </c>
      <c r="G52" s="174">
        <f t="shared" si="5"/>
        <v>1</v>
      </c>
      <c r="H52" s="785"/>
      <c r="I52" s="759"/>
      <c r="J52" s="667"/>
      <c r="K52" s="738"/>
      <c r="L52" s="673"/>
      <c r="M52" s="676"/>
    </row>
    <row r="53" spans="1:13" s="14" customFormat="1" ht="15" customHeight="1">
      <c r="A53" s="661"/>
      <c r="B53" s="723"/>
      <c r="C53" s="181" t="s">
        <v>5</v>
      </c>
      <c r="D53" s="187">
        <v>0</v>
      </c>
      <c r="E53" s="188">
        <v>0</v>
      </c>
      <c r="F53" s="188">
        <v>0</v>
      </c>
      <c r="G53" s="174">
        <f t="shared" si="5"/>
        <v>0</v>
      </c>
      <c r="H53" s="785"/>
      <c r="I53" s="759"/>
      <c r="J53" s="667"/>
      <c r="K53" s="738"/>
      <c r="L53" s="673"/>
      <c r="M53" s="676"/>
    </row>
    <row r="54" spans="1:13" s="14" customFormat="1" ht="15" customHeight="1">
      <c r="A54" s="661"/>
      <c r="B54" s="723"/>
      <c r="C54" s="181" t="s">
        <v>6</v>
      </c>
      <c r="D54" s="187">
        <v>0</v>
      </c>
      <c r="E54" s="188">
        <v>0</v>
      </c>
      <c r="F54" s="188">
        <v>0</v>
      </c>
      <c r="G54" s="174">
        <f t="shared" si="5"/>
        <v>0</v>
      </c>
      <c r="H54" s="785"/>
      <c r="I54" s="759"/>
      <c r="J54" s="667"/>
      <c r="K54" s="738"/>
      <c r="L54" s="673"/>
      <c r="M54" s="676"/>
    </row>
    <row r="55" spans="1:13" s="14" customFormat="1" ht="45.75" customHeight="1">
      <c r="A55" s="662"/>
      <c r="B55" s="724"/>
      <c r="C55" s="181" t="s">
        <v>7</v>
      </c>
      <c r="D55" s="187">
        <v>0</v>
      </c>
      <c r="E55" s="188">
        <v>0</v>
      </c>
      <c r="F55" s="188">
        <v>0</v>
      </c>
      <c r="G55" s="174">
        <f t="shared" si="5"/>
        <v>0</v>
      </c>
      <c r="H55" s="785"/>
      <c r="I55" s="760"/>
      <c r="J55" s="668"/>
      <c r="K55" s="739"/>
      <c r="L55" s="674"/>
      <c r="M55" s="676"/>
    </row>
    <row r="56" spans="1:13" s="14" customFormat="1" ht="32.25" customHeight="1">
      <c r="A56" s="660" t="s">
        <v>111</v>
      </c>
      <c r="B56" s="1089" t="s">
        <v>108</v>
      </c>
      <c r="C56" s="179" t="s">
        <v>3</v>
      </c>
      <c r="D56" s="183">
        <f>SUM(D57:D60)</f>
        <v>21000</v>
      </c>
      <c r="E56" s="182">
        <f>SUM(E57:E60)</f>
        <v>21000</v>
      </c>
      <c r="F56" s="182">
        <f>SUM(F57:F60)</f>
        <v>21000</v>
      </c>
      <c r="G56" s="174">
        <f t="shared" si="5"/>
        <v>1</v>
      </c>
      <c r="H56" s="1090" t="s">
        <v>167</v>
      </c>
      <c r="I56" s="666" t="s">
        <v>687</v>
      </c>
      <c r="J56" s="1082" t="s">
        <v>177</v>
      </c>
      <c r="K56" s="1088" t="s">
        <v>65</v>
      </c>
      <c r="L56" s="700"/>
      <c r="M56" s="1268">
        <v>823</v>
      </c>
    </row>
    <row r="57" spans="1:13" s="14" customFormat="1" ht="25.5" customHeight="1">
      <c r="A57" s="661"/>
      <c r="B57" s="723"/>
      <c r="C57" s="181" t="s">
        <v>4</v>
      </c>
      <c r="D57" s="183">
        <f>'[9]912-ПП'!F127</f>
        <v>21000</v>
      </c>
      <c r="E57" s="182">
        <f>[2]Документ!R36</f>
        <v>21000</v>
      </c>
      <c r="F57" s="182">
        <f>E57</f>
        <v>21000</v>
      </c>
      <c r="G57" s="174">
        <f t="shared" si="5"/>
        <v>1</v>
      </c>
      <c r="H57" s="787"/>
      <c r="I57" s="667"/>
      <c r="J57" s="667"/>
      <c r="K57" s="738"/>
      <c r="L57" s="700"/>
      <c r="M57" s="1268"/>
    </row>
    <row r="58" spans="1:13" s="14" customFormat="1" ht="15" customHeight="1">
      <c r="A58" s="661"/>
      <c r="B58" s="723"/>
      <c r="C58" s="181" t="s">
        <v>5</v>
      </c>
      <c r="D58" s="183">
        <v>0</v>
      </c>
      <c r="E58" s="182">
        <v>0</v>
      </c>
      <c r="F58" s="182">
        <v>0</v>
      </c>
      <c r="G58" s="174">
        <f t="shared" si="5"/>
        <v>0</v>
      </c>
      <c r="H58" s="787"/>
      <c r="I58" s="667"/>
      <c r="J58" s="667"/>
      <c r="K58" s="738"/>
      <c r="L58" s="700"/>
      <c r="M58" s="1268"/>
    </row>
    <row r="59" spans="1:13" s="14" customFormat="1" ht="21" customHeight="1">
      <c r="A59" s="661"/>
      <c r="B59" s="723"/>
      <c r="C59" s="181" t="s">
        <v>6</v>
      </c>
      <c r="D59" s="183">
        <v>0</v>
      </c>
      <c r="E59" s="182">
        <v>0</v>
      </c>
      <c r="F59" s="182">
        <v>0</v>
      </c>
      <c r="G59" s="174">
        <f t="shared" si="5"/>
        <v>0</v>
      </c>
      <c r="H59" s="787"/>
      <c r="I59" s="667"/>
      <c r="J59" s="667"/>
      <c r="K59" s="738"/>
      <c r="L59" s="700"/>
      <c r="M59" s="1268"/>
    </row>
    <row r="60" spans="1:13" s="14" customFormat="1" ht="15" customHeight="1">
      <c r="A60" s="662"/>
      <c r="B60" s="724"/>
      <c r="C60" s="181" t="s">
        <v>7</v>
      </c>
      <c r="D60" s="183">
        <v>0</v>
      </c>
      <c r="E60" s="182">
        <v>0</v>
      </c>
      <c r="F60" s="182">
        <v>0</v>
      </c>
      <c r="G60" s="174">
        <f t="shared" si="5"/>
        <v>0</v>
      </c>
      <c r="H60" s="788"/>
      <c r="I60" s="668"/>
      <c r="J60" s="668"/>
      <c r="K60" s="739"/>
      <c r="L60" s="700"/>
      <c r="M60" s="1268"/>
    </row>
    <row r="61" spans="1:13" s="14" customFormat="1" ht="24.75" customHeight="1">
      <c r="A61" s="660" t="s">
        <v>166</v>
      </c>
      <c r="B61" s="1089" t="s">
        <v>165</v>
      </c>
      <c r="C61" s="179" t="s">
        <v>3</v>
      </c>
      <c r="D61" s="183">
        <f>SUM(D62:D65)</f>
        <v>10638.540800000001</v>
      </c>
      <c r="E61" s="182">
        <f>SUM(E62:E65)</f>
        <v>10638.54</v>
      </c>
      <c r="F61" s="182">
        <f>SUM(F62:F65)</f>
        <v>10638.54</v>
      </c>
      <c r="G61" s="174">
        <f t="shared" si="5"/>
        <v>0.99999992480171718</v>
      </c>
      <c r="H61" s="1090" t="s">
        <v>635</v>
      </c>
      <c r="I61" s="666" t="s">
        <v>654</v>
      </c>
      <c r="J61" s="1082" t="s">
        <v>177</v>
      </c>
      <c r="K61" s="1088" t="s">
        <v>92</v>
      </c>
      <c r="L61" s="1087"/>
      <c r="M61" s="1268">
        <v>823</v>
      </c>
    </row>
    <row r="62" spans="1:13" s="14" customFormat="1" ht="15" customHeight="1">
      <c r="A62" s="661"/>
      <c r="B62" s="723"/>
      <c r="C62" s="181" t="s">
        <v>4</v>
      </c>
      <c r="D62" s="183">
        <f>'[9]912-ПП'!F148</f>
        <v>9000</v>
      </c>
      <c r="E62" s="182">
        <f>'[9]2024'!H29</f>
        <v>9000</v>
      </c>
      <c r="F62" s="182">
        <f>E62</f>
        <v>9000</v>
      </c>
      <c r="G62" s="174">
        <f t="shared" si="5"/>
        <v>1</v>
      </c>
      <c r="H62" s="787"/>
      <c r="I62" s="667"/>
      <c r="J62" s="667"/>
      <c r="K62" s="738"/>
      <c r="L62" s="702"/>
      <c r="M62" s="1268"/>
    </row>
    <row r="63" spans="1:13" s="14" customFormat="1" ht="15" customHeight="1">
      <c r="A63" s="661"/>
      <c r="B63" s="723"/>
      <c r="C63" s="181" t="s">
        <v>5</v>
      </c>
      <c r="D63" s="183">
        <v>0</v>
      </c>
      <c r="E63" s="182">
        <v>0</v>
      </c>
      <c r="F63" s="182">
        <v>0</v>
      </c>
      <c r="G63" s="174">
        <f t="shared" si="5"/>
        <v>0</v>
      </c>
      <c r="H63" s="787"/>
      <c r="I63" s="667"/>
      <c r="J63" s="667"/>
      <c r="K63" s="738"/>
      <c r="L63" s="702"/>
      <c r="M63" s="1268"/>
    </row>
    <row r="64" spans="1:13" s="14" customFormat="1" ht="15" customHeight="1">
      <c r="A64" s="661"/>
      <c r="B64" s="723"/>
      <c r="C64" s="181" t="s">
        <v>6</v>
      </c>
      <c r="D64" s="183">
        <f>'[9]912-ПП'!H148</f>
        <v>1638.5408</v>
      </c>
      <c r="E64" s="182">
        <f>'[9]2024'!I29</f>
        <v>1638.54</v>
      </c>
      <c r="F64" s="182">
        <f>E64</f>
        <v>1638.54</v>
      </c>
      <c r="G64" s="174">
        <f t="shared" si="5"/>
        <v>0.999999511760708</v>
      </c>
      <c r="H64" s="787"/>
      <c r="I64" s="667"/>
      <c r="J64" s="667"/>
      <c r="K64" s="738"/>
      <c r="L64" s="702"/>
      <c r="M64" s="1268"/>
    </row>
    <row r="65" spans="1:13" s="14" customFormat="1" ht="15" customHeight="1">
      <c r="A65" s="662"/>
      <c r="B65" s="724"/>
      <c r="C65" s="181" t="s">
        <v>7</v>
      </c>
      <c r="D65" s="183">
        <v>0</v>
      </c>
      <c r="E65" s="182">
        <v>0</v>
      </c>
      <c r="F65" s="182">
        <v>0</v>
      </c>
      <c r="G65" s="174">
        <f t="shared" si="5"/>
        <v>0</v>
      </c>
      <c r="H65" s="788"/>
      <c r="I65" s="668"/>
      <c r="J65" s="668"/>
      <c r="K65" s="739"/>
      <c r="L65" s="703"/>
      <c r="M65" s="1268"/>
    </row>
    <row r="66" spans="1:13" s="14" customFormat="1" ht="15" customHeight="1">
      <c r="A66" s="660" t="s">
        <v>164</v>
      </c>
      <c r="B66" s="1089" t="s">
        <v>163</v>
      </c>
      <c r="C66" s="179" t="s">
        <v>3</v>
      </c>
      <c r="D66" s="183">
        <f>SUM(D67:D70)</f>
        <v>163608.42199999999</v>
      </c>
      <c r="E66" s="182">
        <f>SUM(E67:E70)</f>
        <v>153424.04499999998</v>
      </c>
      <c r="F66" s="182">
        <f>SUM(F67:F70)</f>
        <v>153424.04499999998</v>
      </c>
      <c r="G66" s="174">
        <f t="shared" si="5"/>
        <v>0.93775151134945844</v>
      </c>
      <c r="H66" s="1090" t="s">
        <v>636</v>
      </c>
      <c r="I66" s="666" t="s">
        <v>655</v>
      </c>
      <c r="J66" s="1082" t="s">
        <v>178</v>
      </c>
      <c r="K66" s="1088" t="s">
        <v>92</v>
      </c>
      <c r="L66" s="1361" t="s">
        <v>1057</v>
      </c>
      <c r="M66" s="1281">
        <v>823</v>
      </c>
    </row>
    <row r="67" spans="1:13" s="14" customFormat="1" ht="15" customHeight="1">
      <c r="A67" s="661"/>
      <c r="B67" s="723"/>
      <c r="C67" s="181" t="s">
        <v>4</v>
      </c>
      <c r="D67" s="183">
        <f>'[9]912-ПП'!F155</f>
        <v>120000</v>
      </c>
      <c r="E67" s="182">
        <f>'[9]2024'!H35</f>
        <v>111489.356</v>
      </c>
      <c r="F67" s="182">
        <f>E67</f>
        <v>111489.356</v>
      </c>
      <c r="G67" s="174">
        <f t="shared" si="5"/>
        <v>0.92907796666666664</v>
      </c>
      <c r="H67" s="787"/>
      <c r="I67" s="667"/>
      <c r="J67" s="667"/>
      <c r="K67" s="738"/>
      <c r="L67" s="1362"/>
      <c r="M67" s="676"/>
    </row>
    <row r="68" spans="1:13" s="14" customFormat="1" ht="33" customHeight="1">
      <c r="A68" s="661"/>
      <c r="B68" s="723"/>
      <c r="C68" s="181" t="s">
        <v>5</v>
      </c>
      <c r="D68" s="183">
        <v>0</v>
      </c>
      <c r="E68" s="182">
        <v>0</v>
      </c>
      <c r="F68" s="182">
        <v>0</v>
      </c>
      <c r="G68" s="174">
        <f t="shared" si="5"/>
        <v>0</v>
      </c>
      <c r="H68" s="787"/>
      <c r="I68" s="667"/>
      <c r="J68" s="667"/>
      <c r="K68" s="738"/>
      <c r="L68" s="1362"/>
      <c r="M68" s="676"/>
    </row>
    <row r="69" spans="1:13" s="14" customFormat="1" ht="21.75" customHeight="1">
      <c r="A69" s="661"/>
      <c r="B69" s="723"/>
      <c r="C69" s="181" t="s">
        <v>6</v>
      </c>
      <c r="D69" s="183">
        <f>'[9]912-ПП'!H155</f>
        <v>43608.421999999999</v>
      </c>
      <c r="E69" s="182">
        <v>41934.688999999998</v>
      </c>
      <c r="F69" s="182">
        <f>E69</f>
        <v>41934.688999999998</v>
      </c>
      <c r="G69" s="174">
        <f t="shared" si="5"/>
        <v>0.96161904230334228</v>
      </c>
      <c r="H69" s="787"/>
      <c r="I69" s="667"/>
      <c r="J69" s="667"/>
      <c r="K69" s="738"/>
      <c r="L69" s="1362"/>
      <c r="M69" s="676"/>
    </row>
    <row r="70" spans="1:13" s="14" customFormat="1" ht="25.5" customHeight="1">
      <c r="A70" s="662"/>
      <c r="B70" s="724"/>
      <c r="C70" s="181" t="s">
        <v>7</v>
      </c>
      <c r="D70" s="183">
        <v>0</v>
      </c>
      <c r="E70" s="182">
        <v>0</v>
      </c>
      <c r="F70" s="182">
        <v>0</v>
      </c>
      <c r="G70" s="174">
        <f t="shared" si="5"/>
        <v>0</v>
      </c>
      <c r="H70" s="788"/>
      <c r="I70" s="668"/>
      <c r="J70" s="668"/>
      <c r="K70" s="739"/>
      <c r="L70" s="1363"/>
      <c r="M70" s="676"/>
    </row>
    <row r="71" spans="1:13" s="14" customFormat="1" ht="32.25" customHeight="1">
      <c r="A71" s="660" t="s">
        <v>162</v>
      </c>
      <c r="B71" s="1089" t="s">
        <v>161</v>
      </c>
      <c r="C71" s="179" t="s">
        <v>3</v>
      </c>
      <c r="D71" s="183">
        <f>SUM(D72:D75)</f>
        <v>10990</v>
      </c>
      <c r="E71" s="182">
        <f>SUM(E72:E75)</f>
        <v>10990</v>
      </c>
      <c r="F71" s="182">
        <f>SUM(F72:F75)</f>
        <v>10990</v>
      </c>
      <c r="G71" s="174">
        <f t="shared" si="5"/>
        <v>1</v>
      </c>
      <c r="H71" s="1090" t="s">
        <v>160</v>
      </c>
      <c r="I71" s="1364" t="s">
        <v>666</v>
      </c>
      <c r="J71" s="1082" t="s">
        <v>177</v>
      </c>
      <c r="K71" s="1088" t="s">
        <v>65</v>
      </c>
      <c r="L71" s="1087"/>
      <c r="M71" s="1281">
        <v>823</v>
      </c>
    </row>
    <row r="72" spans="1:13" s="14" customFormat="1" ht="23.25" customHeight="1">
      <c r="A72" s="661"/>
      <c r="B72" s="723"/>
      <c r="C72" s="181" t="s">
        <v>4</v>
      </c>
      <c r="D72" s="183">
        <f>'[9]912-ПП'!F162</f>
        <v>10990</v>
      </c>
      <c r="E72" s="182">
        <f>[2]Документ!R22</f>
        <v>10990</v>
      </c>
      <c r="F72" s="182">
        <f>E72</f>
        <v>10990</v>
      </c>
      <c r="G72" s="174">
        <f t="shared" si="5"/>
        <v>1</v>
      </c>
      <c r="H72" s="787"/>
      <c r="I72" s="1365"/>
      <c r="J72" s="667"/>
      <c r="K72" s="738"/>
      <c r="L72" s="702"/>
      <c r="M72" s="676"/>
    </row>
    <row r="73" spans="1:13" s="14" customFormat="1" ht="21.75" customHeight="1">
      <c r="A73" s="661"/>
      <c r="B73" s="723"/>
      <c r="C73" s="181" t="s">
        <v>5</v>
      </c>
      <c r="D73" s="183">
        <v>0</v>
      </c>
      <c r="E73" s="182">
        <v>0</v>
      </c>
      <c r="F73" s="182">
        <v>0</v>
      </c>
      <c r="G73" s="174">
        <f t="shared" si="5"/>
        <v>0</v>
      </c>
      <c r="H73" s="787"/>
      <c r="I73" s="1365"/>
      <c r="J73" s="667"/>
      <c r="K73" s="738"/>
      <c r="L73" s="702"/>
      <c r="M73" s="676"/>
    </row>
    <row r="74" spans="1:13" s="14" customFormat="1" ht="24.75" customHeight="1">
      <c r="A74" s="661"/>
      <c r="B74" s="723"/>
      <c r="C74" s="181" t="s">
        <v>6</v>
      </c>
      <c r="D74" s="183">
        <v>0</v>
      </c>
      <c r="E74" s="182">
        <v>0</v>
      </c>
      <c r="F74" s="182">
        <v>0</v>
      </c>
      <c r="G74" s="174">
        <f t="shared" si="5"/>
        <v>0</v>
      </c>
      <c r="H74" s="787"/>
      <c r="I74" s="1365"/>
      <c r="J74" s="667"/>
      <c r="K74" s="738"/>
      <c r="L74" s="702"/>
      <c r="M74" s="676"/>
    </row>
    <row r="75" spans="1:13" s="14" customFormat="1" ht="20.25" customHeight="1">
      <c r="A75" s="662"/>
      <c r="B75" s="724"/>
      <c r="C75" s="181" t="s">
        <v>7</v>
      </c>
      <c r="D75" s="183">
        <v>0</v>
      </c>
      <c r="E75" s="182">
        <v>0</v>
      </c>
      <c r="F75" s="182">
        <v>0</v>
      </c>
      <c r="G75" s="174">
        <f t="shared" si="5"/>
        <v>0</v>
      </c>
      <c r="H75" s="788"/>
      <c r="I75" s="1366"/>
      <c r="J75" s="668"/>
      <c r="K75" s="739"/>
      <c r="L75" s="703"/>
      <c r="M75" s="676"/>
    </row>
    <row r="76" spans="1:13" s="10" customFormat="1">
      <c r="A76" s="1094" t="s">
        <v>171</v>
      </c>
      <c r="B76" s="1095" t="s">
        <v>94</v>
      </c>
      <c r="C76" s="39" t="s">
        <v>3</v>
      </c>
      <c r="D76" s="40">
        <f>SUM(D77:D80)</f>
        <v>15999.171999999999</v>
      </c>
      <c r="E76" s="40">
        <f>SUM(E77:E80)</f>
        <v>15999.171200000001</v>
      </c>
      <c r="F76" s="40">
        <f>SUM(F77:F80)</f>
        <v>15999.171200000001</v>
      </c>
      <c r="G76" s="37">
        <f t="shared" si="5"/>
        <v>0.99999994999741249</v>
      </c>
      <c r="H76" s="1096" t="s">
        <v>159</v>
      </c>
      <c r="I76" s="18" t="s">
        <v>45</v>
      </c>
      <c r="J76" s="19">
        <f>SUM(J77:J79)</f>
        <v>2</v>
      </c>
      <c r="K76" s="929" t="s">
        <v>64</v>
      </c>
      <c r="L76" s="929"/>
      <c r="M76" s="1070">
        <v>823</v>
      </c>
    </row>
    <row r="77" spans="1:13" s="10" customFormat="1">
      <c r="A77" s="729"/>
      <c r="B77" s="732"/>
      <c r="C77" s="39" t="s">
        <v>4</v>
      </c>
      <c r="D77" s="41">
        <f>SUM(D82,D87)</f>
        <v>15999.171999999999</v>
      </c>
      <c r="E77" s="41">
        <f>SUM(,E82,E87)</f>
        <v>15999.171200000001</v>
      </c>
      <c r="F77" s="41">
        <f>E77</f>
        <v>15999.171200000001</v>
      </c>
      <c r="G77" s="37">
        <f t="shared" si="5"/>
        <v>0.99999994999741249</v>
      </c>
      <c r="H77" s="735"/>
      <c r="I77" s="18" t="s">
        <v>46</v>
      </c>
      <c r="J77" s="19">
        <f>COUNTIF($J$81:$J$90,"Да")</f>
        <v>2</v>
      </c>
      <c r="K77" s="762"/>
      <c r="L77" s="762"/>
      <c r="M77" s="764"/>
    </row>
    <row r="78" spans="1:13" s="10" customFormat="1">
      <c r="A78" s="729"/>
      <c r="B78" s="732"/>
      <c r="C78" s="39" t="s">
        <v>5</v>
      </c>
      <c r="D78" s="41">
        <v>0</v>
      </c>
      <c r="E78" s="41">
        <f t="shared" ref="E78:E80" si="9">SUM(,E83,E88)</f>
        <v>0</v>
      </c>
      <c r="F78" s="41">
        <f>E78</f>
        <v>0</v>
      </c>
      <c r="G78" s="37">
        <f t="shared" ref="G78:G146" si="10">IFERROR(F78/D78,0)</f>
        <v>0</v>
      </c>
      <c r="H78" s="735"/>
      <c r="I78" s="18" t="s">
        <v>47</v>
      </c>
      <c r="J78" s="19">
        <f>COUNTIF($J$81:$J$90,"Частично")</f>
        <v>0</v>
      </c>
      <c r="K78" s="762"/>
      <c r="L78" s="762"/>
      <c r="M78" s="764"/>
    </row>
    <row r="79" spans="1:13" s="10" customFormat="1">
      <c r="A79" s="729"/>
      <c r="B79" s="732"/>
      <c r="C79" s="39" t="s">
        <v>6</v>
      </c>
      <c r="D79" s="41">
        <v>0</v>
      </c>
      <c r="E79" s="41">
        <f t="shared" si="9"/>
        <v>0</v>
      </c>
      <c r="F79" s="41">
        <f>E79</f>
        <v>0</v>
      </c>
      <c r="G79" s="37">
        <f t="shared" si="10"/>
        <v>0</v>
      </c>
      <c r="H79" s="735"/>
      <c r="I79" s="18" t="s">
        <v>48</v>
      </c>
      <c r="J79" s="19">
        <f>COUNTIF($J$81:$J$90,"Нет")</f>
        <v>0</v>
      </c>
      <c r="K79" s="762"/>
      <c r="L79" s="762"/>
      <c r="M79" s="764"/>
    </row>
    <row r="80" spans="1:13" s="10" customFormat="1">
      <c r="A80" s="730"/>
      <c r="B80" s="733"/>
      <c r="C80" s="39" t="s">
        <v>7</v>
      </c>
      <c r="D80" s="41">
        <v>0</v>
      </c>
      <c r="E80" s="41">
        <f t="shared" si="9"/>
        <v>0</v>
      </c>
      <c r="F80" s="41">
        <f>E80</f>
        <v>0</v>
      </c>
      <c r="G80" s="37">
        <f t="shared" si="10"/>
        <v>0</v>
      </c>
      <c r="H80" s="736"/>
      <c r="I80" s="18" t="s">
        <v>49</v>
      </c>
      <c r="J80" s="20">
        <f>(J77+0.5*J78)/J76</f>
        <v>1</v>
      </c>
      <c r="K80" s="762"/>
      <c r="L80" s="762"/>
      <c r="M80" s="834"/>
    </row>
    <row r="81" spans="1:13" s="220" customFormat="1" ht="15" customHeight="1">
      <c r="A81" s="1084" t="s">
        <v>172</v>
      </c>
      <c r="B81" s="1273" t="s">
        <v>175</v>
      </c>
      <c r="C81" s="181" t="s">
        <v>3</v>
      </c>
      <c r="D81" s="183">
        <f>SUM(D82:D85)</f>
        <v>7999.1719999999996</v>
      </c>
      <c r="E81" s="182">
        <f>SUM(E82:E85)</f>
        <v>7999.1711999999998</v>
      </c>
      <c r="F81" s="182">
        <f>SUM(F82:F85)</f>
        <v>7999.1711999999998</v>
      </c>
      <c r="G81" s="174">
        <f t="shared" si="10"/>
        <v>0.999999899989649</v>
      </c>
      <c r="H81" s="784" t="str">
        <f>'[1]Пр ГП 19-20'!$J$41</f>
        <v xml:space="preserve">Обучение плаванию ежегодно не менее 500 человек </v>
      </c>
      <c r="I81" s="1088" t="s">
        <v>1031</v>
      </c>
      <c r="J81" s="1082" t="s">
        <v>177</v>
      </c>
      <c r="K81" s="726" t="s">
        <v>65</v>
      </c>
      <c r="L81" s="1087"/>
      <c r="M81" s="1281">
        <v>823</v>
      </c>
    </row>
    <row r="82" spans="1:13" s="220" customFormat="1" ht="15" customHeight="1">
      <c r="A82" s="720"/>
      <c r="B82" s="1273"/>
      <c r="C82" s="181" t="s">
        <v>4</v>
      </c>
      <c r="D82" s="183">
        <f>'[9]912-ПП'!F190</f>
        <v>7999.1719999999996</v>
      </c>
      <c r="E82" s="182">
        <f>'[9]2024'!H50</f>
        <v>7999.1711999999998</v>
      </c>
      <c r="F82" s="182">
        <f>E82</f>
        <v>7999.1711999999998</v>
      </c>
      <c r="G82" s="174">
        <f t="shared" si="10"/>
        <v>0.999999899989649</v>
      </c>
      <c r="H82" s="784"/>
      <c r="I82" s="738"/>
      <c r="J82" s="667"/>
      <c r="K82" s="726"/>
      <c r="L82" s="702"/>
      <c r="M82" s="676"/>
    </row>
    <row r="83" spans="1:13" s="220" customFormat="1" ht="15" customHeight="1">
      <c r="A83" s="720"/>
      <c r="B83" s="1273"/>
      <c r="C83" s="181" t="s">
        <v>5</v>
      </c>
      <c r="D83" s="183">
        <v>0</v>
      </c>
      <c r="E83" s="182">
        <v>0</v>
      </c>
      <c r="F83" s="182">
        <v>0</v>
      </c>
      <c r="G83" s="174">
        <f t="shared" si="10"/>
        <v>0</v>
      </c>
      <c r="H83" s="784"/>
      <c r="I83" s="738"/>
      <c r="J83" s="667"/>
      <c r="K83" s="726"/>
      <c r="L83" s="702"/>
      <c r="M83" s="676"/>
    </row>
    <row r="84" spans="1:13" s="220" customFormat="1" ht="15" customHeight="1">
      <c r="A84" s="720"/>
      <c r="B84" s="1273"/>
      <c r="C84" s="181" t="s">
        <v>6</v>
      </c>
      <c r="D84" s="183">
        <v>0</v>
      </c>
      <c r="E84" s="182">
        <v>0</v>
      </c>
      <c r="F84" s="182">
        <v>0</v>
      </c>
      <c r="G84" s="174">
        <f t="shared" si="10"/>
        <v>0</v>
      </c>
      <c r="H84" s="784"/>
      <c r="I84" s="738"/>
      <c r="J84" s="667"/>
      <c r="K84" s="726"/>
      <c r="L84" s="702"/>
      <c r="M84" s="676"/>
    </row>
    <row r="85" spans="1:13" s="220" customFormat="1" ht="15" customHeight="1">
      <c r="A85" s="721"/>
      <c r="B85" s="1273"/>
      <c r="C85" s="181" t="s">
        <v>7</v>
      </c>
      <c r="D85" s="183">
        <v>0</v>
      </c>
      <c r="E85" s="182">
        <v>0</v>
      </c>
      <c r="F85" s="182">
        <v>0</v>
      </c>
      <c r="G85" s="174">
        <f t="shared" si="10"/>
        <v>0</v>
      </c>
      <c r="H85" s="784"/>
      <c r="I85" s="739"/>
      <c r="J85" s="668"/>
      <c r="K85" s="726"/>
      <c r="L85" s="703"/>
      <c r="M85" s="677"/>
    </row>
    <row r="86" spans="1:13" s="220" customFormat="1" ht="28.5" customHeight="1">
      <c r="A86" s="1084" t="s">
        <v>173</v>
      </c>
      <c r="B86" s="1085" t="s">
        <v>158</v>
      </c>
      <c r="C86" s="181" t="s">
        <v>3</v>
      </c>
      <c r="D86" s="183">
        <f>SUM(D87:D90)</f>
        <v>8000</v>
      </c>
      <c r="E86" s="182">
        <f>SUM(E87:E90)</f>
        <v>8000</v>
      </c>
      <c r="F86" s="182">
        <f>SUM(F87:F90)</f>
        <v>8000</v>
      </c>
      <c r="G86" s="174">
        <f t="shared" si="10"/>
        <v>1</v>
      </c>
      <c r="H86" s="1089" t="s">
        <v>91</v>
      </c>
      <c r="I86" s="672" t="s">
        <v>1032</v>
      </c>
      <c r="J86" s="1082" t="s">
        <v>177</v>
      </c>
      <c r="K86" s="1088" t="s">
        <v>65</v>
      </c>
      <c r="L86" s="1087"/>
      <c r="M86" s="1281">
        <v>823</v>
      </c>
    </row>
    <row r="87" spans="1:13" s="220" customFormat="1" ht="23.25" customHeight="1">
      <c r="A87" s="720"/>
      <c r="B87" s="850"/>
      <c r="C87" s="181" t="s">
        <v>4</v>
      </c>
      <c r="D87" s="183">
        <f>'[9]912-ПП'!F197</f>
        <v>8000</v>
      </c>
      <c r="E87" s="182">
        <f>'[9]2024'!H51</f>
        <v>8000</v>
      </c>
      <c r="F87" s="182">
        <f>E87</f>
        <v>8000</v>
      </c>
      <c r="G87" s="174">
        <f t="shared" si="10"/>
        <v>1</v>
      </c>
      <c r="H87" s="723"/>
      <c r="I87" s="673"/>
      <c r="J87" s="667"/>
      <c r="K87" s="738"/>
      <c r="L87" s="702"/>
      <c r="M87" s="676"/>
    </row>
    <row r="88" spans="1:13" s="220" customFormat="1" ht="24.75" customHeight="1">
      <c r="A88" s="720"/>
      <c r="B88" s="850"/>
      <c r="C88" s="181" t="s">
        <v>5</v>
      </c>
      <c r="D88" s="183">
        <v>0</v>
      </c>
      <c r="E88" s="182">
        <v>0</v>
      </c>
      <c r="F88" s="182">
        <v>0</v>
      </c>
      <c r="G88" s="174">
        <f t="shared" si="10"/>
        <v>0</v>
      </c>
      <c r="H88" s="723"/>
      <c r="I88" s="673"/>
      <c r="J88" s="667"/>
      <c r="K88" s="738"/>
      <c r="L88" s="702"/>
      <c r="M88" s="676"/>
    </row>
    <row r="89" spans="1:13" s="220" customFormat="1" ht="25.5" customHeight="1">
      <c r="A89" s="720"/>
      <c r="B89" s="850"/>
      <c r="C89" s="181" t="s">
        <v>6</v>
      </c>
      <c r="D89" s="183">
        <v>0</v>
      </c>
      <c r="E89" s="182">
        <v>0</v>
      </c>
      <c r="F89" s="182">
        <v>0</v>
      </c>
      <c r="G89" s="174">
        <f t="shared" si="10"/>
        <v>0</v>
      </c>
      <c r="H89" s="723"/>
      <c r="I89" s="673"/>
      <c r="J89" s="667"/>
      <c r="K89" s="738"/>
      <c r="L89" s="702"/>
      <c r="M89" s="676"/>
    </row>
    <row r="90" spans="1:13" s="220" customFormat="1" ht="24" customHeight="1">
      <c r="A90" s="721"/>
      <c r="B90" s="851"/>
      <c r="C90" s="181" t="s">
        <v>7</v>
      </c>
      <c r="D90" s="183">
        <v>0</v>
      </c>
      <c r="E90" s="182">
        <v>0</v>
      </c>
      <c r="F90" s="182">
        <v>0</v>
      </c>
      <c r="G90" s="174">
        <f t="shared" si="10"/>
        <v>0</v>
      </c>
      <c r="H90" s="724"/>
      <c r="I90" s="674"/>
      <c r="J90" s="668"/>
      <c r="K90" s="739"/>
      <c r="L90" s="703"/>
      <c r="M90" s="677"/>
    </row>
    <row r="91" spans="1:13" s="10" customFormat="1">
      <c r="A91" s="1102" t="s">
        <v>12</v>
      </c>
      <c r="B91" s="1103" t="s">
        <v>112</v>
      </c>
      <c r="C91" s="44" t="s">
        <v>3</v>
      </c>
      <c r="D91" s="45">
        <f>SUM(D92:D95)</f>
        <v>1432872.82479</v>
      </c>
      <c r="E91" s="45">
        <f>SUM(E92:E95)</f>
        <v>1431540.6142900002</v>
      </c>
      <c r="F91" s="45">
        <f>SUM(F92:F95)</f>
        <v>1431540.6142900002</v>
      </c>
      <c r="G91" s="46">
        <f t="shared" si="10"/>
        <v>0.99907025209987144</v>
      </c>
      <c r="H91" s="1103"/>
      <c r="I91" s="18" t="s">
        <v>45</v>
      </c>
      <c r="J91" s="32">
        <f>SUM(J96,J151,J166)</f>
        <v>14</v>
      </c>
      <c r="K91" s="1104" t="s">
        <v>66</v>
      </c>
      <c r="L91" s="1104"/>
      <c r="M91" s="1075">
        <v>823</v>
      </c>
    </row>
    <row r="92" spans="1:13" s="10" customFormat="1">
      <c r="A92" s="714"/>
      <c r="B92" s="717"/>
      <c r="C92" s="44" t="s">
        <v>4</v>
      </c>
      <c r="D92" s="45">
        <f t="shared" ref="D92:F94" si="11">SUM(D97,D152,D167)</f>
        <v>1403953.97615</v>
      </c>
      <c r="E92" s="45">
        <f t="shared" si="11"/>
        <v>1402621.7656500002</v>
      </c>
      <c r="F92" s="45">
        <f t="shared" si="11"/>
        <v>1402621.7656500002</v>
      </c>
      <c r="G92" s="46">
        <f t="shared" si="10"/>
        <v>0.99905110101710526</v>
      </c>
      <c r="H92" s="717"/>
      <c r="I92" s="18" t="s">
        <v>46</v>
      </c>
      <c r="J92" s="19">
        <f>SUM(J97,J152,J167)</f>
        <v>11</v>
      </c>
      <c r="K92" s="752"/>
      <c r="L92" s="752"/>
      <c r="M92" s="823"/>
    </row>
    <row r="93" spans="1:13" s="10" customFormat="1">
      <c r="A93" s="714"/>
      <c r="B93" s="717"/>
      <c r="C93" s="44" t="s">
        <v>5</v>
      </c>
      <c r="D93" s="45">
        <f t="shared" si="11"/>
        <v>8062.6586400000006</v>
      </c>
      <c r="E93" s="45">
        <f t="shared" si="11"/>
        <v>8062.6586400000006</v>
      </c>
      <c r="F93" s="45">
        <f t="shared" si="11"/>
        <v>8062.6586400000006</v>
      </c>
      <c r="G93" s="46">
        <f t="shared" si="10"/>
        <v>1</v>
      </c>
      <c r="H93" s="717"/>
      <c r="I93" s="18" t="s">
        <v>47</v>
      </c>
      <c r="J93" s="19">
        <f>SUM(J98,J153,J168)</f>
        <v>3</v>
      </c>
      <c r="K93" s="752"/>
      <c r="L93" s="752"/>
      <c r="M93" s="823"/>
    </row>
    <row r="94" spans="1:13" s="10" customFormat="1">
      <c r="A94" s="714"/>
      <c r="B94" s="717"/>
      <c r="C94" s="44" t="s">
        <v>6</v>
      </c>
      <c r="D94" s="45">
        <f t="shared" si="11"/>
        <v>20856.189999999999</v>
      </c>
      <c r="E94" s="45">
        <f t="shared" si="11"/>
        <v>20856.189999999999</v>
      </c>
      <c r="F94" s="45">
        <f t="shared" si="11"/>
        <v>20856.189999999999</v>
      </c>
      <c r="G94" s="46">
        <f t="shared" si="10"/>
        <v>1</v>
      </c>
      <c r="H94" s="717"/>
      <c r="I94" s="18" t="s">
        <v>48</v>
      </c>
      <c r="J94" s="19">
        <f>SUM(J99,J154,J169)</f>
        <v>0</v>
      </c>
      <c r="K94" s="752"/>
      <c r="L94" s="752"/>
      <c r="M94" s="823"/>
    </row>
    <row r="95" spans="1:13" s="10" customFormat="1">
      <c r="A95" s="715"/>
      <c r="B95" s="718"/>
      <c r="C95" s="44" t="s">
        <v>7</v>
      </c>
      <c r="D95" s="45">
        <v>0</v>
      </c>
      <c r="E95" s="45">
        <f>SUM(E100,E155,E170)</f>
        <v>0</v>
      </c>
      <c r="F95" s="45">
        <f>SUM(F100,F155,F170)</f>
        <v>0</v>
      </c>
      <c r="G95" s="46">
        <f t="shared" si="10"/>
        <v>0</v>
      </c>
      <c r="H95" s="718"/>
      <c r="I95" s="18" t="s">
        <v>49</v>
      </c>
      <c r="J95" s="20">
        <f>(J92+0.5*J93)/J91</f>
        <v>0.8928571428571429</v>
      </c>
      <c r="K95" s="752"/>
      <c r="L95" s="752"/>
      <c r="M95" s="892"/>
    </row>
    <row r="96" spans="1:13" s="10" customFormat="1">
      <c r="A96" s="1100" t="s">
        <v>88</v>
      </c>
      <c r="B96" s="1095" t="s">
        <v>113</v>
      </c>
      <c r="C96" s="39" t="s">
        <v>3</v>
      </c>
      <c r="D96" s="40">
        <f>SUM(D97:D100)</f>
        <v>1354435.12928</v>
      </c>
      <c r="E96" s="40">
        <f>SUM(E97:E100)</f>
        <v>1353102.9189900002</v>
      </c>
      <c r="F96" s="40">
        <f>SUM(F97:F100)</f>
        <v>1353102.9189900002</v>
      </c>
      <c r="G96" s="37">
        <f t="shared" si="10"/>
        <v>0.99901640893594656</v>
      </c>
      <c r="H96" s="1101" t="s">
        <v>157</v>
      </c>
      <c r="I96" s="18" t="s">
        <v>45</v>
      </c>
      <c r="J96" s="19">
        <f>SUM(J97:J99)</f>
        <v>10</v>
      </c>
      <c r="K96" s="725" t="s">
        <v>103</v>
      </c>
      <c r="L96" s="929"/>
      <c r="M96" s="1070">
        <v>823</v>
      </c>
    </row>
    <row r="97" spans="1:13" s="10" customFormat="1">
      <c r="A97" s="693"/>
      <c r="B97" s="749"/>
      <c r="C97" s="39" t="s">
        <v>4</v>
      </c>
      <c r="D97" s="40">
        <f>SUM(D102,D107,D112,D117,D122,D132,D137,D142,D147,D127)</f>
        <v>1354435.12928</v>
      </c>
      <c r="E97" s="40">
        <f>SUM(E102,E107,E112,E117,E122,E132,E137,E142,E147,E127)</f>
        <v>1353102.9189900002</v>
      </c>
      <c r="F97" s="40">
        <f>SUM(F102,F107,F112,F117,F122,F132,F137,F142,F147,F127)</f>
        <v>1353102.9189900002</v>
      </c>
      <c r="G97" s="37">
        <f t="shared" si="10"/>
        <v>0.99901640893594656</v>
      </c>
      <c r="H97" s="749"/>
      <c r="I97" s="18" t="s">
        <v>46</v>
      </c>
      <c r="J97" s="19">
        <f>COUNTIF($J$101:$J$150,"Да")</f>
        <v>7</v>
      </c>
      <c r="K97" s="725"/>
      <c r="L97" s="762"/>
      <c r="M97" s="764"/>
    </row>
    <row r="98" spans="1:13" s="10" customFormat="1">
      <c r="A98" s="693"/>
      <c r="B98" s="749"/>
      <c r="C98" s="39" t="s">
        <v>5</v>
      </c>
      <c r="D98" s="40">
        <v>0</v>
      </c>
      <c r="E98" s="40">
        <v>0</v>
      </c>
      <c r="F98" s="40">
        <v>0</v>
      </c>
      <c r="G98" s="37">
        <f t="shared" si="10"/>
        <v>0</v>
      </c>
      <c r="H98" s="749"/>
      <c r="I98" s="18" t="s">
        <v>47</v>
      </c>
      <c r="J98" s="19">
        <f>COUNTIF($J$101:$J$150,"Частично")</f>
        <v>3</v>
      </c>
      <c r="K98" s="725"/>
      <c r="L98" s="762"/>
      <c r="M98" s="764"/>
    </row>
    <row r="99" spans="1:13" s="10" customFormat="1">
      <c r="A99" s="693"/>
      <c r="B99" s="749"/>
      <c r="C99" s="39" t="s">
        <v>6</v>
      </c>
      <c r="D99" s="40">
        <v>0</v>
      </c>
      <c r="E99" s="40">
        <v>0</v>
      </c>
      <c r="F99" s="40">
        <v>0</v>
      </c>
      <c r="G99" s="37">
        <f t="shared" si="10"/>
        <v>0</v>
      </c>
      <c r="H99" s="749"/>
      <c r="I99" s="18" t="s">
        <v>48</v>
      </c>
      <c r="J99" s="19">
        <f>COUNTIF($J$101:$J$150,"Нет")</f>
        <v>0</v>
      </c>
      <c r="K99" s="725"/>
      <c r="L99" s="762"/>
      <c r="M99" s="764"/>
    </row>
    <row r="100" spans="1:13" s="10" customFormat="1">
      <c r="A100" s="694"/>
      <c r="B100" s="750"/>
      <c r="C100" s="39" t="s">
        <v>7</v>
      </c>
      <c r="D100" s="40">
        <v>0</v>
      </c>
      <c r="E100" s="40">
        <v>0</v>
      </c>
      <c r="F100" s="40">
        <v>0</v>
      </c>
      <c r="G100" s="37">
        <f t="shared" si="10"/>
        <v>0</v>
      </c>
      <c r="H100" s="750"/>
      <c r="I100" s="18" t="s">
        <v>49</v>
      </c>
      <c r="J100" s="20">
        <f>(J97+0.5*J98)/J96</f>
        <v>0.85</v>
      </c>
      <c r="K100" s="725"/>
      <c r="L100" s="771"/>
      <c r="M100" s="834"/>
    </row>
    <row r="101" spans="1:13" ht="15" customHeight="1">
      <c r="A101" s="1044" t="s">
        <v>13</v>
      </c>
      <c r="B101" s="1105" t="s">
        <v>14</v>
      </c>
      <c r="C101" s="175" t="s">
        <v>3</v>
      </c>
      <c r="D101" s="185">
        <f>SUM(D102:D105)</f>
        <v>2106.6577000000002</v>
      </c>
      <c r="E101" s="180">
        <f>SUM(E102:E105)</f>
        <v>1495.905</v>
      </c>
      <c r="F101" s="180">
        <f>SUM(F102:F105)</f>
        <v>1495.905</v>
      </c>
      <c r="G101" s="174">
        <f t="shared" si="10"/>
        <v>0.71008450969514403</v>
      </c>
      <c r="H101" s="1106" t="s">
        <v>156</v>
      </c>
      <c r="I101" s="1107" t="s">
        <v>1038</v>
      </c>
      <c r="J101" s="1082" t="s">
        <v>178</v>
      </c>
      <c r="K101" s="1108" t="s">
        <v>89</v>
      </c>
      <c r="L101" s="1367" t="s">
        <v>666</v>
      </c>
      <c r="M101" s="1281">
        <v>823</v>
      </c>
    </row>
    <row r="102" spans="1:13" ht="15" customHeight="1">
      <c r="A102" s="711"/>
      <c r="B102" s="741"/>
      <c r="C102" s="175" t="s">
        <v>4</v>
      </c>
      <c r="D102" s="189">
        <f>'[9]912-ПП'!F225</f>
        <v>2106.6577000000002</v>
      </c>
      <c r="E102" s="183">
        <f>'[9]2024'!H54</f>
        <v>1495.905</v>
      </c>
      <c r="F102" s="183">
        <f>E102</f>
        <v>1495.905</v>
      </c>
      <c r="G102" s="174">
        <f t="shared" si="10"/>
        <v>0.71008450969514403</v>
      </c>
      <c r="H102" s="744"/>
      <c r="I102" s="747"/>
      <c r="J102" s="667"/>
      <c r="K102" s="916"/>
      <c r="L102" s="1368"/>
      <c r="M102" s="676"/>
    </row>
    <row r="103" spans="1:13" ht="15" customHeight="1">
      <c r="A103" s="711"/>
      <c r="B103" s="741"/>
      <c r="C103" s="175" t="s">
        <v>5</v>
      </c>
      <c r="D103" s="183">
        <v>0</v>
      </c>
      <c r="E103" s="183">
        <v>0</v>
      </c>
      <c r="F103" s="183">
        <v>0</v>
      </c>
      <c r="G103" s="174">
        <f t="shared" si="10"/>
        <v>0</v>
      </c>
      <c r="H103" s="744"/>
      <c r="I103" s="747"/>
      <c r="J103" s="667"/>
      <c r="K103" s="916"/>
      <c r="L103" s="1368"/>
      <c r="M103" s="676"/>
    </row>
    <row r="104" spans="1:13" ht="15" customHeight="1">
      <c r="A104" s="711"/>
      <c r="B104" s="741"/>
      <c r="C104" s="175" t="s">
        <v>6</v>
      </c>
      <c r="D104" s="183">
        <v>0</v>
      </c>
      <c r="E104" s="183">
        <v>0</v>
      </c>
      <c r="F104" s="183">
        <v>0</v>
      </c>
      <c r="G104" s="174">
        <f t="shared" si="10"/>
        <v>0</v>
      </c>
      <c r="H104" s="744"/>
      <c r="I104" s="747"/>
      <c r="J104" s="667"/>
      <c r="K104" s="916"/>
      <c r="L104" s="1368"/>
      <c r="M104" s="676"/>
    </row>
    <row r="105" spans="1:13" ht="15" customHeight="1">
      <c r="A105" s="712"/>
      <c r="B105" s="742"/>
      <c r="C105" s="175" t="s">
        <v>7</v>
      </c>
      <c r="D105" s="183">
        <v>0</v>
      </c>
      <c r="E105" s="183">
        <v>0</v>
      </c>
      <c r="F105" s="183">
        <v>0</v>
      </c>
      <c r="G105" s="174">
        <f t="shared" si="10"/>
        <v>0</v>
      </c>
      <c r="H105" s="745"/>
      <c r="I105" s="748"/>
      <c r="J105" s="668"/>
      <c r="K105" s="917"/>
      <c r="L105" s="1369"/>
      <c r="M105" s="677"/>
    </row>
    <row r="106" spans="1:13" ht="22.5" customHeight="1">
      <c r="A106" s="1044" t="s">
        <v>40</v>
      </c>
      <c r="B106" s="1105" t="s">
        <v>114</v>
      </c>
      <c r="C106" s="175" t="s">
        <v>3</v>
      </c>
      <c r="D106" s="645">
        <f>SUM(D107:D110)</f>
        <v>73599.972000000009</v>
      </c>
      <c r="E106" s="180">
        <f>SUM(E107:E110)</f>
        <v>73600</v>
      </c>
      <c r="F106" s="180">
        <f>SUM(F107:F110)</f>
        <v>73600</v>
      </c>
      <c r="G106" s="174">
        <f t="shared" si="10"/>
        <v>1.0000003804349271</v>
      </c>
      <c r="H106" s="1106" t="s">
        <v>90</v>
      </c>
      <c r="I106" s="1088" t="s">
        <v>685</v>
      </c>
      <c r="J106" s="1082" t="s">
        <v>177</v>
      </c>
      <c r="K106" s="672" t="s">
        <v>65</v>
      </c>
      <c r="L106" s="1087"/>
      <c r="M106" s="1281">
        <v>823</v>
      </c>
    </row>
    <row r="107" spans="1:13" ht="23.25" customHeight="1">
      <c r="A107" s="711"/>
      <c r="B107" s="741"/>
      <c r="C107" s="175" t="s">
        <v>4</v>
      </c>
      <c r="D107" s="634">
        <f>'[9]912-ПП'!F232</f>
        <v>73599.972000000009</v>
      </c>
      <c r="E107" s="189">
        <f>'[9]2024'!G56</f>
        <v>73600</v>
      </c>
      <c r="F107" s="189">
        <f>E107</f>
        <v>73600</v>
      </c>
      <c r="G107" s="174">
        <f t="shared" si="10"/>
        <v>1.0000003804349271</v>
      </c>
      <c r="H107" s="744"/>
      <c r="I107" s="782"/>
      <c r="J107" s="667"/>
      <c r="K107" s="673"/>
      <c r="L107" s="702"/>
      <c r="M107" s="676"/>
    </row>
    <row r="108" spans="1:13" ht="24" customHeight="1">
      <c r="A108" s="711"/>
      <c r="B108" s="741"/>
      <c r="C108" s="175" t="s">
        <v>5</v>
      </c>
      <c r="D108" s="183">
        <v>0</v>
      </c>
      <c r="E108" s="183">
        <v>0</v>
      </c>
      <c r="F108" s="183">
        <v>0</v>
      </c>
      <c r="G108" s="174">
        <f t="shared" si="10"/>
        <v>0</v>
      </c>
      <c r="H108" s="744"/>
      <c r="I108" s="782"/>
      <c r="J108" s="667"/>
      <c r="K108" s="673"/>
      <c r="L108" s="702"/>
      <c r="M108" s="676"/>
    </row>
    <row r="109" spans="1:13" ht="24" customHeight="1">
      <c r="A109" s="711"/>
      <c r="B109" s="741"/>
      <c r="C109" s="175" t="s">
        <v>6</v>
      </c>
      <c r="D109" s="183">
        <v>0</v>
      </c>
      <c r="E109" s="183">
        <v>0</v>
      </c>
      <c r="F109" s="183">
        <v>0</v>
      </c>
      <c r="G109" s="174">
        <f t="shared" si="10"/>
        <v>0</v>
      </c>
      <c r="H109" s="744"/>
      <c r="I109" s="782"/>
      <c r="J109" s="667"/>
      <c r="K109" s="673"/>
      <c r="L109" s="702"/>
      <c r="M109" s="676"/>
    </row>
    <row r="110" spans="1:13" ht="25.5" customHeight="1">
      <c r="A110" s="712"/>
      <c r="B110" s="742"/>
      <c r="C110" s="175" t="s">
        <v>7</v>
      </c>
      <c r="D110" s="183">
        <v>0</v>
      </c>
      <c r="E110" s="183">
        <v>0</v>
      </c>
      <c r="F110" s="183">
        <v>0</v>
      </c>
      <c r="G110" s="174">
        <f t="shared" si="10"/>
        <v>0</v>
      </c>
      <c r="H110" s="745"/>
      <c r="I110" s="783"/>
      <c r="J110" s="668"/>
      <c r="K110" s="673"/>
      <c r="L110" s="703"/>
      <c r="M110" s="677"/>
    </row>
    <row r="111" spans="1:13" ht="15" customHeight="1">
      <c r="A111" s="1044" t="s">
        <v>41</v>
      </c>
      <c r="B111" s="1105" t="s">
        <v>36</v>
      </c>
      <c r="C111" s="175" t="s">
        <v>3</v>
      </c>
      <c r="D111" s="180">
        <f>SUM(D112:D115)</f>
        <v>44.82</v>
      </c>
      <c r="E111" s="180">
        <f>SUM(E112:E115)</f>
        <v>32.389000000000003</v>
      </c>
      <c r="F111" s="180">
        <f>SUM(F112:F115)</f>
        <v>32.389000000000003</v>
      </c>
      <c r="G111" s="174">
        <f t="shared" si="10"/>
        <v>0.72264614011601969</v>
      </c>
      <c r="H111" s="1106" t="s">
        <v>75</v>
      </c>
      <c r="I111" s="672" t="s">
        <v>659</v>
      </c>
      <c r="J111" s="1082" t="s">
        <v>178</v>
      </c>
      <c r="K111" s="700" t="s">
        <v>207</v>
      </c>
      <c r="L111" s="1367" t="s">
        <v>666</v>
      </c>
      <c r="M111" s="1281">
        <v>823</v>
      </c>
    </row>
    <row r="112" spans="1:13" ht="15" customHeight="1">
      <c r="A112" s="711"/>
      <c r="B112" s="741"/>
      <c r="C112" s="175" t="s">
        <v>4</v>
      </c>
      <c r="D112" s="189">
        <f>'[9]912-ПП'!F239</f>
        <v>44.82</v>
      </c>
      <c r="E112" s="183">
        <f>'[9]2024'!H57</f>
        <v>32.389000000000003</v>
      </c>
      <c r="F112" s="183">
        <f>E112</f>
        <v>32.389000000000003</v>
      </c>
      <c r="G112" s="174">
        <f t="shared" si="10"/>
        <v>0.72264614011601969</v>
      </c>
      <c r="H112" s="744"/>
      <c r="I112" s="673"/>
      <c r="J112" s="667"/>
      <c r="K112" s="700"/>
      <c r="L112" s="1368"/>
      <c r="M112" s="676"/>
    </row>
    <row r="113" spans="1:13" ht="15" customHeight="1">
      <c r="A113" s="711"/>
      <c r="B113" s="741"/>
      <c r="C113" s="175" t="s">
        <v>5</v>
      </c>
      <c r="D113" s="183">
        <v>0</v>
      </c>
      <c r="E113" s="183">
        <v>0</v>
      </c>
      <c r="F113" s="183">
        <v>0</v>
      </c>
      <c r="G113" s="174">
        <f t="shared" si="10"/>
        <v>0</v>
      </c>
      <c r="H113" s="744"/>
      <c r="I113" s="673"/>
      <c r="J113" s="667"/>
      <c r="K113" s="700"/>
      <c r="L113" s="1368"/>
      <c r="M113" s="676"/>
    </row>
    <row r="114" spans="1:13" ht="15" customHeight="1">
      <c r="A114" s="711"/>
      <c r="B114" s="741"/>
      <c r="C114" s="175" t="s">
        <v>6</v>
      </c>
      <c r="D114" s="183">
        <v>0</v>
      </c>
      <c r="E114" s="183">
        <v>0</v>
      </c>
      <c r="F114" s="183">
        <v>0</v>
      </c>
      <c r="G114" s="174">
        <f t="shared" si="10"/>
        <v>0</v>
      </c>
      <c r="H114" s="744"/>
      <c r="I114" s="673"/>
      <c r="J114" s="667"/>
      <c r="K114" s="700"/>
      <c r="L114" s="1368"/>
      <c r="M114" s="676"/>
    </row>
    <row r="115" spans="1:13" ht="27.75" customHeight="1">
      <c r="A115" s="712"/>
      <c r="B115" s="742"/>
      <c r="C115" s="175" t="s">
        <v>7</v>
      </c>
      <c r="D115" s="183">
        <v>0</v>
      </c>
      <c r="E115" s="183">
        <v>0</v>
      </c>
      <c r="F115" s="183">
        <v>0</v>
      </c>
      <c r="G115" s="174">
        <f t="shared" si="10"/>
        <v>0</v>
      </c>
      <c r="H115" s="745"/>
      <c r="I115" s="674"/>
      <c r="J115" s="668"/>
      <c r="K115" s="700"/>
      <c r="L115" s="1369"/>
      <c r="M115" s="677"/>
    </row>
    <row r="116" spans="1:13" ht="15" customHeight="1">
      <c r="A116" s="1044" t="s">
        <v>42</v>
      </c>
      <c r="B116" s="1105" t="s">
        <v>9</v>
      </c>
      <c r="C116" s="175" t="s">
        <v>3</v>
      </c>
      <c r="D116" s="180">
        <f>SUM(D117:D120)</f>
        <v>1148547.0990199998</v>
      </c>
      <c r="E116" s="183">
        <f>SUM(E117:E120)</f>
        <v>1148547.0989999999</v>
      </c>
      <c r="F116" s="183">
        <f>SUM(F117:F120)</f>
        <v>1148547.0989999999</v>
      </c>
      <c r="G116" s="174">
        <f t="shared" si="10"/>
        <v>0.99999999998258682</v>
      </c>
      <c r="H116" s="1106" t="s">
        <v>76</v>
      </c>
      <c r="I116" s="1087" t="s">
        <v>1058</v>
      </c>
      <c r="J116" s="1082" t="s">
        <v>177</v>
      </c>
      <c r="K116" s="672" t="s">
        <v>208</v>
      </c>
      <c r="L116" s="1087"/>
      <c r="M116" s="1281">
        <v>823</v>
      </c>
    </row>
    <row r="117" spans="1:13" ht="15" customHeight="1">
      <c r="A117" s="711"/>
      <c r="B117" s="741"/>
      <c r="C117" s="175" t="s">
        <v>4</v>
      </c>
      <c r="D117" s="189">
        <f>'[9]912-ПП'!F246</f>
        <v>1148547.0990199998</v>
      </c>
      <c r="E117" s="183">
        <f>'[9]2024'!H69</f>
        <v>1148547.0989999999</v>
      </c>
      <c r="F117" s="183">
        <f>E117</f>
        <v>1148547.0989999999</v>
      </c>
      <c r="G117" s="174">
        <f t="shared" si="10"/>
        <v>0.99999999998258682</v>
      </c>
      <c r="H117" s="744"/>
      <c r="I117" s="702"/>
      <c r="J117" s="667"/>
      <c r="K117" s="673"/>
      <c r="L117" s="702"/>
      <c r="M117" s="676"/>
    </row>
    <row r="118" spans="1:13" ht="15" customHeight="1">
      <c r="A118" s="711"/>
      <c r="B118" s="741"/>
      <c r="C118" s="175" t="s">
        <v>5</v>
      </c>
      <c r="D118" s="183">
        <v>0</v>
      </c>
      <c r="E118" s="183">
        <v>0</v>
      </c>
      <c r="F118" s="183">
        <v>0</v>
      </c>
      <c r="G118" s="174">
        <f t="shared" si="10"/>
        <v>0</v>
      </c>
      <c r="H118" s="744"/>
      <c r="I118" s="702"/>
      <c r="J118" s="667"/>
      <c r="K118" s="673"/>
      <c r="L118" s="702"/>
      <c r="M118" s="676"/>
    </row>
    <row r="119" spans="1:13" ht="15" customHeight="1">
      <c r="A119" s="711"/>
      <c r="B119" s="741"/>
      <c r="C119" s="175" t="s">
        <v>6</v>
      </c>
      <c r="D119" s="183">
        <v>0</v>
      </c>
      <c r="E119" s="183">
        <v>0</v>
      </c>
      <c r="F119" s="183">
        <v>0</v>
      </c>
      <c r="G119" s="174">
        <f t="shared" si="10"/>
        <v>0</v>
      </c>
      <c r="H119" s="744"/>
      <c r="I119" s="702"/>
      <c r="J119" s="667"/>
      <c r="K119" s="673"/>
      <c r="L119" s="702"/>
      <c r="M119" s="676"/>
    </row>
    <row r="120" spans="1:13" ht="25.5" customHeight="1">
      <c r="A120" s="712"/>
      <c r="B120" s="742"/>
      <c r="C120" s="175" t="s">
        <v>7</v>
      </c>
      <c r="D120" s="183">
        <v>0</v>
      </c>
      <c r="E120" s="183">
        <v>0</v>
      </c>
      <c r="F120" s="183">
        <v>0</v>
      </c>
      <c r="G120" s="174">
        <f t="shared" si="10"/>
        <v>0</v>
      </c>
      <c r="H120" s="745"/>
      <c r="I120" s="703"/>
      <c r="J120" s="668"/>
      <c r="K120" s="673"/>
      <c r="L120" s="703"/>
      <c r="M120" s="677"/>
    </row>
    <row r="121" spans="1:13" ht="15" customHeight="1">
      <c r="A121" s="1044" t="s">
        <v>43</v>
      </c>
      <c r="B121" s="1105" t="s">
        <v>213</v>
      </c>
      <c r="C121" s="175" t="s">
        <v>3</v>
      </c>
      <c r="D121" s="180">
        <f>SUM(D122:D125)</f>
        <v>6246.6470600000002</v>
      </c>
      <c r="E121" s="180">
        <f>SUM(E122:E125)</f>
        <v>6122.4911400000001</v>
      </c>
      <c r="F121" s="180">
        <f>SUM(F122:F125)</f>
        <v>6122.4911400000001</v>
      </c>
      <c r="G121" s="174">
        <f t="shared" si="10"/>
        <v>0.9801243901236194</v>
      </c>
      <c r="H121" s="1083" t="s">
        <v>214</v>
      </c>
      <c r="I121" s="1087" t="s">
        <v>215</v>
      </c>
      <c r="J121" s="1082" t="s">
        <v>177</v>
      </c>
      <c r="K121" s="672" t="s">
        <v>208</v>
      </c>
      <c r="L121" s="1087"/>
      <c r="M121" s="1281">
        <v>823</v>
      </c>
    </row>
    <row r="122" spans="1:13" ht="15" customHeight="1">
      <c r="A122" s="711"/>
      <c r="B122" s="741"/>
      <c r="C122" s="175" t="s">
        <v>4</v>
      </c>
      <c r="D122" s="189">
        <f>[9]Документ!R134</f>
        <v>6246.6470600000002</v>
      </c>
      <c r="E122" s="183">
        <f>[9]Документ!R135</f>
        <v>6122.4911400000001</v>
      </c>
      <c r="F122" s="183">
        <f>E122</f>
        <v>6122.4911400000001</v>
      </c>
      <c r="G122" s="174">
        <f t="shared" si="10"/>
        <v>0.9801243901236194</v>
      </c>
      <c r="H122" s="773"/>
      <c r="I122" s="702"/>
      <c r="J122" s="667"/>
      <c r="K122" s="673"/>
      <c r="L122" s="702"/>
      <c r="M122" s="676"/>
    </row>
    <row r="123" spans="1:13" ht="15" customHeight="1">
      <c r="A123" s="711"/>
      <c r="B123" s="741"/>
      <c r="C123" s="175" t="s">
        <v>5</v>
      </c>
      <c r="D123" s="183">
        <v>0</v>
      </c>
      <c r="E123" s="183">
        <v>0</v>
      </c>
      <c r="F123" s="183">
        <v>0</v>
      </c>
      <c r="G123" s="174">
        <f t="shared" si="10"/>
        <v>0</v>
      </c>
      <c r="H123" s="773"/>
      <c r="I123" s="702"/>
      <c r="J123" s="667"/>
      <c r="K123" s="673"/>
      <c r="L123" s="702"/>
      <c r="M123" s="676"/>
    </row>
    <row r="124" spans="1:13" ht="15" customHeight="1">
      <c r="A124" s="711"/>
      <c r="B124" s="741"/>
      <c r="C124" s="175" t="s">
        <v>6</v>
      </c>
      <c r="D124" s="183">
        <v>0</v>
      </c>
      <c r="E124" s="183">
        <v>0</v>
      </c>
      <c r="F124" s="183">
        <v>0</v>
      </c>
      <c r="G124" s="174">
        <f t="shared" si="10"/>
        <v>0</v>
      </c>
      <c r="H124" s="773"/>
      <c r="I124" s="702"/>
      <c r="J124" s="667"/>
      <c r="K124" s="673"/>
      <c r="L124" s="702"/>
      <c r="M124" s="676"/>
    </row>
    <row r="125" spans="1:13" ht="20.25" customHeight="1">
      <c r="A125" s="712"/>
      <c r="B125" s="742"/>
      <c r="C125" s="175" t="s">
        <v>7</v>
      </c>
      <c r="D125" s="183">
        <v>0</v>
      </c>
      <c r="E125" s="183">
        <v>0</v>
      </c>
      <c r="F125" s="183">
        <v>0</v>
      </c>
      <c r="G125" s="174">
        <f t="shared" si="10"/>
        <v>0</v>
      </c>
      <c r="H125" s="774"/>
      <c r="I125" s="703"/>
      <c r="J125" s="668"/>
      <c r="K125" s="673"/>
      <c r="L125" s="703"/>
      <c r="M125" s="677"/>
    </row>
    <row r="126" spans="1:13" ht="20.25" customHeight="1">
      <c r="A126" s="1044" t="s">
        <v>704</v>
      </c>
      <c r="B126" s="1105" t="s">
        <v>330</v>
      </c>
      <c r="C126" s="175" t="s">
        <v>3</v>
      </c>
      <c r="D126" s="183">
        <f>SUM(D127:D130)</f>
        <v>118.58799999999999</v>
      </c>
      <c r="E126" s="183">
        <f>SUM(E127:E130)</f>
        <v>118.58896</v>
      </c>
      <c r="F126" s="183">
        <f>SUM(F127:F130)</f>
        <v>118.58896</v>
      </c>
      <c r="G126" s="174">
        <f t="shared" si="10"/>
        <v>1.0000080952541572</v>
      </c>
      <c r="H126" s="1045" t="s">
        <v>331</v>
      </c>
      <c r="I126" s="1087" t="s">
        <v>215</v>
      </c>
      <c r="J126" s="666" t="s">
        <v>177</v>
      </c>
      <c r="K126" s="700" t="s">
        <v>332</v>
      </c>
      <c r="L126" s="638"/>
      <c r="M126" s="1281">
        <v>823</v>
      </c>
    </row>
    <row r="127" spans="1:13" ht="20.25" customHeight="1">
      <c r="A127" s="711"/>
      <c r="B127" s="741"/>
      <c r="C127" s="175" t="s">
        <v>4</v>
      </c>
      <c r="D127" s="183">
        <f>'[9]912-ПП'!F274</f>
        <v>118.58799999999999</v>
      </c>
      <c r="E127" s="183">
        <f>'[9]2024'!H81</f>
        <v>118.58896</v>
      </c>
      <c r="F127" s="183">
        <f>E127</f>
        <v>118.58896</v>
      </c>
      <c r="G127" s="174">
        <f t="shared" si="10"/>
        <v>1.0000080952541572</v>
      </c>
      <c r="H127" s="817"/>
      <c r="I127" s="702"/>
      <c r="J127" s="667"/>
      <c r="K127" s="700"/>
      <c r="L127" s="638"/>
      <c r="M127" s="676"/>
    </row>
    <row r="128" spans="1:13" ht="20.25" customHeight="1">
      <c r="A128" s="711"/>
      <c r="B128" s="741"/>
      <c r="C128" s="175" t="s">
        <v>5</v>
      </c>
      <c r="D128" s="183">
        <v>0</v>
      </c>
      <c r="E128" s="183">
        <v>0</v>
      </c>
      <c r="F128" s="183">
        <v>0</v>
      </c>
      <c r="G128" s="174">
        <f t="shared" si="10"/>
        <v>0</v>
      </c>
      <c r="H128" s="817"/>
      <c r="I128" s="702"/>
      <c r="J128" s="667"/>
      <c r="K128" s="700"/>
      <c r="L128" s="638"/>
      <c r="M128" s="676"/>
    </row>
    <row r="129" spans="1:13" ht="20.25" customHeight="1">
      <c r="A129" s="711"/>
      <c r="B129" s="741"/>
      <c r="C129" s="175" t="s">
        <v>6</v>
      </c>
      <c r="D129" s="183">
        <v>0</v>
      </c>
      <c r="E129" s="183">
        <v>0</v>
      </c>
      <c r="F129" s="183">
        <v>0</v>
      </c>
      <c r="G129" s="174">
        <f t="shared" si="10"/>
        <v>0</v>
      </c>
      <c r="H129" s="817"/>
      <c r="I129" s="702"/>
      <c r="J129" s="667"/>
      <c r="K129" s="700"/>
      <c r="L129" s="638"/>
      <c r="M129" s="676"/>
    </row>
    <row r="130" spans="1:13" ht="20.25" customHeight="1">
      <c r="A130" s="712"/>
      <c r="B130" s="742"/>
      <c r="C130" s="175" t="s">
        <v>7</v>
      </c>
      <c r="D130" s="183">
        <v>0</v>
      </c>
      <c r="E130" s="183">
        <v>0</v>
      </c>
      <c r="F130" s="183">
        <v>0</v>
      </c>
      <c r="G130" s="174">
        <f t="shared" si="10"/>
        <v>0</v>
      </c>
      <c r="H130" s="876"/>
      <c r="I130" s="703"/>
      <c r="J130" s="668"/>
      <c r="K130" s="700"/>
      <c r="L130" s="638"/>
      <c r="M130" s="677"/>
    </row>
    <row r="131" spans="1:13" ht="15" customHeight="1">
      <c r="A131" s="868" t="s">
        <v>115</v>
      </c>
      <c r="B131" s="1110" t="s">
        <v>155</v>
      </c>
      <c r="C131" s="642" t="s">
        <v>3</v>
      </c>
      <c r="D131" s="191">
        <f>SUM(D132:D135)</f>
        <v>7144.6274999999996</v>
      </c>
      <c r="E131" s="192">
        <f>SUM(E132:E135)</f>
        <v>6797.4828799999996</v>
      </c>
      <c r="F131" s="192">
        <f>SUM(F132:F135)</f>
        <v>6797.4828799999996</v>
      </c>
      <c r="G131" s="174">
        <f t="shared" si="10"/>
        <v>0.95141179578641433</v>
      </c>
      <c r="H131" s="1110" t="s">
        <v>155</v>
      </c>
      <c r="I131" s="672" t="s">
        <v>688</v>
      </c>
      <c r="J131" s="669" t="s">
        <v>177</v>
      </c>
      <c r="K131" s="1108" t="s">
        <v>10</v>
      </c>
      <c r="L131" s="1087"/>
      <c r="M131" s="1281">
        <v>823</v>
      </c>
    </row>
    <row r="132" spans="1:13" ht="15" customHeight="1">
      <c r="A132" s="868"/>
      <c r="B132" s="858"/>
      <c r="C132" s="642" t="s">
        <v>4</v>
      </c>
      <c r="D132" s="191">
        <f>'[9]912-ПП'!F295</f>
        <v>7144.6274999999996</v>
      </c>
      <c r="E132" s="192">
        <f>'[9]2024'!H86</f>
        <v>6797.4828799999996</v>
      </c>
      <c r="F132" s="192">
        <f>E132</f>
        <v>6797.4828799999996</v>
      </c>
      <c r="G132" s="174">
        <f t="shared" si="10"/>
        <v>0.95141179578641433</v>
      </c>
      <c r="H132" s="858"/>
      <c r="I132" s="667"/>
      <c r="J132" s="670"/>
      <c r="K132" s="667"/>
      <c r="L132" s="702"/>
      <c r="M132" s="676"/>
    </row>
    <row r="133" spans="1:13" ht="15" customHeight="1">
      <c r="A133" s="868"/>
      <c r="B133" s="858"/>
      <c r="C133" s="642" t="s">
        <v>5</v>
      </c>
      <c r="D133" s="191">
        <v>0</v>
      </c>
      <c r="E133" s="192">
        <v>0</v>
      </c>
      <c r="F133" s="192">
        <v>0</v>
      </c>
      <c r="G133" s="174">
        <f t="shared" si="10"/>
        <v>0</v>
      </c>
      <c r="H133" s="858"/>
      <c r="I133" s="667"/>
      <c r="J133" s="670"/>
      <c r="K133" s="667"/>
      <c r="L133" s="702"/>
      <c r="M133" s="676"/>
    </row>
    <row r="134" spans="1:13" ht="15" customHeight="1">
      <c r="A134" s="868"/>
      <c r="B134" s="858"/>
      <c r="C134" s="642" t="s">
        <v>6</v>
      </c>
      <c r="D134" s="191">
        <v>0</v>
      </c>
      <c r="E134" s="192">
        <v>0</v>
      </c>
      <c r="F134" s="192">
        <v>0</v>
      </c>
      <c r="G134" s="174">
        <f t="shared" si="10"/>
        <v>0</v>
      </c>
      <c r="H134" s="858"/>
      <c r="I134" s="667"/>
      <c r="J134" s="670"/>
      <c r="K134" s="667"/>
      <c r="L134" s="702"/>
      <c r="M134" s="676"/>
    </row>
    <row r="135" spans="1:13" ht="15" customHeight="1">
      <c r="A135" s="868"/>
      <c r="B135" s="859"/>
      <c r="C135" s="642" t="s">
        <v>7</v>
      </c>
      <c r="D135" s="191">
        <v>0</v>
      </c>
      <c r="E135" s="192">
        <v>0</v>
      </c>
      <c r="F135" s="192">
        <v>0</v>
      </c>
      <c r="G135" s="174">
        <f t="shared" si="10"/>
        <v>0</v>
      </c>
      <c r="H135" s="859"/>
      <c r="I135" s="668"/>
      <c r="J135" s="671"/>
      <c r="K135" s="668"/>
      <c r="L135" s="703"/>
      <c r="M135" s="677"/>
    </row>
    <row r="136" spans="1:13" ht="15">
      <c r="A136" s="1110" t="s">
        <v>117</v>
      </c>
      <c r="B136" s="1110" t="s">
        <v>118</v>
      </c>
      <c r="C136" s="642" t="s">
        <v>3</v>
      </c>
      <c r="D136" s="191">
        <f>SUM(D137:D140)</f>
        <v>35831</v>
      </c>
      <c r="E136" s="192">
        <f>SUM(E137:E140)</f>
        <v>35830.991009999998</v>
      </c>
      <c r="F136" s="192">
        <f>SUM(F137:F140)</f>
        <v>35830.991009999998</v>
      </c>
      <c r="G136" s="174">
        <f t="shared" si="10"/>
        <v>0.99999974909994138</v>
      </c>
      <c r="H136" s="1083" t="s">
        <v>118</v>
      </c>
      <c r="I136" s="672" t="s">
        <v>1059</v>
      </c>
      <c r="J136" s="669" t="s">
        <v>177</v>
      </c>
      <c r="K136" s="1108" t="s">
        <v>140</v>
      </c>
      <c r="L136" s="672"/>
      <c r="M136" s="1281">
        <v>823</v>
      </c>
    </row>
    <row r="137" spans="1:13" ht="15">
      <c r="A137" s="858"/>
      <c r="B137" s="858"/>
      <c r="C137" s="642" t="s">
        <v>4</v>
      </c>
      <c r="D137" s="191">
        <f>'[9]912-ПП'!F323</f>
        <v>35831</v>
      </c>
      <c r="E137" s="192">
        <f>'[9]2024'!H71</f>
        <v>35830.991009999998</v>
      </c>
      <c r="F137" s="192">
        <f>E137</f>
        <v>35830.991009999998</v>
      </c>
      <c r="G137" s="174">
        <f t="shared" si="10"/>
        <v>0.99999974909994138</v>
      </c>
      <c r="H137" s="852"/>
      <c r="I137" s="667"/>
      <c r="J137" s="667"/>
      <c r="K137" s="667"/>
      <c r="L137" s="667"/>
      <c r="M137" s="676"/>
    </row>
    <row r="138" spans="1:13" ht="15">
      <c r="A138" s="858"/>
      <c r="B138" s="858"/>
      <c r="C138" s="642" t="s">
        <v>5</v>
      </c>
      <c r="D138" s="191">
        <v>0</v>
      </c>
      <c r="E138" s="192">
        <v>0</v>
      </c>
      <c r="F138" s="192">
        <v>0</v>
      </c>
      <c r="G138" s="174">
        <f t="shared" si="10"/>
        <v>0</v>
      </c>
      <c r="H138" s="852"/>
      <c r="I138" s="667"/>
      <c r="J138" s="667"/>
      <c r="K138" s="667"/>
      <c r="L138" s="667"/>
      <c r="M138" s="676"/>
    </row>
    <row r="139" spans="1:13" ht="15">
      <c r="A139" s="858"/>
      <c r="B139" s="858"/>
      <c r="C139" s="642" t="s">
        <v>6</v>
      </c>
      <c r="D139" s="191">
        <v>0</v>
      </c>
      <c r="E139" s="192">
        <v>0</v>
      </c>
      <c r="F139" s="192">
        <v>0</v>
      </c>
      <c r="G139" s="174">
        <f t="shared" si="10"/>
        <v>0</v>
      </c>
      <c r="H139" s="852"/>
      <c r="I139" s="667"/>
      <c r="J139" s="667"/>
      <c r="K139" s="667"/>
      <c r="L139" s="667"/>
      <c r="M139" s="676"/>
    </row>
    <row r="140" spans="1:13" ht="15">
      <c r="A140" s="859"/>
      <c r="B140" s="859"/>
      <c r="C140" s="642" t="s">
        <v>7</v>
      </c>
      <c r="D140" s="191">
        <v>0</v>
      </c>
      <c r="E140" s="192">
        <v>0</v>
      </c>
      <c r="F140" s="192">
        <v>0</v>
      </c>
      <c r="G140" s="174">
        <f t="shared" si="10"/>
        <v>0</v>
      </c>
      <c r="H140" s="853"/>
      <c r="I140" s="668"/>
      <c r="J140" s="668"/>
      <c r="K140" s="668"/>
      <c r="L140" s="668"/>
      <c r="M140" s="677"/>
    </row>
    <row r="141" spans="1:13" ht="15" customHeight="1">
      <c r="A141" s="1110" t="s">
        <v>152</v>
      </c>
      <c r="B141" s="1110" t="s">
        <v>151</v>
      </c>
      <c r="C141" s="642" t="s">
        <v>3</v>
      </c>
      <c r="D141" s="191">
        <f>SUM(D142:D145)</f>
        <v>795.71800000000007</v>
      </c>
      <c r="E141" s="192">
        <f>SUM(E142:E145)</f>
        <v>557.97199999999998</v>
      </c>
      <c r="F141" s="192">
        <f>SUM(F142:F145)</f>
        <v>557.97199999999998</v>
      </c>
      <c r="G141" s="174">
        <f t="shared" si="10"/>
        <v>0.70121827079442711</v>
      </c>
      <c r="H141" s="1083" t="s">
        <v>150</v>
      </c>
      <c r="I141" s="672" t="s">
        <v>665</v>
      </c>
      <c r="J141" s="1082" t="s">
        <v>178</v>
      </c>
      <c r="K141" s="1108" t="s">
        <v>10</v>
      </c>
      <c r="L141" s="1367" t="s">
        <v>666</v>
      </c>
      <c r="M141" s="1281">
        <v>823</v>
      </c>
    </row>
    <row r="142" spans="1:13" ht="15" customHeight="1">
      <c r="A142" s="858"/>
      <c r="B142" s="858"/>
      <c r="C142" s="642" t="s">
        <v>4</v>
      </c>
      <c r="D142" s="191">
        <f>'[9]912-ПП'!F365</f>
        <v>795.71800000000007</v>
      </c>
      <c r="E142" s="192">
        <f>'[9]2024'!H85</f>
        <v>557.97199999999998</v>
      </c>
      <c r="F142" s="192">
        <f>E142</f>
        <v>557.97199999999998</v>
      </c>
      <c r="G142" s="174">
        <f t="shared" si="10"/>
        <v>0.70121827079442711</v>
      </c>
      <c r="H142" s="852"/>
      <c r="I142" s="667"/>
      <c r="J142" s="667"/>
      <c r="K142" s="667"/>
      <c r="L142" s="1368"/>
      <c r="M142" s="676"/>
    </row>
    <row r="143" spans="1:13" ht="15" customHeight="1">
      <c r="A143" s="858"/>
      <c r="B143" s="858"/>
      <c r="C143" s="642" t="s">
        <v>5</v>
      </c>
      <c r="D143" s="191">
        <v>0</v>
      </c>
      <c r="E143" s="192">
        <v>0</v>
      </c>
      <c r="F143" s="192">
        <v>0</v>
      </c>
      <c r="G143" s="174">
        <f t="shared" si="10"/>
        <v>0</v>
      </c>
      <c r="H143" s="852"/>
      <c r="I143" s="667"/>
      <c r="J143" s="667"/>
      <c r="K143" s="667"/>
      <c r="L143" s="1368"/>
      <c r="M143" s="676"/>
    </row>
    <row r="144" spans="1:13" ht="15" customHeight="1">
      <c r="A144" s="858"/>
      <c r="B144" s="858"/>
      <c r="C144" s="642" t="s">
        <v>6</v>
      </c>
      <c r="D144" s="191">
        <v>0</v>
      </c>
      <c r="E144" s="192">
        <v>0</v>
      </c>
      <c r="F144" s="192">
        <v>0</v>
      </c>
      <c r="G144" s="174">
        <f t="shared" si="10"/>
        <v>0</v>
      </c>
      <c r="H144" s="852"/>
      <c r="I144" s="667"/>
      <c r="J144" s="667"/>
      <c r="K144" s="667"/>
      <c r="L144" s="1368"/>
      <c r="M144" s="676"/>
    </row>
    <row r="145" spans="1:13" ht="15" customHeight="1">
      <c r="A145" s="859"/>
      <c r="B145" s="859"/>
      <c r="C145" s="642" t="s">
        <v>7</v>
      </c>
      <c r="D145" s="191">
        <v>0</v>
      </c>
      <c r="E145" s="192">
        <v>0</v>
      </c>
      <c r="F145" s="192">
        <v>0</v>
      </c>
      <c r="G145" s="174">
        <f t="shared" si="10"/>
        <v>0</v>
      </c>
      <c r="H145" s="853"/>
      <c r="I145" s="668"/>
      <c r="J145" s="668"/>
      <c r="K145" s="668"/>
      <c r="L145" s="1369"/>
      <c r="M145" s="677"/>
    </row>
    <row r="146" spans="1:13" ht="22.5" customHeight="1">
      <c r="A146" s="1110" t="s">
        <v>369</v>
      </c>
      <c r="B146" s="1119" t="s">
        <v>370</v>
      </c>
      <c r="C146" s="642" t="s">
        <v>3</v>
      </c>
      <c r="D146" s="191">
        <f>SUM(D147:D150)</f>
        <v>80000</v>
      </c>
      <c r="E146" s="192">
        <f>SUM(E147:E150)</f>
        <v>80000</v>
      </c>
      <c r="F146" s="192">
        <f>SUM(F147:F150)</f>
        <v>80000</v>
      </c>
      <c r="G146" s="174">
        <f t="shared" si="10"/>
        <v>1</v>
      </c>
      <c r="H146" s="1083" t="s">
        <v>372</v>
      </c>
      <c r="I146" s="672" t="s">
        <v>1033</v>
      </c>
      <c r="J146" s="669" t="s">
        <v>177</v>
      </c>
      <c r="K146" s="1108" t="s">
        <v>149</v>
      </c>
      <c r="L146" s="1087"/>
      <c r="M146" s="1281">
        <v>823</v>
      </c>
    </row>
    <row r="147" spans="1:13" ht="23.25" customHeight="1">
      <c r="A147" s="858"/>
      <c r="B147" s="855"/>
      <c r="C147" s="642" t="s">
        <v>4</v>
      </c>
      <c r="D147" s="191">
        <f>'[9]912-ПП'!F372</f>
        <v>80000</v>
      </c>
      <c r="E147" s="192">
        <f>'[9]2024'!H84</f>
        <v>80000</v>
      </c>
      <c r="F147" s="192">
        <f>E147</f>
        <v>80000</v>
      </c>
      <c r="G147" s="174">
        <f t="shared" ref="G147:G222" si="12">IFERROR(F147/D147,0)</f>
        <v>1</v>
      </c>
      <c r="H147" s="852"/>
      <c r="I147" s="667"/>
      <c r="J147" s="670"/>
      <c r="K147" s="667"/>
      <c r="L147" s="702"/>
      <c r="M147" s="676"/>
    </row>
    <row r="148" spans="1:13" ht="21" customHeight="1">
      <c r="A148" s="858"/>
      <c r="B148" s="855"/>
      <c r="C148" s="642" t="s">
        <v>5</v>
      </c>
      <c r="D148" s="191">
        <v>0</v>
      </c>
      <c r="E148" s="192">
        <v>0</v>
      </c>
      <c r="F148" s="192">
        <v>0</v>
      </c>
      <c r="G148" s="174">
        <f t="shared" si="12"/>
        <v>0</v>
      </c>
      <c r="H148" s="852"/>
      <c r="I148" s="667"/>
      <c r="J148" s="670"/>
      <c r="K148" s="667"/>
      <c r="L148" s="702"/>
      <c r="M148" s="676"/>
    </row>
    <row r="149" spans="1:13" ht="22.5" customHeight="1">
      <c r="A149" s="858"/>
      <c r="B149" s="855"/>
      <c r="C149" s="642" t="s">
        <v>6</v>
      </c>
      <c r="D149" s="191">
        <v>0</v>
      </c>
      <c r="E149" s="192">
        <v>0</v>
      </c>
      <c r="F149" s="192">
        <v>0</v>
      </c>
      <c r="G149" s="174">
        <f t="shared" si="12"/>
        <v>0</v>
      </c>
      <c r="H149" s="852"/>
      <c r="I149" s="667"/>
      <c r="J149" s="670"/>
      <c r="K149" s="667"/>
      <c r="L149" s="702"/>
      <c r="M149" s="676"/>
    </row>
    <row r="150" spans="1:13" ht="23.25" customHeight="1">
      <c r="A150" s="859"/>
      <c r="B150" s="856"/>
      <c r="C150" s="642" t="s">
        <v>7</v>
      </c>
      <c r="D150" s="191">
        <v>0</v>
      </c>
      <c r="E150" s="192">
        <v>0</v>
      </c>
      <c r="F150" s="192">
        <v>0</v>
      </c>
      <c r="G150" s="174">
        <f t="shared" si="12"/>
        <v>0</v>
      </c>
      <c r="H150" s="853"/>
      <c r="I150" s="668"/>
      <c r="J150" s="671"/>
      <c r="K150" s="668"/>
      <c r="L150" s="703"/>
      <c r="M150" s="677"/>
    </row>
    <row r="151" spans="1:13" s="10" customFormat="1" ht="25.5" customHeight="1">
      <c r="A151" s="1067" t="s">
        <v>38</v>
      </c>
      <c r="B151" s="1116" t="s">
        <v>119</v>
      </c>
      <c r="C151" s="39" t="s">
        <v>3</v>
      </c>
      <c r="D151" s="59">
        <f>SUM(D152:D155)</f>
        <v>68656.19</v>
      </c>
      <c r="E151" s="55">
        <f>SUM(E152:E155)</f>
        <v>68656.19</v>
      </c>
      <c r="F151" s="55">
        <f>SUM(F152:F155)</f>
        <v>68656.19</v>
      </c>
      <c r="G151" s="37">
        <f t="shared" si="12"/>
        <v>1</v>
      </c>
      <c r="H151" s="1117" t="s">
        <v>148</v>
      </c>
      <c r="I151" s="18" t="s">
        <v>45</v>
      </c>
      <c r="J151" s="19">
        <v>2</v>
      </c>
      <c r="K151" s="725" t="s">
        <v>67</v>
      </c>
      <c r="L151" s="909"/>
      <c r="M151" s="1070">
        <v>823</v>
      </c>
    </row>
    <row r="152" spans="1:13" s="10" customFormat="1" ht="24.75" customHeight="1">
      <c r="A152" s="842"/>
      <c r="B152" s="864"/>
      <c r="C152" s="39" t="s">
        <v>4</v>
      </c>
      <c r="D152" s="41">
        <f t="shared" ref="D152:E154" si="13">SUM(D157,D162)</f>
        <v>47800</v>
      </c>
      <c r="E152" s="41">
        <f t="shared" si="13"/>
        <v>47800</v>
      </c>
      <c r="F152" s="41">
        <f>E152</f>
        <v>47800</v>
      </c>
      <c r="G152" s="37">
        <f t="shared" si="12"/>
        <v>1</v>
      </c>
      <c r="H152" s="861"/>
      <c r="I152" s="18" t="s">
        <v>46</v>
      </c>
      <c r="J152" s="19">
        <v>2</v>
      </c>
      <c r="K152" s="725"/>
      <c r="L152" s="909"/>
      <c r="M152" s="764"/>
    </row>
    <row r="153" spans="1:13" s="10" customFormat="1" ht="22.5" customHeight="1">
      <c r="A153" s="842"/>
      <c r="B153" s="864"/>
      <c r="C153" s="39" t="s">
        <v>5</v>
      </c>
      <c r="D153" s="41">
        <f t="shared" si="13"/>
        <v>0</v>
      </c>
      <c r="E153" s="41">
        <f t="shared" si="13"/>
        <v>0</v>
      </c>
      <c r="F153" s="41">
        <f>E153</f>
        <v>0</v>
      </c>
      <c r="G153" s="37">
        <f t="shared" si="12"/>
        <v>0</v>
      </c>
      <c r="H153" s="861"/>
      <c r="I153" s="18" t="s">
        <v>47</v>
      </c>
      <c r="J153" s="19">
        <v>0</v>
      </c>
      <c r="K153" s="725"/>
      <c r="L153" s="909"/>
      <c r="M153" s="764"/>
    </row>
    <row r="154" spans="1:13" s="10" customFormat="1" ht="23.25" customHeight="1">
      <c r="A154" s="842"/>
      <c r="B154" s="864"/>
      <c r="C154" s="39" t="s">
        <v>6</v>
      </c>
      <c r="D154" s="41">
        <f t="shared" si="13"/>
        <v>20856.189999999999</v>
      </c>
      <c r="E154" s="41">
        <f t="shared" si="13"/>
        <v>20856.189999999999</v>
      </c>
      <c r="F154" s="41">
        <f>E154</f>
        <v>20856.189999999999</v>
      </c>
      <c r="G154" s="37">
        <f t="shared" si="12"/>
        <v>1</v>
      </c>
      <c r="H154" s="861"/>
      <c r="I154" s="18" t="s">
        <v>48</v>
      </c>
      <c r="J154" s="19">
        <v>0</v>
      </c>
      <c r="K154" s="725"/>
      <c r="L154" s="909"/>
      <c r="M154" s="764"/>
    </row>
    <row r="155" spans="1:13" s="10" customFormat="1" ht="22.5" customHeight="1">
      <c r="A155" s="843"/>
      <c r="B155" s="865"/>
      <c r="C155" s="39" t="s">
        <v>7</v>
      </c>
      <c r="D155" s="41">
        <v>0</v>
      </c>
      <c r="E155" s="41">
        <v>0</v>
      </c>
      <c r="F155" s="41">
        <v>0</v>
      </c>
      <c r="G155" s="37">
        <f t="shared" si="12"/>
        <v>0</v>
      </c>
      <c r="H155" s="862"/>
      <c r="I155" s="18" t="s">
        <v>49</v>
      </c>
      <c r="J155" s="20">
        <f>(J152+0.5*J153)/J151</f>
        <v>1</v>
      </c>
      <c r="K155" s="725"/>
      <c r="L155" s="909"/>
      <c r="M155" s="834"/>
    </row>
    <row r="156" spans="1:13" ht="15" customHeight="1">
      <c r="A156" s="1044" t="s">
        <v>15</v>
      </c>
      <c r="B156" s="1079" t="s">
        <v>120</v>
      </c>
      <c r="C156" s="175" t="s">
        <v>3</v>
      </c>
      <c r="D156" s="185">
        <f>SUM(D157:D160)</f>
        <v>10666.666669999999</v>
      </c>
      <c r="E156" s="180">
        <f>SUM(E157:E160)</f>
        <v>10666.666669999999</v>
      </c>
      <c r="F156" s="180">
        <f>SUM(F157:F160)</f>
        <v>10666.666669999999</v>
      </c>
      <c r="G156" s="174">
        <f t="shared" si="12"/>
        <v>1</v>
      </c>
      <c r="H156" s="1083" t="s">
        <v>77</v>
      </c>
      <c r="I156" s="1361" t="s">
        <v>1066</v>
      </c>
      <c r="J156" s="1082" t="s">
        <v>177</v>
      </c>
      <c r="K156" s="666" t="s">
        <v>92</v>
      </c>
      <c r="L156" s="1087"/>
      <c r="M156" s="1281">
        <v>823</v>
      </c>
    </row>
    <row r="157" spans="1:13" ht="15" customHeight="1">
      <c r="A157" s="711"/>
      <c r="B157" s="866"/>
      <c r="C157" s="175" t="s">
        <v>4</v>
      </c>
      <c r="D157" s="182">
        <f>'[9]912-ПП'!F386</f>
        <v>6400</v>
      </c>
      <c r="E157" s="182">
        <f>[9]Документ!R172</f>
        <v>6400</v>
      </c>
      <c r="F157" s="182">
        <f>E157</f>
        <v>6400</v>
      </c>
      <c r="G157" s="174">
        <f t="shared" si="12"/>
        <v>1</v>
      </c>
      <c r="H157" s="773"/>
      <c r="I157" s="1362"/>
      <c r="J157" s="667"/>
      <c r="K157" s="667"/>
      <c r="L157" s="702"/>
      <c r="M157" s="676"/>
    </row>
    <row r="158" spans="1:13" ht="19.5" customHeight="1">
      <c r="A158" s="711"/>
      <c r="B158" s="866"/>
      <c r="C158" s="175" t="s">
        <v>5</v>
      </c>
      <c r="D158" s="183">
        <v>0</v>
      </c>
      <c r="E158" s="182">
        <v>0</v>
      </c>
      <c r="F158" s="182">
        <v>0</v>
      </c>
      <c r="G158" s="174">
        <f t="shared" si="12"/>
        <v>0</v>
      </c>
      <c r="H158" s="773"/>
      <c r="I158" s="1362"/>
      <c r="J158" s="667"/>
      <c r="K158" s="667"/>
      <c r="L158" s="702"/>
      <c r="M158" s="676"/>
    </row>
    <row r="159" spans="1:13" ht="21.75" customHeight="1">
      <c r="A159" s="711"/>
      <c r="B159" s="866"/>
      <c r="C159" s="175" t="s">
        <v>6</v>
      </c>
      <c r="D159" s="183">
        <f>'[9]912-ПП'!H386</f>
        <v>4266.6666699999996</v>
      </c>
      <c r="E159" s="182">
        <f>D159</f>
        <v>4266.6666699999996</v>
      </c>
      <c r="F159" s="182">
        <f>E159</f>
        <v>4266.6666699999996</v>
      </c>
      <c r="G159" s="174">
        <f t="shared" si="12"/>
        <v>1</v>
      </c>
      <c r="H159" s="773"/>
      <c r="I159" s="1362"/>
      <c r="J159" s="667"/>
      <c r="K159" s="667"/>
      <c r="L159" s="702"/>
      <c r="M159" s="676"/>
    </row>
    <row r="160" spans="1:13" ht="22.5" customHeight="1">
      <c r="A160" s="712"/>
      <c r="B160" s="867"/>
      <c r="C160" s="175" t="s">
        <v>7</v>
      </c>
      <c r="D160" s="183">
        <v>0</v>
      </c>
      <c r="E160" s="182">
        <v>0</v>
      </c>
      <c r="F160" s="182">
        <v>0</v>
      </c>
      <c r="G160" s="174">
        <f t="shared" si="12"/>
        <v>0</v>
      </c>
      <c r="H160" s="774"/>
      <c r="I160" s="1363"/>
      <c r="J160" s="668"/>
      <c r="K160" s="668"/>
      <c r="L160" s="703"/>
      <c r="M160" s="677"/>
    </row>
    <row r="161" spans="1:13" ht="21.75" customHeight="1">
      <c r="A161" s="1084" t="s">
        <v>16</v>
      </c>
      <c r="B161" s="1085" t="s">
        <v>78</v>
      </c>
      <c r="C161" s="181" t="s">
        <v>3</v>
      </c>
      <c r="D161" s="180">
        <f>SUM(D162:D165)</f>
        <v>57989.523329999996</v>
      </c>
      <c r="E161" s="180">
        <f>SUM(E162:E165)</f>
        <v>57989.523329999996</v>
      </c>
      <c r="F161" s="180">
        <f>SUM(F162:F165)</f>
        <v>57989.523329999996</v>
      </c>
      <c r="G161" s="174">
        <f t="shared" si="12"/>
        <v>1</v>
      </c>
      <c r="H161" s="1083" t="s">
        <v>79</v>
      </c>
      <c r="I161" s="1087" t="s">
        <v>95</v>
      </c>
      <c r="J161" s="1082" t="s">
        <v>177</v>
      </c>
      <c r="K161" s="672" t="s">
        <v>65</v>
      </c>
      <c r="L161" s="1087"/>
      <c r="M161" s="1281">
        <v>823</v>
      </c>
    </row>
    <row r="162" spans="1:13" ht="23.25" customHeight="1">
      <c r="A162" s="720"/>
      <c r="B162" s="850"/>
      <c r="C162" s="181" t="s">
        <v>4</v>
      </c>
      <c r="D162" s="189">
        <f>'[9]912-ПП'!F393</f>
        <v>41400</v>
      </c>
      <c r="E162" s="182">
        <f>[9]Документ!R170</f>
        <v>41400</v>
      </c>
      <c r="F162" s="182">
        <f>E162</f>
        <v>41400</v>
      </c>
      <c r="G162" s="174">
        <f t="shared" si="12"/>
        <v>1</v>
      </c>
      <c r="H162" s="773"/>
      <c r="I162" s="702" t="s">
        <v>46</v>
      </c>
      <c r="J162" s="667"/>
      <c r="K162" s="673"/>
      <c r="L162" s="702"/>
      <c r="M162" s="676"/>
    </row>
    <row r="163" spans="1:13" ht="24" customHeight="1">
      <c r="A163" s="720"/>
      <c r="B163" s="850"/>
      <c r="C163" s="181" t="s">
        <v>5</v>
      </c>
      <c r="D163" s="187">
        <v>0</v>
      </c>
      <c r="E163" s="182">
        <v>0</v>
      </c>
      <c r="F163" s="182">
        <v>0</v>
      </c>
      <c r="G163" s="174">
        <f t="shared" si="12"/>
        <v>0</v>
      </c>
      <c r="H163" s="773"/>
      <c r="I163" s="702" t="s">
        <v>47</v>
      </c>
      <c r="J163" s="667"/>
      <c r="K163" s="673"/>
      <c r="L163" s="702"/>
      <c r="M163" s="676"/>
    </row>
    <row r="164" spans="1:13" ht="24" customHeight="1">
      <c r="A164" s="720"/>
      <c r="B164" s="850"/>
      <c r="C164" s="181" t="s">
        <v>6</v>
      </c>
      <c r="D164" s="187">
        <f>'[9]912-ПП'!H393</f>
        <v>16589.52333</v>
      </c>
      <c r="E164" s="182">
        <f>D164</f>
        <v>16589.52333</v>
      </c>
      <c r="F164" s="182">
        <f>E164</f>
        <v>16589.52333</v>
      </c>
      <c r="G164" s="174">
        <f t="shared" si="12"/>
        <v>1</v>
      </c>
      <c r="H164" s="773"/>
      <c r="I164" s="702" t="s">
        <v>48</v>
      </c>
      <c r="J164" s="667"/>
      <c r="K164" s="673"/>
      <c r="L164" s="702"/>
      <c r="M164" s="676"/>
    </row>
    <row r="165" spans="1:13" ht="23.25" customHeight="1">
      <c r="A165" s="721"/>
      <c r="B165" s="851"/>
      <c r="C165" s="181" t="s">
        <v>7</v>
      </c>
      <c r="D165" s="187">
        <v>0</v>
      </c>
      <c r="E165" s="182">
        <v>0</v>
      </c>
      <c r="F165" s="182">
        <v>0</v>
      </c>
      <c r="G165" s="174">
        <f t="shared" si="12"/>
        <v>0</v>
      </c>
      <c r="H165" s="774"/>
      <c r="I165" s="703" t="s">
        <v>49</v>
      </c>
      <c r="J165" s="668"/>
      <c r="K165" s="674"/>
      <c r="L165" s="703"/>
      <c r="M165" s="677"/>
    </row>
    <row r="166" spans="1:13" s="10" customFormat="1">
      <c r="A166" s="1094" t="s">
        <v>97</v>
      </c>
      <c r="B166" s="1120" t="s">
        <v>96</v>
      </c>
      <c r="C166" s="39" t="s">
        <v>3</v>
      </c>
      <c r="D166" s="55">
        <f>SUM(D167:D170)</f>
        <v>9781.5055100000009</v>
      </c>
      <c r="E166" s="55">
        <f>SUM(E167:E170)</f>
        <v>9781.5053000000007</v>
      </c>
      <c r="F166" s="55">
        <f>SUM(F167:F170)</f>
        <v>9781.5053000000007</v>
      </c>
      <c r="G166" s="37">
        <f t="shared" si="12"/>
        <v>0.99999997853091227</v>
      </c>
      <c r="H166" s="1096" t="s">
        <v>80</v>
      </c>
      <c r="I166" s="60" t="s">
        <v>45</v>
      </c>
      <c r="J166" s="61">
        <f>SUM(J167:J169)</f>
        <v>2</v>
      </c>
      <c r="K166" s="929" t="s">
        <v>68</v>
      </c>
      <c r="L166" s="1121"/>
      <c r="M166" s="1070">
        <v>823</v>
      </c>
    </row>
    <row r="167" spans="1:13" s="10" customFormat="1">
      <c r="A167" s="729"/>
      <c r="B167" s="914"/>
      <c r="C167" s="39" t="s">
        <v>4</v>
      </c>
      <c r="D167" s="55">
        <f t="shared" ref="D167:E169" si="14">SUM(D172,D177)</f>
        <v>1718.8468699999999</v>
      </c>
      <c r="E167" s="55">
        <f t="shared" si="14"/>
        <v>1718.8466599999999</v>
      </c>
      <c r="F167" s="55">
        <f>E167</f>
        <v>1718.8466599999999</v>
      </c>
      <c r="G167" s="37">
        <f t="shared" si="12"/>
        <v>0.99999987782506772</v>
      </c>
      <c r="H167" s="735"/>
      <c r="I167" s="60" t="s">
        <v>46</v>
      </c>
      <c r="J167" s="61">
        <f>COUNTIF($J$171:$J$180,"Да")</f>
        <v>2</v>
      </c>
      <c r="K167" s="762"/>
      <c r="L167" s="911"/>
      <c r="M167" s="764"/>
    </row>
    <row r="168" spans="1:13" s="10" customFormat="1">
      <c r="A168" s="729"/>
      <c r="B168" s="914"/>
      <c r="C168" s="39" t="s">
        <v>5</v>
      </c>
      <c r="D168" s="55">
        <f t="shared" si="14"/>
        <v>8062.6586400000006</v>
      </c>
      <c r="E168" s="55">
        <f t="shared" si="14"/>
        <v>8062.6586400000006</v>
      </c>
      <c r="F168" s="55">
        <f>E168</f>
        <v>8062.6586400000006</v>
      </c>
      <c r="G168" s="37">
        <f t="shared" si="12"/>
        <v>1</v>
      </c>
      <c r="H168" s="735"/>
      <c r="I168" s="60" t="s">
        <v>47</v>
      </c>
      <c r="J168" s="61">
        <f>COUNTIF($J$171:$J$180,"Частично")</f>
        <v>0</v>
      </c>
      <c r="K168" s="762"/>
      <c r="L168" s="911"/>
      <c r="M168" s="764"/>
    </row>
    <row r="169" spans="1:13" s="10" customFormat="1">
      <c r="A169" s="729"/>
      <c r="B169" s="914"/>
      <c r="C169" s="39" t="s">
        <v>6</v>
      </c>
      <c r="D169" s="55">
        <f t="shared" si="14"/>
        <v>0</v>
      </c>
      <c r="E169" s="55">
        <f t="shared" si="14"/>
        <v>0</v>
      </c>
      <c r="F169" s="55">
        <f>E169</f>
        <v>0</v>
      </c>
      <c r="G169" s="37">
        <f t="shared" si="12"/>
        <v>0</v>
      </c>
      <c r="H169" s="735"/>
      <c r="I169" s="60" t="s">
        <v>48</v>
      </c>
      <c r="J169" s="61">
        <f>COUNTIF($J$171:$J$180,"Нет")</f>
        <v>0</v>
      </c>
      <c r="K169" s="762"/>
      <c r="L169" s="911"/>
      <c r="M169" s="764"/>
    </row>
    <row r="170" spans="1:13" s="10" customFormat="1">
      <c r="A170" s="730"/>
      <c r="B170" s="915"/>
      <c r="C170" s="39" t="s">
        <v>7</v>
      </c>
      <c r="D170" s="55">
        <v>0</v>
      </c>
      <c r="E170" s="55">
        <v>0</v>
      </c>
      <c r="F170" s="55">
        <v>0</v>
      </c>
      <c r="G170" s="37">
        <f t="shared" si="12"/>
        <v>0</v>
      </c>
      <c r="H170" s="736"/>
      <c r="I170" s="60" t="s">
        <v>49</v>
      </c>
      <c r="J170" s="62">
        <f>(J167+0.5*J168)/J166</f>
        <v>1</v>
      </c>
      <c r="K170" s="771"/>
      <c r="L170" s="912"/>
      <c r="M170" s="834"/>
    </row>
    <row r="171" spans="1:13" ht="15" customHeight="1">
      <c r="A171" s="1125" t="s">
        <v>98</v>
      </c>
      <c r="B171" s="1105" t="s">
        <v>147</v>
      </c>
      <c r="C171" s="175" t="s">
        <v>3</v>
      </c>
      <c r="D171" s="180">
        <f>SUM(D172:D175)</f>
        <v>4859.9562100000003</v>
      </c>
      <c r="E171" s="180">
        <f>SUM(E172:E175)</f>
        <v>4859.9560000000001</v>
      </c>
      <c r="F171" s="180">
        <f>SUM(F172:F175)</f>
        <v>4859.9560000000001</v>
      </c>
      <c r="G171" s="174">
        <f t="shared" si="12"/>
        <v>0.99999995678973408</v>
      </c>
      <c r="H171" s="1083" t="s">
        <v>1060</v>
      </c>
      <c r="I171" s="1087" t="s">
        <v>644</v>
      </c>
      <c r="J171" s="1082" t="s">
        <v>177</v>
      </c>
      <c r="K171" s="672" t="s">
        <v>675</v>
      </c>
      <c r="L171" s="1370"/>
      <c r="M171" s="1281">
        <v>823</v>
      </c>
    </row>
    <row r="172" spans="1:13" ht="15" customHeight="1">
      <c r="A172" s="711"/>
      <c r="B172" s="741"/>
      <c r="C172" s="175" t="s">
        <v>4</v>
      </c>
      <c r="D172" s="176">
        <f>'[9]912-ПП'!F406</f>
        <v>291.59756999999996</v>
      </c>
      <c r="E172" s="182">
        <f>'[9]2024'!H105</f>
        <v>291.59735999999998</v>
      </c>
      <c r="F172" s="182">
        <f>E172</f>
        <v>291.59735999999998</v>
      </c>
      <c r="G172" s="174">
        <f t="shared" si="12"/>
        <v>0.99999927982938963</v>
      </c>
      <c r="H172" s="773"/>
      <c r="I172" s="702"/>
      <c r="J172" s="667"/>
      <c r="K172" s="673"/>
      <c r="L172" s="897"/>
      <c r="M172" s="676"/>
    </row>
    <row r="173" spans="1:13" ht="15" customHeight="1">
      <c r="A173" s="711"/>
      <c r="B173" s="741"/>
      <c r="C173" s="175" t="s">
        <v>5</v>
      </c>
      <c r="D173" s="183">
        <f>'[9]912-ПП'!G406</f>
        <v>4568.3586400000004</v>
      </c>
      <c r="E173" s="182">
        <f>'[9]2024'!H104</f>
        <v>4568.3586400000004</v>
      </c>
      <c r="F173" s="182">
        <f>E173</f>
        <v>4568.3586400000004</v>
      </c>
      <c r="G173" s="174">
        <f t="shared" si="12"/>
        <v>1</v>
      </c>
      <c r="H173" s="773"/>
      <c r="I173" s="702"/>
      <c r="J173" s="667"/>
      <c r="K173" s="673"/>
      <c r="L173" s="897"/>
      <c r="M173" s="676"/>
    </row>
    <row r="174" spans="1:13" ht="15" customHeight="1">
      <c r="A174" s="711"/>
      <c r="B174" s="741"/>
      <c r="C174" s="175" t="s">
        <v>6</v>
      </c>
      <c r="D174" s="183">
        <v>0</v>
      </c>
      <c r="E174" s="182">
        <v>0</v>
      </c>
      <c r="F174" s="182">
        <v>0</v>
      </c>
      <c r="G174" s="174">
        <f t="shared" si="12"/>
        <v>0</v>
      </c>
      <c r="H174" s="773"/>
      <c r="I174" s="702"/>
      <c r="J174" s="667"/>
      <c r="K174" s="673"/>
      <c r="L174" s="897"/>
      <c r="M174" s="676"/>
    </row>
    <row r="175" spans="1:13" ht="21.75" customHeight="1">
      <c r="A175" s="712"/>
      <c r="B175" s="742"/>
      <c r="C175" s="175" t="s">
        <v>7</v>
      </c>
      <c r="D175" s="183">
        <v>0</v>
      </c>
      <c r="E175" s="182">
        <v>0</v>
      </c>
      <c r="F175" s="182">
        <v>0</v>
      </c>
      <c r="G175" s="174">
        <f t="shared" si="12"/>
        <v>0</v>
      </c>
      <c r="H175" s="774"/>
      <c r="I175" s="703"/>
      <c r="J175" s="668"/>
      <c r="K175" s="674"/>
      <c r="L175" s="898"/>
      <c r="M175" s="677"/>
    </row>
    <row r="176" spans="1:13" ht="15" customHeight="1">
      <c r="A176" s="1125" t="s">
        <v>99</v>
      </c>
      <c r="B176" s="1105" t="s">
        <v>146</v>
      </c>
      <c r="C176" s="175" t="s">
        <v>3</v>
      </c>
      <c r="D176" s="180">
        <f>SUM(D177:D180)</f>
        <v>4921.5493000000006</v>
      </c>
      <c r="E176" s="180">
        <f>SUM(E177:E180)</f>
        <v>4921.5493000000006</v>
      </c>
      <c r="F176" s="180">
        <f>SUM(F177:F180)</f>
        <v>4921.5493000000006</v>
      </c>
      <c r="G176" s="174">
        <f t="shared" si="12"/>
        <v>1</v>
      </c>
      <c r="H176" s="1083" t="s">
        <v>145</v>
      </c>
      <c r="I176" s="1087" t="s">
        <v>1061</v>
      </c>
      <c r="J176" s="1082" t="s">
        <v>177</v>
      </c>
      <c r="K176" s="672" t="s">
        <v>647</v>
      </c>
      <c r="L176" s="1087" t="s">
        <v>674</v>
      </c>
      <c r="M176" s="1281">
        <v>823</v>
      </c>
    </row>
    <row r="177" spans="1:13">
      <c r="A177" s="711"/>
      <c r="B177" s="741"/>
      <c r="C177" s="175" t="s">
        <v>4</v>
      </c>
      <c r="D177" s="193">
        <f>'[9]912-ПП'!F412</f>
        <v>1427.2492999999999</v>
      </c>
      <c r="E177" s="193">
        <f>'[9]2024'!H108</f>
        <v>1427.2492999999999</v>
      </c>
      <c r="F177" s="193">
        <f>E177</f>
        <v>1427.2492999999999</v>
      </c>
      <c r="G177" s="174">
        <f t="shared" si="12"/>
        <v>1</v>
      </c>
      <c r="H177" s="773"/>
      <c r="I177" s="702"/>
      <c r="J177" s="667"/>
      <c r="K177" s="673"/>
      <c r="L177" s="702"/>
      <c r="M177" s="676"/>
    </row>
    <row r="178" spans="1:13" ht="15" customHeight="1">
      <c r="A178" s="711"/>
      <c r="B178" s="741"/>
      <c r="C178" s="175" t="s">
        <v>5</v>
      </c>
      <c r="D178" s="187">
        <f>'[9]912-ПП'!G412</f>
        <v>3494.3</v>
      </c>
      <c r="E178" s="187">
        <f>'[9]2024'!H107</f>
        <v>3494.3</v>
      </c>
      <c r="F178" s="187">
        <f>E178</f>
        <v>3494.3</v>
      </c>
      <c r="G178" s="174">
        <f t="shared" si="12"/>
        <v>1</v>
      </c>
      <c r="H178" s="773"/>
      <c r="I178" s="702"/>
      <c r="J178" s="667"/>
      <c r="K178" s="673"/>
      <c r="L178" s="702"/>
      <c r="M178" s="676"/>
    </row>
    <row r="179" spans="1:13" ht="15" customHeight="1">
      <c r="A179" s="711"/>
      <c r="B179" s="741"/>
      <c r="C179" s="175" t="s">
        <v>6</v>
      </c>
      <c r="D179" s="183">
        <v>0</v>
      </c>
      <c r="E179" s="182">
        <v>0</v>
      </c>
      <c r="F179" s="182">
        <v>0</v>
      </c>
      <c r="G179" s="174">
        <f t="shared" si="12"/>
        <v>0</v>
      </c>
      <c r="H179" s="773"/>
      <c r="I179" s="702"/>
      <c r="J179" s="667"/>
      <c r="K179" s="673"/>
      <c r="L179" s="702"/>
      <c r="M179" s="676"/>
    </row>
    <row r="180" spans="1:13" ht="55.5" customHeight="1">
      <c r="A180" s="712"/>
      <c r="B180" s="742"/>
      <c r="C180" s="175" t="s">
        <v>7</v>
      </c>
      <c r="D180" s="183">
        <v>0</v>
      </c>
      <c r="E180" s="182">
        <v>0</v>
      </c>
      <c r="F180" s="182">
        <v>0</v>
      </c>
      <c r="G180" s="174">
        <f t="shared" si="12"/>
        <v>0</v>
      </c>
      <c r="H180" s="774"/>
      <c r="I180" s="703"/>
      <c r="J180" s="668"/>
      <c r="K180" s="674"/>
      <c r="L180" s="703"/>
      <c r="M180" s="677"/>
    </row>
    <row r="181" spans="1:13">
      <c r="A181" s="1127" t="s">
        <v>17</v>
      </c>
      <c r="B181" s="1128" t="s">
        <v>18</v>
      </c>
      <c r="C181" s="49" t="s">
        <v>3</v>
      </c>
      <c r="D181" s="50">
        <f>SUM(D182:D185)</f>
        <v>1412619.8533510526</v>
      </c>
      <c r="E181" s="50">
        <f>SUM(E182:E185)</f>
        <v>1315352.54947</v>
      </c>
      <c r="F181" s="50">
        <f>SUM(F182:F185)</f>
        <v>1315352.54947</v>
      </c>
      <c r="G181" s="48">
        <f t="shared" si="12"/>
        <v>0.93114403450417838</v>
      </c>
      <c r="H181" s="1128"/>
      <c r="I181" s="18" t="s">
        <v>45</v>
      </c>
      <c r="J181" s="34">
        <f>SUM(J186,J231,J266,J196,J221,J251,)</f>
        <v>13</v>
      </c>
      <c r="K181" s="1104" t="s">
        <v>105</v>
      </c>
      <c r="L181" s="1129"/>
      <c r="M181" s="1075" t="s">
        <v>35</v>
      </c>
    </row>
    <row r="182" spans="1:13">
      <c r="A182" s="870"/>
      <c r="B182" s="900"/>
      <c r="C182" s="49" t="s">
        <v>4</v>
      </c>
      <c r="D182" s="622">
        <f>SUM(D187,D232,D267,D197,D222,D252,)</f>
        <v>765134.03893000004</v>
      </c>
      <c r="E182" s="622">
        <f>SUM(E187,E232,E267,E197,E222,E252,)</f>
        <v>749056.68105000001</v>
      </c>
      <c r="F182" s="51">
        <f>E182</f>
        <v>749056.68105000001</v>
      </c>
      <c r="G182" s="48">
        <f t="shared" si="12"/>
        <v>0.97898752759387964</v>
      </c>
      <c r="H182" s="900"/>
      <c r="I182" s="18" t="s">
        <v>46</v>
      </c>
      <c r="J182" s="34">
        <f>SUM(J187,J232,J267,J197,J222,J252)</f>
        <v>9</v>
      </c>
      <c r="K182" s="752"/>
      <c r="L182" s="874"/>
      <c r="M182" s="823"/>
    </row>
    <row r="183" spans="1:13">
      <c r="A183" s="870"/>
      <c r="B183" s="900"/>
      <c r="C183" s="49" t="s">
        <v>5</v>
      </c>
      <c r="D183" s="51">
        <f>SUM(D188,D233,D268,D198,D223,D253,)</f>
        <v>624810.89999999991</v>
      </c>
      <c r="E183" s="52">
        <f>SUM(E188,E233,E268)</f>
        <v>554620.89999999991</v>
      </c>
      <c r="F183" s="52">
        <f>E183</f>
        <v>554620.89999999991</v>
      </c>
      <c r="G183" s="48">
        <f t="shared" si="12"/>
        <v>0.88766201101805364</v>
      </c>
      <c r="H183" s="900"/>
      <c r="I183" s="18" t="s">
        <v>47</v>
      </c>
      <c r="J183" s="34">
        <f>SUM(J188,J233,J268,J198,J223,J253,)</f>
        <v>2</v>
      </c>
      <c r="K183" s="752"/>
      <c r="L183" s="874"/>
      <c r="M183" s="823"/>
    </row>
    <row r="184" spans="1:13">
      <c r="A184" s="870"/>
      <c r="B184" s="900"/>
      <c r="C184" s="49" t="s">
        <v>6</v>
      </c>
      <c r="D184" s="51">
        <f>SUM(D189,D234,D269,D199,D224,D254,)</f>
        <v>11674.914421052632</v>
      </c>
      <c r="E184" s="52">
        <f>SUM(E189,E234,E269,E254,)</f>
        <v>11674.968419999999</v>
      </c>
      <c r="F184" s="52">
        <f>E184</f>
        <v>11674.968419999999</v>
      </c>
      <c r="G184" s="48">
        <f t="shared" si="12"/>
        <v>1.0000046252114079</v>
      </c>
      <c r="H184" s="900"/>
      <c r="I184" s="18" t="s">
        <v>48</v>
      </c>
      <c r="J184" s="34">
        <f>SUM(J189,J234,J269,J199,J224,J254,)</f>
        <v>2</v>
      </c>
      <c r="K184" s="752"/>
      <c r="L184" s="874"/>
      <c r="M184" s="823"/>
    </row>
    <row r="185" spans="1:13">
      <c r="A185" s="871"/>
      <c r="B185" s="901"/>
      <c r="C185" s="49" t="s">
        <v>7</v>
      </c>
      <c r="D185" s="51">
        <f>SUM(D190,D235,D270,D200,D225,D255,)</f>
        <v>11000</v>
      </c>
      <c r="E185" s="52">
        <v>0</v>
      </c>
      <c r="F185" s="52">
        <v>0</v>
      </c>
      <c r="G185" s="48">
        <f t="shared" si="12"/>
        <v>0</v>
      </c>
      <c r="H185" s="901"/>
      <c r="I185" s="18" t="s">
        <v>49</v>
      </c>
      <c r="J185" s="20">
        <f>(J182+0.5*J183)/J181</f>
        <v>0.76923076923076927</v>
      </c>
      <c r="K185" s="905"/>
      <c r="L185" s="875"/>
      <c r="M185" s="892"/>
    </row>
    <row r="186" spans="1:13">
      <c r="A186" s="1067" t="s">
        <v>383</v>
      </c>
      <c r="B186" s="1095" t="s">
        <v>384</v>
      </c>
      <c r="C186" s="39" t="s">
        <v>3</v>
      </c>
      <c r="D186" s="59">
        <f>SUM(D187:D190)</f>
        <v>14179.368421052632</v>
      </c>
      <c r="E186" s="59">
        <f>SUM(E187:E190)</f>
        <v>3179.3684200000002</v>
      </c>
      <c r="F186" s="59">
        <f>SUM(F187:F190)</f>
        <v>3179.3684200000002</v>
      </c>
      <c r="G186" s="37">
        <f t="shared" si="12"/>
        <v>0.22422496726155128</v>
      </c>
      <c r="H186" s="1126" t="s">
        <v>385</v>
      </c>
      <c r="I186" s="18" t="s">
        <v>45</v>
      </c>
      <c r="J186" s="32">
        <v>1</v>
      </c>
      <c r="K186" s="929" t="s">
        <v>598</v>
      </c>
      <c r="L186" s="929"/>
      <c r="M186" s="1070">
        <v>823</v>
      </c>
    </row>
    <row r="187" spans="1:13">
      <c r="A187" s="842"/>
      <c r="B187" s="732"/>
      <c r="C187" s="39" t="s">
        <v>4</v>
      </c>
      <c r="D187" s="59">
        <f>SUM(D192)</f>
        <v>3020.4</v>
      </c>
      <c r="E187" s="59">
        <f>SUM(E192)</f>
        <v>3020.4</v>
      </c>
      <c r="F187" s="59">
        <f>E187</f>
        <v>3020.4</v>
      </c>
      <c r="G187" s="37">
        <f t="shared" si="12"/>
        <v>1</v>
      </c>
      <c r="H187" s="884"/>
      <c r="I187" s="18" t="s">
        <v>46</v>
      </c>
      <c r="J187" s="32">
        <v>0</v>
      </c>
      <c r="K187" s="762"/>
      <c r="L187" s="762"/>
      <c r="M187" s="764"/>
    </row>
    <row r="188" spans="1:13">
      <c r="A188" s="842"/>
      <c r="B188" s="732"/>
      <c r="C188" s="39" t="s">
        <v>5</v>
      </c>
      <c r="D188" s="59">
        <v>0</v>
      </c>
      <c r="E188" s="59">
        <v>0</v>
      </c>
      <c r="F188" s="59">
        <f>E188</f>
        <v>0</v>
      </c>
      <c r="G188" s="37">
        <f t="shared" si="12"/>
        <v>0</v>
      </c>
      <c r="H188" s="884"/>
      <c r="I188" s="18" t="s">
        <v>47</v>
      </c>
      <c r="J188" s="32">
        <v>0</v>
      </c>
      <c r="K188" s="762"/>
      <c r="L188" s="762"/>
      <c r="M188" s="764"/>
    </row>
    <row r="189" spans="1:13">
      <c r="A189" s="842"/>
      <c r="B189" s="732"/>
      <c r="C189" s="39" t="s">
        <v>6</v>
      </c>
      <c r="D189" s="59">
        <f>SUM(D194)</f>
        <v>158.96842105263158</v>
      </c>
      <c r="E189" s="59">
        <f>SUM(E194)</f>
        <v>158.96842000000001</v>
      </c>
      <c r="F189" s="59">
        <f>E189</f>
        <v>158.96842000000001</v>
      </c>
      <c r="G189" s="37">
        <f t="shared" si="12"/>
        <v>0.99999999337836054</v>
      </c>
      <c r="H189" s="884"/>
      <c r="I189" s="18" t="s">
        <v>48</v>
      </c>
      <c r="J189" s="32">
        <v>1</v>
      </c>
      <c r="K189" s="762"/>
      <c r="L189" s="762"/>
      <c r="M189" s="764"/>
    </row>
    <row r="190" spans="1:13">
      <c r="A190" s="843"/>
      <c r="B190" s="733"/>
      <c r="C190" s="39" t="s">
        <v>7</v>
      </c>
      <c r="D190" s="59">
        <f>SUM(D195)</f>
        <v>11000</v>
      </c>
      <c r="E190" s="59">
        <v>0</v>
      </c>
      <c r="F190" s="59">
        <f>E190</f>
        <v>0</v>
      </c>
      <c r="G190" s="37">
        <f t="shared" si="12"/>
        <v>0</v>
      </c>
      <c r="H190" s="885"/>
      <c r="I190" s="18" t="s">
        <v>49</v>
      </c>
      <c r="J190" s="20">
        <f>(J187+0.5*J188)/J186</f>
        <v>0</v>
      </c>
      <c r="K190" s="771"/>
      <c r="L190" s="771"/>
      <c r="M190" s="834"/>
    </row>
    <row r="191" spans="1:13" ht="15.75" customHeight="1">
      <c r="A191" s="1125" t="s">
        <v>706</v>
      </c>
      <c r="B191" s="1105" t="s">
        <v>672</v>
      </c>
      <c r="C191" s="175" t="s">
        <v>3</v>
      </c>
      <c r="D191" s="187">
        <f>SUM(D192:D195)</f>
        <v>14179.368421052632</v>
      </c>
      <c r="E191" s="187">
        <f>SUM(E192:E195)</f>
        <v>3179.3684200000002</v>
      </c>
      <c r="F191" s="187">
        <f>SUM(F192:F195)</f>
        <v>3179.3684200000002</v>
      </c>
      <c r="G191" s="174">
        <f t="shared" si="12"/>
        <v>0.22422496726155128</v>
      </c>
      <c r="H191" s="1045" t="s">
        <v>673</v>
      </c>
      <c r="I191" s="666" t="s">
        <v>1044</v>
      </c>
      <c r="J191" s="1371" t="s">
        <v>206</v>
      </c>
      <c r="K191" s="1275" t="s">
        <v>129</v>
      </c>
      <c r="L191" s="1278" t="s">
        <v>666</v>
      </c>
      <c r="M191" s="1281">
        <v>807</v>
      </c>
    </row>
    <row r="192" spans="1:13" ht="15.75" customHeight="1">
      <c r="A192" s="711"/>
      <c r="B192" s="741"/>
      <c r="C192" s="175" t="s">
        <v>4</v>
      </c>
      <c r="D192" s="187">
        <f>'[9]912-ПП'!F580</f>
        <v>3020.4</v>
      </c>
      <c r="E192" s="187">
        <f>[9]МИНСТРОЙ!E192</f>
        <v>3020.4</v>
      </c>
      <c r="F192" s="187">
        <f>[9]МИНСТРОЙ!F192</f>
        <v>3020.4</v>
      </c>
      <c r="G192" s="174">
        <f t="shared" si="12"/>
        <v>1</v>
      </c>
      <c r="H192" s="817"/>
      <c r="I192" s="667"/>
      <c r="J192" s="919"/>
      <c r="K192" s="1276"/>
      <c r="L192" s="1279"/>
      <c r="M192" s="676"/>
    </row>
    <row r="193" spans="1:13" ht="15.75" customHeight="1">
      <c r="A193" s="711"/>
      <c r="B193" s="741"/>
      <c r="C193" s="175" t="s">
        <v>5</v>
      </c>
      <c r="D193" s="187">
        <v>0</v>
      </c>
      <c r="E193" s="187">
        <v>0</v>
      </c>
      <c r="F193" s="187">
        <f>E193</f>
        <v>0</v>
      </c>
      <c r="G193" s="174">
        <f t="shared" si="12"/>
        <v>0</v>
      </c>
      <c r="H193" s="817"/>
      <c r="I193" s="667"/>
      <c r="J193" s="919"/>
      <c r="K193" s="1276"/>
      <c r="L193" s="1279"/>
      <c r="M193" s="676"/>
    </row>
    <row r="194" spans="1:13" ht="15.75" customHeight="1">
      <c r="A194" s="711"/>
      <c r="B194" s="741"/>
      <c r="C194" s="175" t="s">
        <v>6</v>
      </c>
      <c r="D194" s="187">
        <f>'[9]912-ПП'!H580</f>
        <v>158.96842105263158</v>
      </c>
      <c r="E194" s="187">
        <f>[9]МИНСТРОЙ!E194</f>
        <v>158.96842000000001</v>
      </c>
      <c r="F194" s="187">
        <f>E194</f>
        <v>158.96842000000001</v>
      </c>
      <c r="G194" s="174">
        <f t="shared" si="12"/>
        <v>0.99999999337836054</v>
      </c>
      <c r="H194" s="817"/>
      <c r="I194" s="667"/>
      <c r="J194" s="919"/>
      <c r="K194" s="1276"/>
      <c r="L194" s="1279"/>
      <c r="M194" s="676"/>
    </row>
    <row r="195" spans="1:13" ht="15.75" customHeight="1">
      <c r="A195" s="712"/>
      <c r="B195" s="742"/>
      <c r="C195" s="175" t="s">
        <v>7</v>
      </c>
      <c r="D195" s="187">
        <f>'[9]912-ПП'!I580</f>
        <v>11000</v>
      </c>
      <c r="E195" s="187">
        <v>0</v>
      </c>
      <c r="F195" s="187">
        <f>E195</f>
        <v>0</v>
      </c>
      <c r="G195" s="174">
        <f t="shared" si="12"/>
        <v>0</v>
      </c>
      <c r="H195" s="876"/>
      <c r="I195" s="668"/>
      <c r="J195" s="920"/>
      <c r="K195" s="1277"/>
      <c r="L195" s="1280"/>
      <c r="M195" s="677"/>
    </row>
    <row r="196" spans="1:13" ht="15.75" customHeight="1">
      <c r="A196" s="1067" t="s">
        <v>651</v>
      </c>
      <c r="B196" s="1133" t="s">
        <v>60</v>
      </c>
      <c r="C196" s="39" t="s">
        <v>3</v>
      </c>
      <c r="D196" s="59">
        <f>SUM(D197:D200)</f>
        <v>11926.269</v>
      </c>
      <c r="E196" s="59">
        <f>SUM(E197:E200)</f>
        <v>11926.297780000001</v>
      </c>
      <c r="F196" s="59">
        <f>SUM(F197:F200)</f>
        <v>11926.297780000001</v>
      </c>
      <c r="G196" s="37">
        <f t="shared" si="12"/>
        <v>1.0000024131603942</v>
      </c>
      <c r="H196" s="1096" t="s">
        <v>83</v>
      </c>
      <c r="I196" s="18" t="s">
        <v>45</v>
      </c>
      <c r="J196" s="577">
        <f>SUM(J197:J199)</f>
        <v>4</v>
      </c>
      <c r="K196" s="929" t="str">
        <f>'[1]Пр ГП 19-20'!$K$167</f>
        <v>Министерство строительства МО, администрации муниципальных образований</v>
      </c>
      <c r="L196" s="639"/>
      <c r="M196" s="641"/>
    </row>
    <row r="197" spans="1:13">
      <c r="A197" s="842"/>
      <c r="B197" s="878"/>
      <c r="C197" s="39" t="s">
        <v>4</v>
      </c>
      <c r="D197" s="646">
        <f>SUM(D212,D207,D202,D217)</f>
        <v>11926.269</v>
      </c>
      <c r="E197" s="623">
        <f>SUM(E202,E212,E207)</f>
        <v>11926.297780000001</v>
      </c>
      <c r="F197" s="59">
        <f>E197</f>
        <v>11926.297780000001</v>
      </c>
      <c r="G197" s="37">
        <f t="shared" si="12"/>
        <v>1.0000024131603942</v>
      </c>
      <c r="H197" s="735"/>
      <c r="I197" s="18" t="s">
        <v>46</v>
      </c>
      <c r="J197" s="577">
        <v>3</v>
      </c>
      <c r="K197" s="762"/>
      <c r="L197" s="639"/>
      <c r="M197" s="641"/>
    </row>
    <row r="198" spans="1:13">
      <c r="A198" s="842"/>
      <c r="B198" s="878"/>
      <c r="C198" s="39" t="s">
        <v>5</v>
      </c>
      <c r="D198" s="59">
        <v>0</v>
      </c>
      <c r="E198" s="59">
        <v>0</v>
      </c>
      <c r="F198" s="59">
        <f>E198</f>
        <v>0</v>
      </c>
      <c r="G198" s="37">
        <f t="shared" si="12"/>
        <v>0</v>
      </c>
      <c r="H198" s="735"/>
      <c r="I198" s="18" t="s">
        <v>47</v>
      </c>
      <c r="J198" s="577">
        <f>COUNTIF($J$201:$J$215,"Частично")</f>
        <v>0</v>
      </c>
      <c r="K198" s="762"/>
      <c r="L198" s="639"/>
      <c r="M198" s="641"/>
    </row>
    <row r="199" spans="1:13">
      <c r="A199" s="842"/>
      <c r="B199" s="878"/>
      <c r="C199" s="39" t="s">
        <v>6</v>
      </c>
      <c r="D199" s="59">
        <v>0</v>
      </c>
      <c r="E199" s="59">
        <v>0</v>
      </c>
      <c r="F199" s="59">
        <f>E199</f>
        <v>0</v>
      </c>
      <c r="G199" s="37">
        <f t="shared" si="12"/>
        <v>0</v>
      </c>
      <c r="H199" s="735"/>
      <c r="I199" s="18" t="s">
        <v>48</v>
      </c>
      <c r="J199" s="577">
        <v>1</v>
      </c>
      <c r="K199" s="762"/>
      <c r="L199" s="639"/>
      <c r="M199" s="641"/>
    </row>
    <row r="200" spans="1:13">
      <c r="A200" s="843"/>
      <c r="B200" s="879"/>
      <c r="C200" s="39" t="s">
        <v>7</v>
      </c>
      <c r="D200" s="59">
        <v>0</v>
      </c>
      <c r="E200" s="59">
        <v>0</v>
      </c>
      <c r="F200" s="59">
        <f>E200</f>
        <v>0</v>
      </c>
      <c r="G200" s="37">
        <f t="shared" si="12"/>
        <v>0</v>
      </c>
      <c r="H200" s="736"/>
      <c r="I200" s="18" t="s">
        <v>49</v>
      </c>
      <c r="J200" s="532">
        <f>(J197+0.5*J198)/J196</f>
        <v>0.75</v>
      </c>
      <c r="K200" s="771"/>
      <c r="L200" s="639"/>
      <c r="M200" s="641"/>
    </row>
    <row r="201" spans="1:13" s="221" customFormat="1" ht="15" customHeight="1">
      <c r="A201" s="660" t="s">
        <v>126</v>
      </c>
      <c r="B201" s="682" t="s">
        <v>19</v>
      </c>
      <c r="C201" s="179" t="s">
        <v>3</v>
      </c>
      <c r="D201" s="185">
        <f>SUM(D202:D205)</f>
        <v>6000</v>
      </c>
      <c r="E201" s="188">
        <f>SUM(E202:E205)</f>
        <v>6000</v>
      </c>
      <c r="F201" s="188">
        <f>SUM(F202:F205)</f>
        <v>6000</v>
      </c>
      <c r="G201" s="174">
        <f t="shared" si="12"/>
        <v>1</v>
      </c>
      <c r="H201" s="1090" t="s">
        <v>144</v>
      </c>
      <c r="I201" s="672" t="s">
        <v>1034</v>
      </c>
      <c r="J201" s="669" t="s">
        <v>177</v>
      </c>
      <c r="K201" s="672" t="s">
        <v>142</v>
      </c>
      <c r="L201" s="1087"/>
      <c r="M201" s="1281">
        <v>823</v>
      </c>
    </row>
    <row r="202" spans="1:13" s="221" customFormat="1" ht="15" customHeight="1">
      <c r="A202" s="661"/>
      <c r="B202" s="683"/>
      <c r="C202" s="181" t="s">
        <v>4</v>
      </c>
      <c r="D202" s="195">
        <f>'[9]912-ПП'!F601</f>
        <v>6000</v>
      </c>
      <c r="E202" s="188">
        <f>'[9]2024'!H110</f>
        <v>6000</v>
      </c>
      <c r="F202" s="188">
        <f>E202</f>
        <v>6000</v>
      </c>
      <c r="G202" s="174">
        <f t="shared" si="12"/>
        <v>1</v>
      </c>
      <c r="H202" s="787"/>
      <c r="I202" s="673"/>
      <c r="J202" s="670"/>
      <c r="K202" s="673"/>
      <c r="L202" s="702"/>
      <c r="M202" s="676"/>
    </row>
    <row r="203" spans="1:13" s="221" customFormat="1" ht="15" customHeight="1">
      <c r="A203" s="661"/>
      <c r="B203" s="683"/>
      <c r="C203" s="181" t="s">
        <v>5</v>
      </c>
      <c r="D203" s="195">
        <v>0</v>
      </c>
      <c r="E203" s="188">
        <v>0</v>
      </c>
      <c r="F203" s="188">
        <v>0</v>
      </c>
      <c r="G203" s="174">
        <f t="shared" si="12"/>
        <v>0</v>
      </c>
      <c r="H203" s="787"/>
      <c r="I203" s="673"/>
      <c r="J203" s="670"/>
      <c r="K203" s="673"/>
      <c r="L203" s="702"/>
      <c r="M203" s="676"/>
    </row>
    <row r="204" spans="1:13" s="221" customFormat="1" ht="15" customHeight="1">
      <c r="A204" s="661"/>
      <c r="B204" s="683"/>
      <c r="C204" s="181" t="s">
        <v>6</v>
      </c>
      <c r="D204" s="195">
        <v>0</v>
      </c>
      <c r="E204" s="188">
        <v>0</v>
      </c>
      <c r="F204" s="188">
        <v>0</v>
      </c>
      <c r="G204" s="174">
        <f t="shared" si="12"/>
        <v>0</v>
      </c>
      <c r="H204" s="787"/>
      <c r="I204" s="673"/>
      <c r="J204" s="670"/>
      <c r="K204" s="673"/>
      <c r="L204" s="702"/>
      <c r="M204" s="676"/>
    </row>
    <row r="205" spans="1:13" s="221" customFormat="1" ht="15" customHeight="1">
      <c r="A205" s="662"/>
      <c r="B205" s="684"/>
      <c r="C205" s="181" t="s">
        <v>7</v>
      </c>
      <c r="D205" s="195">
        <v>0</v>
      </c>
      <c r="E205" s="188">
        <v>0</v>
      </c>
      <c r="F205" s="188">
        <v>0</v>
      </c>
      <c r="G205" s="174">
        <f t="shared" si="12"/>
        <v>0</v>
      </c>
      <c r="H205" s="788"/>
      <c r="I205" s="674"/>
      <c r="J205" s="671"/>
      <c r="K205" s="674"/>
      <c r="L205" s="703"/>
      <c r="M205" s="677"/>
    </row>
    <row r="206" spans="1:13" s="221" customFormat="1" ht="15" customHeight="1">
      <c r="A206" s="660" t="s">
        <v>686</v>
      </c>
      <c r="B206" s="682" t="s">
        <v>461</v>
      </c>
      <c r="C206" s="179" t="s">
        <v>3</v>
      </c>
      <c r="D206" s="195">
        <f>SUM(D207:D210)</f>
        <v>4801.7</v>
      </c>
      <c r="E206" s="188">
        <f>SUM(E207:E210)</f>
        <v>4801.7297799999997</v>
      </c>
      <c r="F206" s="188">
        <f>SUM(F207:F210)</f>
        <v>4801.7297799999997</v>
      </c>
      <c r="G206" s="174">
        <f t="shared" si="12"/>
        <v>1.0000062019701355</v>
      </c>
      <c r="H206" s="1090" t="s">
        <v>462</v>
      </c>
      <c r="I206" s="672" t="s">
        <v>1062</v>
      </c>
      <c r="J206" s="669" t="s">
        <v>177</v>
      </c>
      <c r="K206" s="672" t="s">
        <v>241</v>
      </c>
      <c r="L206" s="1087"/>
      <c r="M206" s="1281">
        <v>823</v>
      </c>
    </row>
    <row r="207" spans="1:13" s="221" customFormat="1" ht="15" customHeight="1">
      <c r="A207" s="661"/>
      <c r="B207" s="683"/>
      <c r="C207" s="181" t="s">
        <v>4</v>
      </c>
      <c r="D207" s="195">
        <f>'[9]912-ПП'!F608</f>
        <v>4801.7</v>
      </c>
      <c r="E207" s="188">
        <f>'[9]2024'!H112</f>
        <v>4801.7297799999997</v>
      </c>
      <c r="F207" s="188">
        <f>E207</f>
        <v>4801.7297799999997</v>
      </c>
      <c r="G207" s="174">
        <f t="shared" si="12"/>
        <v>1.0000062019701355</v>
      </c>
      <c r="H207" s="787"/>
      <c r="I207" s="673"/>
      <c r="J207" s="670"/>
      <c r="K207" s="673"/>
      <c r="L207" s="702"/>
      <c r="M207" s="676"/>
    </row>
    <row r="208" spans="1:13" s="221" customFormat="1" ht="15" customHeight="1">
      <c r="A208" s="661"/>
      <c r="B208" s="683"/>
      <c r="C208" s="181" t="s">
        <v>5</v>
      </c>
      <c r="D208" s="195">
        <v>0</v>
      </c>
      <c r="E208" s="188">
        <v>0</v>
      </c>
      <c r="F208" s="188">
        <v>0</v>
      </c>
      <c r="G208" s="174">
        <f t="shared" si="12"/>
        <v>0</v>
      </c>
      <c r="H208" s="787"/>
      <c r="I208" s="673"/>
      <c r="J208" s="670"/>
      <c r="K208" s="673"/>
      <c r="L208" s="702"/>
      <c r="M208" s="676"/>
    </row>
    <row r="209" spans="1:13" s="221" customFormat="1" ht="15" customHeight="1">
      <c r="A209" s="661"/>
      <c r="B209" s="683"/>
      <c r="C209" s="181" t="s">
        <v>6</v>
      </c>
      <c r="D209" s="195">
        <v>0</v>
      </c>
      <c r="E209" s="188">
        <v>0</v>
      </c>
      <c r="F209" s="188">
        <v>0</v>
      </c>
      <c r="G209" s="174">
        <f t="shared" si="12"/>
        <v>0</v>
      </c>
      <c r="H209" s="787"/>
      <c r="I209" s="673"/>
      <c r="J209" s="670"/>
      <c r="K209" s="673"/>
      <c r="L209" s="702"/>
      <c r="M209" s="676"/>
    </row>
    <row r="210" spans="1:13" s="221" customFormat="1" ht="15" customHeight="1">
      <c r="A210" s="662"/>
      <c r="B210" s="684"/>
      <c r="C210" s="181" t="s">
        <v>7</v>
      </c>
      <c r="D210" s="195">
        <v>0</v>
      </c>
      <c r="E210" s="188">
        <v>0</v>
      </c>
      <c r="F210" s="188">
        <v>0</v>
      </c>
      <c r="G210" s="174">
        <f t="shared" si="12"/>
        <v>0</v>
      </c>
      <c r="H210" s="788"/>
      <c r="I210" s="674"/>
      <c r="J210" s="671"/>
      <c r="K210" s="674"/>
      <c r="L210" s="703"/>
      <c r="M210" s="677"/>
    </row>
    <row r="211" spans="1:13" ht="15" customHeight="1">
      <c r="A211" s="660" t="s">
        <v>127</v>
      </c>
      <c r="B211" s="682" t="s">
        <v>124</v>
      </c>
      <c r="C211" s="181" t="s">
        <v>3</v>
      </c>
      <c r="D211" s="196">
        <f>SUM(D212:D215)</f>
        <v>1124.569</v>
      </c>
      <c r="E211" s="197">
        <f>SUM(E212:E215)</f>
        <v>1124.568</v>
      </c>
      <c r="F211" s="197">
        <f>SUM(F212:F215)</f>
        <v>1124.568</v>
      </c>
      <c r="G211" s="174">
        <f t="shared" si="12"/>
        <v>0.99999911077043746</v>
      </c>
      <c r="H211" s="663" t="s">
        <v>176</v>
      </c>
      <c r="I211" s="666" t="s">
        <v>676</v>
      </c>
      <c r="J211" s="1082" t="s">
        <v>177</v>
      </c>
      <c r="K211" s="672" t="s">
        <v>142</v>
      </c>
      <c r="L211" s="1087"/>
      <c r="M211" s="1281">
        <v>823</v>
      </c>
    </row>
    <row r="212" spans="1:13" ht="15" customHeight="1">
      <c r="A212" s="661"/>
      <c r="B212" s="683"/>
      <c r="C212" s="181" t="s">
        <v>4</v>
      </c>
      <c r="D212" s="198">
        <f>'[9]912-ПП'!F713</f>
        <v>1124.569</v>
      </c>
      <c r="E212" s="197">
        <f>'[2]2024'!H97</f>
        <v>1124.568</v>
      </c>
      <c r="F212" s="197">
        <f>E212</f>
        <v>1124.568</v>
      </c>
      <c r="G212" s="174">
        <f t="shared" si="12"/>
        <v>0.99999911077043746</v>
      </c>
      <c r="H212" s="664"/>
      <c r="I212" s="667"/>
      <c r="J212" s="667"/>
      <c r="K212" s="673"/>
      <c r="L212" s="702"/>
      <c r="M212" s="676"/>
    </row>
    <row r="213" spans="1:13" ht="15" customHeight="1">
      <c r="A213" s="661"/>
      <c r="B213" s="683"/>
      <c r="C213" s="181" t="s">
        <v>5</v>
      </c>
      <c r="D213" s="199">
        <v>0</v>
      </c>
      <c r="E213" s="197">
        <v>0</v>
      </c>
      <c r="F213" s="197">
        <v>0</v>
      </c>
      <c r="G213" s="174">
        <f t="shared" si="12"/>
        <v>0</v>
      </c>
      <c r="H213" s="664"/>
      <c r="I213" s="667"/>
      <c r="J213" s="667"/>
      <c r="K213" s="673"/>
      <c r="L213" s="702"/>
      <c r="M213" s="676"/>
    </row>
    <row r="214" spans="1:13" ht="15" customHeight="1">
      <c r="A214" s="661"/>
      <c r="B214" s="683"/>
      <c r="C214" s="181" t="s">
        <v>6</v>
      </c>
      <c r="D214" s="200">
        <v>0</v>
      </c>
      <c r="E214" s="197">
        <v>0</v>
      </c>
      <c r="F214" s="197">
        <v>0</v>
      </c>
      <c r="G214" s="174">
        <f t="shared" si="12"/>
        <v>0</v>
      </c>
      <c r="H214" s="664"/>
      <c r="I214" s="667"/>
      <c r="J214" s="667"/>
      <c r="K214" s="673"/>
      <c r="L214" s="702"/>
      <c r="M214" s="676"/>
    </row>
    <row r="215" spans="1:13" ht="15" customHeight="1">
      <c r="A215" s="662"/>
      <c r="B215" s="684"/>
      <c r="C215" s="201" t="s">
        <v>7</v>
      </c>
      <c r="D215" s="200">
        <v>0</v>
      </c>
      <c r="E215" s="197">
        <v>0</v>
      </c>
      <c r="F215" s="197">
        <v>0</v>
      </c>
      <c r="G215" s="174">
        <f t="shared" si="12"/>
        <v>0</v>
      </c>
      <c r="H215" s="665"/>
      <c r="I215" s="668"/>
      <c r="J215" s="668"/>
      <c r="K215" s="674"/>
      <c r="L215" s="703"/>
      <c r="M215" s="677"/>
    </row>
    <row r="216" spans="1:13" ht="15" customHeight="1">
      <c r="A216" s="1372" t="s">
        <v>1067</v>
      </c>
      <c r="B216" s="1375" t="s">
        <v>700</v>
      </c>
      <c r="C216" s="647" t="s">
        <v>3</v>
      </c>
      <c r="D216" s="648">
        <f>SUM(D217:D220)</f>
        <v>0</v>
      </c>
      <c r="E216" s="649">
        <f>SUM(E217:E220)</f>
        <v>0</v>
      </c>
      <c r="F216" s="649">
        <f>SUM(F217:F220)</f>
        <v>0</v>
      </c>
      <c r="G216" s="650">
        <f t="shared" si="12"/>
        <v>0</v>
      </c>
      <c r="H216" s="1378" t="s">
        <v>701</v>
      </c>
      <c r="I216" s="1381" t="s">
        <v>1068</v>
      </c>
      <c r="J216" s="1381" t="s">
        <v>206</v>
      </c>
      <c r="K216" s="1384" t="s">
        <v>452</v>
      </c>
      <c r="L216" s="1385" t="s">
        <v>1069</v>
      </c>
      <c r="M216" s="1388"/>
    </row>
    <row r="217" spans="1:13" ht="15" customHeight="1">
      <c r="A217" s="1373"/>
      <c r="B217" s="1376"/>
      <c r="C217" s="647" t="s">
        <v>4</v>
      </c>
      <c r="D217" s="651">
        <v>0</v>
      </c>
      <c r="E217" s="649">
        <v>0</v>
      </c>
      <c r="F217" s="649">
        <v>0</v>
      </c>
      <c r="G217" s="650">
        <f t="shared" si="12"/>
        <v>0</v>
      </c>
      <c r="H217" s="1379"/>
      <c r="I217" s="1382"/>
      <c r="J217" s="1382"/>
      <c r="K217" s="1384"/>
      <c r="L217" s="1386"/>
      <c r="M217" s="1388"/>
    </row>
    <row r="218" spans="1:13" ht="15" customHeight="1">
      <c r="A218" s="1373"/>
      <c r="B218" s="1376"/>
      <c r="C218" s="647" t="s">
        <v>5</v>
      </c>
      <c r="D218" s="648">
        <f>'[9]912-ПП'!G839</f>
        <v>0</v>
      </c>
      <c r="E218" s="649">
        <v>0</v>
      </c>
      <c r="F218" s="649">
        <v>0</v>
      </c>
      <c r="G218" s="650">
        <f t="shared" si="12"/>
        <v>0</v>
      </c>
      <c r="H218" s="1379"/>
      <c r="I218" s="1382"/>
      <c r="J218" s="1382"/>
      <c r="K218" s="1384"/>
      <c r="L218" s="1386"/>
      <c r="M218" s="1388"/>
    </row>
    <row r="219" spans="1:13" ht="15" customHeight="1">
      <c r="A219" s="1373"/>
      <c r="B219" s="1376"/>
      <c r="C219" s="647" t="s">
        <v>6</v>
      </c>
      <c r="D219" s="648">
        <f>'[9]912-ПП'!H839</f>
        <v>0</v>
      </c>
      <c r="E219" s="649">
        <v>0</v>
      </c>
      <c r="F219" s="649">
        <v>0</v>
      </c>
      <c r="G219" s="650">
        <f t="shared" si="12"/>
        <v>0</v>
      </c>
      <c r="H219" s="1379"/>
      <c r="I219" s="1382"/>
      <c r="J219" s="1382"/>
      <c r="K219" s="1384"/>
      <c r="L219" s="1386"/>
      <c r="M219" s="1388"/>
    </row>
    <row r="220" spans="1:13" ht="15" customHeight="1">
      <c r="A220" s="1374"/>
      <c r="B220" s="1377"/>
      <c r="C220" s="647" t="s">
        <v>7</v>
      </c>
      <c r="D220" s="648">
        <f>'[9]912-ПП'!I839</f>
        <v>0</v>
      </c>
      <c r="E220" s="649">
        <v>0</v>
      </c>
      <c r="F220" s="649">
        <v>0</v>
      </c>
      <c r="G220" s="650">
        <f t="shared" si="12"/>
        <v>0</v>
      </c>
      <c r="H220" s="1380"/>
      <c r="I220" s="1383"/>
      <c r="J220" s="1383"/>
      <c r="K220" s="1384"/>
      <c r="L220" s="1387"/>
      <c r="M220" s="1388"/>
    </row>
    <row r="221" spans="1:13" s="10" customFormat="1" ht="15" customHeight="1">
      <c r="A221" s="927" t="s">
        <v>556</v>
      </c>
      <c r="B221" s="924" t="s">
        <v>557</v>
      </c>
      <c r="C221" s="218" t="s">
        <v>3</v>
      </c>
      <c r="D221" s="85">
        <f>SUM(D222:D225)</f>
        <v>99630.567459999991</v>
      </c>
      <c r="E221" s="86">
        <f>SUM(E222:E225)</f>
        <v>98859.154930000004</v>
      </c>
      <c r="F221" s="86">
        <f>SUM(F222:F225)</f>
        <v>98859.154930000004</v>
      </c>
      <c r="G221" s="37">
        <f t="shared" si="12"/>
        <v>0.99225727053788293</v>
      </c>
      <c r="H221" s="1283" t="s">
        <v>81</v>
      </c>
      <c r="I221" s="18" t="s">
        <v>45</v>
      </c>
      <c r="J221" s="32">
        <f>SUM(J222:J224)</f>
        <v>1</v>
      </c>
      <c r="K221" s="762"/>
      <c r="L221" s="929"/>
      <c r="M221" s="1289"/>
    </row>
    <row r="222" spans="1:13" s="10" customFormat="1" ht="15" customHeight="1">
      <c r="A222" s="881"/>
      <c r="B222" s="925"/>
      <c r="C222" s="218" t="s">
        <v>4</v>
      </c>
      <c r="D222" s="85">
        <f>D227</f>
        <v>29440.567459999998</v>
      </c>
      <c r="E222" s="86">
        <f>E227</f>
        <v>28669.154930000001</v>
      </c>
      <c r="F222" s="86">
        <f t="shared" ref="F222:F228" si="15">E222</f>
        <v>28669.154930000001</v>
      </c>
      <c r="G222" s="37">
        <f t="shared" si="12"/>
        <v>0.97379763379058193</v>
      </c>
      <c r="H222" s="1283"/>
      <c r="I222" s="18" t="s">
        <v>46</v>
      </c>
      <c r="J222" s="32">
        <f>COUNTIF($J$226:$J$230,"Да")</f>
        <v>1</v>
      </c>
      <c r="K222" s="762"/>
      <c r="L222" s="762"/>
      <c r="M222" s="1289"/>
    </row>
    <row r="223" spans="1:13" s="10" customFormat="1" ht="15" customHeight="1">
      <c r="A223" s="881"/>
      <c r="B223" s="925"/>
      <c r="C223" s="218" t="s">
        <v>5</v>
      </c>
      <c r="D223" s="85">
        <f>D228</f>
        <v>70190</v>
      </c>
      <c r="E223" s="86">
        <f>E228</f>
        <v>70190</v>
      </c>
      <c r="F223" s="86">
        <f t="shared" si="15"/>
        <v>70190</v>
      </c>
      <c r="G223" s="37">
        <f t="shared" ref="G223:G295" si="16">IFERROR(F223/D223,0)</f>
        <v>1</v>
      </c>
      <c r="H223" s="1283"/>
      <c r="I223" s="18" t="s">
        <v>47</v>
      </c>
      <c r="J223" s="32">
        <v>0</v>
      </c>
      <c r="K223" s="762"/>
      <c r="L223" s="762"/>
      <c r="M223" s="1289"/>
    </row>
    <row r="224" spans="1:13" s="10" customFormat="1" ht="15" customHeight="1">
      <c r="A224" s="881"/>
      <c r="B224" s="925"/>
      <c r="C224" s="218" t="s">
        <v>6</v>
      </c>
      <c r="D224" s="85">
        <v>0</v>
      </c>
      <c r="E224" s="86">
        <f>E229</f>
        <v>0</v>
      </c>
      <c r="F224" s="86">
        <f t="shared" si="15"/>
        <v>0</v>
      </c>
      <c r="G224" s="37">
        <f t="shared" si="16"/>
        <v>0</v>
      </c>
      <c r="H224" s="1283"/>
      <c r="I224" s="18" t="s">
        <v>48</v>
      </c>
      <c r="J224" s="32">
        <f>COUNTIF($J$226:$J$230,"Нет")</f>
        <v>0</v>
      </c>
      <c r="K224" s="762"/>
      <c r="L224" s="762"/>
      <c r="M224" s="1289"/>
    </row>
    <row r="225" spans="1:13" s="10" customFormat="1" ht="15" customHeight="1">
      <c r="A225" s="882"/>
      <c r="B225" s="926"/>
      <c r="C225" s="218" t="s">
        <v>7</v>
      </c>
      <c r="D225" s="85">
        <v>0</v>
      </c>
      <c r="E225" s="86">
        <v>0</v>
      </c>
      <c r="F225" s="86">
        <f t="shared" si="15"/>
        <v>0</v>
      </c>
      <c r="G225" s="37">
        <f t="shared" si="16"/>
        <v>0</v>
      </c>
      <c r="H225" s="1283"/>
      <c r="I225" s="18" t="s">
        <v>49</v>
      </c>
      <c r="J225" s="20">
        <f>(J222+0.5*J223)/J221</f>
        <v>1</v>
      </c>
      <c r="K225" s="771"/>
      <c r="L225" s="771"/>
      <c r="M225" s="1289"/>
    </row>
    <row r="226" spans="1:13" ht="15">
      <c r="A226" s="1284" t="s">
        <v>558</v>
      </c>
      <c r="B226" s="789" t="s">
        <v>559</v>
      </c>
      <c r="C226" s="181" t="s">
        <v>3</v>
      </c>
      <c r="D226" s="624">
        <f>SUM(D227:D230)</f>
        <v>99630.567459999991</v>
      </c>
      <c r="E226" s="197">
        <f>SUM(E227:E230)</f>
        <v>98859.154930000004</v>
      </c>
      <c r="F226" s="197">
        <f t="shared" si="15"/>
        <v>98859.154930000004</v>
      </c>
      <c r="G226" s="174">
        <f t="shared" si="16"/>
        <v>0.99225727053788293</v>
      </c>
      <c r="H226" s="664" t="s">
        <v>560</v>
      </c>
      <c r="I226" s="666" t="s">
        <v>1035</v>
      </c>
      <c r="J226" s="669" t="s">
        <v>177</v>
      </c>
      <c r="K226" s="672" t="s">
        <v>140</v>
      </c>
      <c r="L226" s="1087"/>
      <c r="M226" s="640"/>
    </row>
    <row r="227" spans="1:13" ht="15">
      <c r="A227" s="1284"/>
      <c r="B227" s="789"/>
      <c r="C227" s="181" t="s">
        <v>4</v>
      </c>
      <c r="D227" s="200">
        <f>'[9]912-ПП'!F853</f>
        <v>29440.567459999998</v>
      </c>
      <c r="E227" s="625">
        <f>'[9]2024'!H117</f>
        <v>28669.154930000001</v>
      </c>
      <c r="F227" s="197">
        <f t="shared" si="15"/>
        <v>28669.154930000001</v>
      </c>
      <c r="G227" s="174">
        <f t="shared" si="16"/>
        <v>0.97379763379058193</v>
      </c>
      <c r="H227" s="664"/>
      <c r="I227" s="667"/>
      <c r="J227" s="670"/>
      <c r="K227" s="673"/>
      <c r="L227" s="702"/>
      <c r="M227" s="640"/>
    </row>
    <row r="228" spans="1:13" ht="15">
      <c r="A228" s="1284"/>
      <c r="B228" s="789"/>
      <c r="C228" s="181" t="s">
        <v>5</v>
      </c>
      <c r="D228" s="200">
        <f>'[9]912-ПП'!G853</f>
        <v>70190</v>
      </c>
      <c r="E228" s="625">
        <f>'[9]2024'!H116</f>
        <v>70190</v>
      </c>
      <c r="F228" s="197">
        <f t="shared" si="15"/>
        <v>70190</v>
      </c>
      <c r="G228" s="174">
        <f t="shared" si="16"/>
        <v>1</v>
      </c>
      <c r="H228" s="664"/>
      <c r="I228" s="667"/>
      <c r="J228" s="670"/>
      <c r="K228" s="673"/>
      <c r="L228" s="702"/>
      <c r="M228" s="640"/>
    </row>
    <row r="229" spans="1:13" ht="15">
      <c r="A229" s="1284"/>
      <c r="B229" s="789"/>
      <c r="C229" s="181" t="s">
        <v>6</v>
      </c>
      <c r="D229" s="200">
        <v>0</v>
      </c>
      <c r="E229" s="197">
        <v>0</v>
      </c>
      <c r="F229" s="197">
        <v>0</v>
      </c>
      <c r="G229" s="174">
        <f t="shared" si="16"/>
        <v>0</v>
      </c>
      <c r="H229" s="664"/>
      <c r="I229" s="667"/>
      <c r="J229" s="670"/>
      <c r="K229" s="673"/>
      <c r="L229" s="702"/>
      <c r="M229" s="640"/>
    </row>
    <row r="230" spans="1:13" ht="15">
      <c r="A230" s="1284"/>
      <c r="B230" s="789"/>
      <c r="C230" s="201" t="s">
        <v>7</v>
      </c>
      <c r="D230" s="200">
        <v>0</v>
      </c>
      <c r="E230" s="197">
        <v>0</v>
      </c>
      <c r="F230" s="197">
        <v>0</v>
      </c>
      <c r="G230" s="174">
        <f t="shared" si="16"/>
        <v>0</v>
      </c>
      <c r="H230" s="665"/>
      <c r="I230" s="668"/>
      <c r="J230" s="671"/>
      <c r="K230" s="674"/>
      <c r="L230" s="703"/>
      <c r="M230" s="640"/>
    </row>
    <row r="231" spans="1:13" s="10" customFormat="1" ht="15" customHeight="1">
      <c r="A231" s="927" t="s">
        <v>138</v>
      </c>
      <c r="B231" s="1068" t="s">
        <v>137</v>
      </c>
      <c r="C231" s="84" t="s">
        <v>3</v>
      </c>
      <c r="D231" s="85">
        <f>SUM(D232:D235)</f>
        <v>987968.1484699999</v>
      </c>
      <c r="E231" s="86">
        <f>SUM(E232:E235)</f>
        <v>972662.17833999987</v>
      </c>
      <c r="F231" s="86">
        <f>SUM(F232:F235)</f>
        <v>674367.42828999995</v>
      </c>
      <c r="G231" s="81">
        <f t="shared" si="16"/>
        <v>0.68258013108453708</v>
      </c>
      <c r="H231" s="1126" t="s">
        <v>216</v>
      </c>
      <c r="I231" s="18" t="s">
        <v>45</v>
      </c>
      <c r="J231" s="32">
        <f>SUM(J232:J234)</f>
        <v>3</v>
      </c>
      <c r="K231" s="725" t="s">
        <v>136</v>
      </c>
      <c r="L231" s="725"/>
      <c r="M231" s="1070">
        <v>807</v>
      </c>
    </row>
    <row r="232" spans="1:13" s="10" customFormat="1" ht="15" customHeight="1">
      <c r="A232" s="881"/>
      <c r="B232" s="845"/>
      <c r="C232" s="84" t="s">
        <v>4</v>
      </c>
      <c r="D232" s="652">
        <f>SUM(D237,D242,D247)</f>
        <v>433347.24846999999</v>
      </c>
      <c r="E232" s="653">
        <f t="shared" ref="D232:F235" si="17">SUM(E237,E242,E247)</f>
        <v>418041.27834000002</v>
      </c>
      <c r="F232" s="86">
        <f t="shared" si="17"/>
        <v>261007.30507</v>
      </c>
      <c r="G232" s="81">
        <f t="shared" si="16"/>
        <v>0.60230520902469553</v>
      </c>
      <c r="H232" s="884"/>
      <c r="I232" s="18" t="s">
        <v>46</v>
      </c>
      <c r="J232" s="32">
        <f>COUNTIF($J$236:$J$250,"Да")</f>
        <v>2</v>
      </c>
      <c r="K232" s="725"/>
      <c r="L232" s="725"/>
      <c r="M232" s="764"/>
    </row>
    <row r="233" spans="1:13" s="10" customFormat="1" ht="15" customHeight="1">
      <c r="A233" s="881"/>
      <c r="B233" s="845"/>
      <c r="C233" s="84" t="s">
        <v>5</v>
      </c>
      <c r="D233" s="87">
        <f t="shared" si="17"/>
        <v>554620.89999999991</v>
      </c>
      <c r="E233" s="86">
        <f t="shared" si="17"/>
        <v>554620.89999999991</v>
      </c>
      <c r="F233" s="86">
        <f t="shared" si="17"/>
        <v>413360.12321999995</v>
      </c>
      <c r="G233" s="81">
        <f t="shared" si="16"/>
        <v>0.7453021031482947</v>
      </c>
      <c r="H233" s="884"/>
      <c r="I233" s="18" t="s">
        <v>47</v>
      </c>
      <c r="J233" s="32">
        <f>COUNTIF($J$236:$J$250,"Частично")</f>
        <v>1</v>
      </c>
      <c r="K233" s="725"/>
      <c r="L233" s="725"/>
      <c r="M233" s="764"/>
    </row>
    <row r="234" spans="1:13" s="10" customFormat="1" ht="15" customHeight="1">
      <c r="A234" s="881"/>
      <c r="B234" s="845"/>
      <c r="C234" s="84" t="s">
        <v>6</v>
      </c>
      <c r="D234" s="85">
        <f t="shared" si="17"/>
        <v>0</v>
      </c>
      <c r="E234" s="86">
        <f t="shared" si="17"/>
        <v>0</v>
      </c>
      <c r="F234" s="86">
        <f t="shared" si="17"/>
        <v>0</v>
      </c>
      <c r="G234" s="81">
        <f t="shared" si="16"/>
        <v>0</v>
      </c>
      <c r="H234" s="884"/>
      <c r="I234" s="18" t="s">
        <v>48</v>
      </c>
      <c r="J234" s="32">
        <f>COUNTIF($J$236:$J$250,"Нет")</f>
        <v>0</v>
      </c>
      <c r="K234" s="725"/>
      <c r="L234" s="725"/>
      <c r="M234" s="764"/>
    </row>
    <row r="235" spans="1:13" s="10" customFormat="1" ht="15" customHeight="1">
      <c r="A235" s="882"/>
      <c r="B235" s="846"/>
      <c r="C235" s="88" t="s">
        <v>7</v>
      </c>
      <c r="D235" s="85">
        <f t="shared" si="17"/>
        <v>0</v>
      </c>
      <c r="E235" s="86">
        <f t="shared" si="17"/>
        <v>0</v>
      </c>
      <c r="F235" s="86">
        <f t="shared" si="17"/>
        <v>0</v>
      </c>
      <c r="G235" s="81">
        <f t="shared" si="16"/>
        <v>0</v>
      </c>
      <c r="H235" s="885"/>
      <c r="I235" s="18" t="s">
        <v>49</v>
      </c>
      <c r="J235" s="20">
        <f>(J232+0.5*J233)/J231</f>
        <v>0.83333333333333337</v>
      </c>
      <c r="K235" s="725"/>
      <c r="L235" s="725"/>
      <c r="M235" s="834"/>
    </row>
    <row r="236" spans="1:13" ht="15" customHeight="1">
      <c r="A236" s="660" t="s">
        <v>61</v>
      </c>
      <c r="B236" s="682" t="s">
        <v>82</v>
      </c>
      <c r="C236" s="181" t="s">
        <v>3</v>
      </c>
      <c r="D236" s="200">
        <f>SUM(D237:D240)</f>
        <v>635921.6484699999</v>
      </c>
      <c r="E236" s="197">
        <f>SUM(E237:E240)</f>
        <v>620615.67833999998</v>
      </c>
      <c r="F236" s="197">
        <f>SUM(F237:F240)</f>
        <v>322320.92829000001</v>
      </c>
      <c r="G236" s="206">
        <f t="shared" si="16"/>
        <v>0.50685635418371155</v>
      </c>
      <c r="H236" s="697" t="s">
        <v>133</v>
      </c>
      <c r="I236" s="698" t="s">
        <v>1050</v>
      </c>
      <c r="J236" s="669" t="s">
        <v>178</v>
      </c>
      <c r="K236" s="700" t="s">
        <v>135</v>
      </c>
      <c r="L236" s="1087" t="s">
        <v>1051</v>
      </c>
      <c r="M236" s="1281">
        <v>807</v>
      </c>
    </row>
    <row r="237" spans="1:13" ht="15" customHeight="1">
      <c r="A237" s="661"/>
      <c r="B237" s="683"/>
      <c r="C237" s="181" t="s">
        <v>4</v>
      </c>
      <c r="D237" s="200">
        <f>'[9]912-ПП'!F867</f>
        <v>265813.04846999998</v>
      </c>
      <c r="E237" s="197">
        <f>[9]МИНСТРОЙ!E237</f>
        <v>250507.07834000001</v>
      </c>
      <c r="F237" s="197">
        <f>[9]МИНСТРОЙ!F237</f>
        <v>93473.105070000005</v>
      </c>
      <c r="G237" s="206">
        <f t="shared" si="16"/>
        <v>0.35164979901484972</v>
      </c>
      <c r="H237" s="697"/>
      <c r="I237" s="698"/>
      <c r="J237" s="670"/>
      <c r="K237" s="700"/>
      <c r="L237" s="702"/>
      <c r="M237" s="676"/>
    </row>
    <row r="238" spans="1:13" ht="15" customHeight="1">
      <c r="A238" s="661"/>
      <c r="B238" s="683"/>
      <c r="C238" s="181" t="s">
        <v>5</v>
      </c>
      <c r="D238" s="200">
        <f>'[9]912-ПП'!G867</f>
        <v>370108.6</v>
      </c>
      <c r="E238" s="197">
        <f>[9]МИНСТРОЙ!E238</f>
        <v>370108.6</v>
      </c>
      <c r="F238" s="197">
        <f>[9]МИНСТРОЙ!F238</f>
        <v>228847.82321999999</v>
      </c>
      <c r="G238" s="206">
        <f t="shared" si="16"/>
        <v>0.61832614324552304</v>
      </c>
      <c r="H238" s="697"/>
      <c r="I238" s="698"/>
      <c r="J238" s="670"/>
      <c r="K238" s="700"/>
      <c r="L238" s="702"/>
      <c r="M238" s="676"/>
    </row>
    <row r="239" spans="1:13" ht="15" customHeight="1">
      <c r="A239" s="661"/>
      <c r="B239" s="683"/>
      <c r="C239" s="181" t="s">
        <v>6</v>
      </c>
      <c r="D239" s="200">
        <v>0</v>
      </c>
      <c r="E239" s="197">
        <f>[9]МИНСТРОЙ!E239</f>
        <v>0</v>
      </c>
      <c r="F239" s="197">
        <f>[9]МИНСТРОЙ!F239</f>
        <v>0</v>
      </c>
      <c r="G239" s="206">
        <f t="shared" si="16"/>
        <v>0</v>
      </c>
      <c r="H239" s="697"/>
      <c r="I239" s="698"/>
      <c r="J239" s="670"/>
      <c r="K239" s="700"/>
      <c r="L239" s="702"/>
      <c r="M239" s="676"/>
    </row>
    <row r="240" spans="1:13" ht="29.25" customHeight="1">
      <c r="A240" s="662"/>
      <c r="B240" s="684"/>
      <c r="C240" s="201" t="s">
        <v>7</v>
      </c>
      <c r="D240" s="200">
        <v>0</v>
      </c>
      <c r="E240" s="197">
        <f>[9]МИНСТРОЙ!E240</f>
        <v>0</v>
      </c>
      <c r="F240" s="197">
        <f>[9]МИНСТРОЙ!F240</f>
        <v>0</v>
      </c>
      <c r="G240" s="206">
        <f t="shared" si="16"/>
        <v>0</v>
      </c>
      <c r="H240" s="697"/>
      <c r="I240" s="698"/>
      <c r="J240" s="671"/>
      <c r="K240" s="700"/>
      <c r="L240" s="703"/>
      <c r="M240" s="677"/>
    </row>
    <row r="241" spans="1:13" ht="30" customHeight="1">
      <c r="A241" s="660" t="s">
        <v>62</v>
      </c>
      <c r="B241" s="682" t="s">
        <v>563</v>
      </c>
      <c r="C241" s="181" t="s">
        <v>3</v>
      </c>
      <c r="D241" s="200">
        <f>SUM(D242:D245)</f>
        <v>92170</v>
      </c>
      <c r="E241" s="197">
        <f>SUM(E242:E245)</f>
        <v>92170</v>
      </c>
      <c r="F241" s="197">
        <f>SUM(F242:F245)</f>
        <v>92170</v>
      </c>
      <c r="G241" s="206">
        <f t="shared" si="16"/>
        <v>1</v>
      </c>
      <c r="H241" s="697" t="s">
        <v>133</v>
      </c>
      <c r="I241" s="698" t="s">
        <v>681</v>
      </c>
      <c r="J241" s="669" t="s">
        <v>177</v>
      </c>
      <c r="K241" s="700" t="s">
        <v>134</v>
      </c>
      <c r="L241" s="1087"/>
      <c r="M241" s="1281">
        <v>807</v>
      </c>
    </row>
    <row r="242" spans="1:13" ht="24.75" customHeight="1">
      <c r="A242" s="661"/>
      <c r="B242" s="683"/>
      <c r="C242" s="181" t="s">
        <v>4</v>
      </c>
      <c r="D242" s="200">
        <f>'[9]912-ПП'!F874</f>
        <v>92170</v>
      </c>
      <c r="E242" s="197">
        <f>92170000/1000</f>
        <v>92170</v>
      </c>
      <c r="F242" s="197">
        <f>92170000/1000</f>
        <v>92170</v>
      </c>
      <c r="G242" s="206">
        <f t="shared" si="16"/>
        <v>1</v>
      </c>
      <c r="H242" s="697"/>
      <c r="I242" s="698"/>
      <c r="J242" s="670"/>
      <c r="K242" s="700"/>
      <c r="L242" s="702"/>
      <c r="M242" s="676"/>
    </row>
    <row r="243" spans="1:13" ht="27" customHeight="1">
      <c r="A243" s="661"/>
      <c r="B243" s="683"/>
      <c r="C243" s="181" t="s">
        <v>5</v>
      </c>
      <c r="D243" s="200">
        <v>0</v>
      </c>
      <c r="E243" s="197">
        <v>0</v>
      </c>
      <c r="F243" s="197">
        <v>0</v>
      </c>
      <c r="G243" s="206">
        <f t="shared" si="16"/>
        <v>0</v>
      </c>
      <c r="H243" s="697"/>
      <c r="I243" s="698"/>
      <c r="J243" s="670"/>
      <c r="K243" s="700"/>
      <c r="L243" s="702"/>
      <c r="M243" s="676"/>
    </row>
    <row r="244" spans="1:13" ht="29.25" customHeight="1">
      <c r="A244" s="661"/>
      <c r="B244" s="683"/>
      <c r="C244" s="181" t="s">
        <v>6</v>
      </c>
      <c r="D244" s="200">
        <v>0</v>
      </c>
      <c r="E244" s="197">
        <v>0</v>
      </c>
      <c r="F244" s="197">
        <v>0</v>
      </c>
      <c r="G244" s="206">
        <f t="shared" si="16"/>
        <v>0</v>
      </c>
      <c r="H244" s="697"/>
      <c r="I244" s="698"/>
      <c r="J244" s="670"/>
      <c r="K244" s="700"/>
      <c r="L244" s="702"/>
      <c r="M244" s="676"/>
    </row>
    <row r="245" spans="1:13" ht="24" customHeight="1">
      <c r="A245" s="662"/>
      <c r="B245" s="684"/>
      <c r="C245" s="201" t="s">
        <v>7</v>
      </c>
      <c r="D245" s="200">
        <v>0</v>
      </c>
      <c r="E245" s="197">
        <v>0</v>
      </c>
      <c r="F245" s="197">
        <v>0</v>
      </c>
      <c r="G245" s="206">
        <f t="shared" si="16"/>
        <v>0</v>
      </c>
      <c r="H245" s="697"/>
      <c r="I245" s="698"/>
      <c r="J245" s="671"/>
      <c r="K245" s="700"/>
      <c r="L245" s="703"/>
      <c r="M245" s="677"/>
    </row>
    <row r="246" spans="1:13" ht="34.5" customHeight="1">
      <c r="A246" s="660" t="s">
        <v>56</v>
      </c>
      <c r="B246" s="682" t="s">
        <v>566</v>
      </c>
      <c r="C246" s="181" t="s">
        <v>3</v>
      </c>
      <c r="D246" s="200">
        <f>SUM(D247:D250)</f>
        <v>259876.5</v>
      </c>
      <c r="E246" s="197">
        <f>SUM(E247:E250)</f>
        <v>259876.5</v>
      </c>
      <c r="F246" s="197">
        <f>SUM(F247:F250)</f>
        <v>259876.5</v>
      </c>
      <c r="G246" s="206">
        <f t="shared" si="16"/>
        <v>1</v>
      </c>
      <c r="H246" s="697" t="s">
        <v>133</v>
      </c>
      <c r="I246" s="666" t="s">
        <v>1052</v>
      </c>
      <c r="J246" s="669" t="s">
        <v>177</v>
      </c>
      <c r="K246" s="672" t="s">
        <v>132</v>
      </c>
      <c r="L246" s="1087"/>
      <c r="M246" s="1281">
        <v>807</v>
      </c>
    </row>
    <row r="247" spans="1:13" ht="34.5" customHeight="1">
      <c r="A247" s="661"/>
      <c r="B247" s="683"/>
      <c r="C247" s="181" t="s">
        <v>4</v>
      </c>
      <c r="D247" s="200">
        <f>'[9]912-ПП'!F881</f>
        <v>75364.2</v>
      </c>
      <c r="E247" s="197">
        <f>[9]МИНСТРОЙ!E247</f>
        <v>75364.2</v>
      </c>
      <c r="F247" s="197">
        <f>[9]МИНСТРОЙ!F247</f>
        <v>75364.2</v>
      </c>
      <c r="G247" s="206">
        <f t="shared" si="16"/>
        <v>1</v>
      </c>
      <c r="H247" s="697"/>
      <c r="I247" s="667"/>
      <c r="J247" s="670"/>
      <c r="K247" s="673"/>
      <c r="L247" s="702"/>
      <c r="M247" s="676"/>
    </row>
    <row r="248" spans="1:13" ht="31.5" customHeight="1">
      <c r="A248" s="661"/>
      <c r="B248" s="683"/>
      <c r="C248" s="181" t="s">
        <v>5</v>
      </c>
      <c r="D248" s="200">
        <f>'[9]912-ПП'!G881</f>
        <v>184512.3</v>
      </c>
      <c r="E248" s="197">
        <f>[9]МИНСТРОЙ!E248</f>
        <v>184512.3</v>
      </c>
      <c r="F248" s="197">
        <f>[9]МИНСТРОЙ!F248</f>
        <v>184512.3</v>
      </c>
      <c r="G248" s="206">
        <f t="shared" si="16"/>
        <v>1</v>
      </c>
      <c r="H248" s="697"/>
      <c r="I248" s="667"/>
      <c r="J248" s="670"/>
      <c r="K248" s="673"/>
      <c r="L248" s="702"/>
      <c r="M248" s="676"/>
    </row>
    <row r="249" spans="1:13" ht="25.5" customHeight="1">
      <c r="A249" s="661"/>
      <c r="B249" s="683"/>
      <c r="C249" s="181" t="s">
        <v>6</v>
      </c>
      <c r="D249" s="200">
        <v>0</v>
      </c>
      <c r="E249" s="197">
        <f>[9]МИНСТРОЙ!E249</f>
        <v>0</v>
      </c>
      <c r="F249" s="197">
        <f>[9]МИНСТРОЙ!F249</f>
        <v>0</v>
      </c>
      <c r="G249" s="206">
        <f t="shared" si="16"/>
        <v>0</v>
      </c>
      <c r="H249" s="697"/>
      <c r="I249" s="667"/>
      <c r="J249" s="670"/>
      <c r="K249" s="673"/>
      <c r="L249" s="702"/>
      <c r="M249" s="676"/>
    </row>
    <row r="250" spans="1:13" ht="23.25" customHeight="1">
      <c r="A250" s="662"/>
      <c r="B250" s="684"/>
      <c r="C250" s="201" t="s">
        <v>7</v>
      </c>
      <c r="D250" s="200">
        <v>0</v>
      </c>
      <c r="E250" s="197">
        <f>[9]МИНСТРОЙ!E250</f>
        <v>0</v>
      </c>
      <c r="F250" s="197">
        <f>[9]МИНСТРОЙ!F250</f>
        <v>0</v>
      </c>
      <c r="G250" s="206">
        <f t="shared" si="16"/>
        <v>0</v>
      </c>
      <c r="H250" s="697"/>
      <c r="I250" s="668"/>
      <c r="J250" s="671"/>
      <c r="K250" s="674"/>
      <c r="L250" s="703"/>
      <c r="M250" s="677"/>
    </row>
    <row r="251" spans="1:13" s="10" customFormat="1" ht="23.25" customHeight="1">
      <c r="A251" s="1286" t="s">
        <v>567</v>
      </c>
      <c r="B251" s="1287" t="s">
        <v>568</v>
      </c>
      <c r="C251" s="39" t="s">
        <v>3</v>
      </c>
      <c r="D251" s="85">
        <f>SUM(D252:D255)</f>
        <v>80355</v>
      </c>
      <c r="E251" s="86">
        <f>SUM(E252:E255)</f>
        <v>80354.95</v>
      </c>
      <c r="F251" s="86">
        <f>SUM(F252:F255)</f>
        <v>80354.95</v>
      </c>
      <c r="G251" s="81">
        <f t="shared" si="16"/>
        <v>0.99999937776118475</v>
      </c>
      <c r="H251" s="688" t="s">
        <v>614</v>
      </c>
      <c r="I251" s="18" t="s">
        <v>45</v>
      </c>
      <c r="J251" s="32">
        <f>SUM(J252:J254)</f>
        <v>2</v>
      </c>
      <c r="K251" s="725"/>
      <c r="L251" s="725"/>
      <c r="M251" s="1181">
        <v>807</v>
      </c>
    </row>
    <row r="252" spans="1:13" s="10" customFormat="1" ht="23.25" customHeight="1">
      <c r="A252" s="1286"/>
      <c r="B252" s="1287"/>
      <c r="C252" s="39" t="s">
        <v>4</v>
      </c>
      <c r="D252" s="85">
        <f>SUM(D257,D262,)</f>
        <v>79551.453999999998</v>
      </c>
      <c r="E252" s="86">
        <f>SUM(E257,E262,)</f>
        <v>79551.45</v>
      </c>
      <c r="F252" s="86">
        <f>SUM(F257,F262,)</f>
        <v>79551.45</v>
      </c>
      <c r="G252" s="81">
        <f t="shared" si="16"/>
        <v>0.99999994971807804</v>
      </c>
      <c r="H252" s="689"/>
      <c r="I252" s="18" t="s">
        <v>46</v>
      </c>
      <c r="J252" s="32">
        <f>COUNTIF($J$256:$J$265,"Да")</f>
        <v>2</v>
      </c>
      <c r="K252" s="725"/>
      <c r="L252" s="725"/>
      <c r="M252" s="680"/>
    </row>
    <row r="253" spans="1:13" s="10" customFormat="1" ht="23.25" customHeight="1">
      <c r="A253" s="1286"/>
      <c r="B253" s="1287"/>
      <c r="C253" s="39" t="s">
        <v>5</v>
      </c>
      <c r="D253" s="85">
        <f>SUM(D258,D263,)</f>
        <v>0</v>
      </c>
      <c r="E253" s="86">
        <f>SUM(E258,E263,)</f>
        <v>0</v>
      </c>
      <c r="F253" s="86">
        <f>SUM(F258,F263,F268)</f>
        <v>0</v>
      </c>
      <c r="G253" s="81">
        <f t="shared" si="16"/>
        <v>0</v>
      </c>
      <c r="H253" s="689"/>
      <c r="I253" s="18" t="s">
        <v>47</v>
      </c>
      <c r="J253" s="32">
        <v>0</v>
      </c>
      <c r="K253" s="725"/>
      <c r="L253" s="725"/>
      <c r="M253" s="680"/>
    </row>
    <row r="254" spans="1:13" s="10" customFormat="1" ht="23.25" customHeight="1">
      <c r="A254" s="1286"/>
      <c r="B254" s="1287"/>
      <c r="C254" s="39" t="s">
        <v>6</v>
      </c>
      <c r="D254" s="85">
        <f>SUM(D259,D264,)</f>
        <v>803.54600000000005</v>
      </c>
      <c r="E254" s="86">
        <v>803.5</v>
      </c>
      <c r="F254" s="86">
        <v>803.5</v>
      </c>
      <c r="G254" s="81">
        <f t="shared" si="16"/>
        <v>0.99994275374402952</v>
      </c>
      <c r="H254" s="689"/>
      <c r="I254" s="18" t="s">
        <v>48</v>
      </c>
      <c r="J254" s="32">
        <f>COUNTIF($J$256:$J$265,"Нет")</f>
        <v>0</v>
      </c>
      <c r="K254" s="725"/>
      <c r="L254" s="725"/>
      <c r="M254" s="680"/>
    </row>
    <row r="255" spans="1:13" s="10" customFormat="1" ht="23.25" customHeight="1">
      <c r="A255" s="1286"/>
      <c r="B255" s="1287"/>
      <c r="C255" s="58" t="s">
        <v>7</v>
      </c>
      <c r="D255" s="85">
        <f>SUM(D260,D265,D270)</f>
        <v>0</v>
      </c>
      <c r="E255" s="86">
        <f>SUM(E260,E265,E270)</f>
        <v>0</v>
      </c>
      <c r="F255" s="86">
        <f>SUM(F260,F265,F270)</f>
        <v>0</v>
      </c>
      <c r="G255" s="81">
        <f t="shared" si="16"/>
        <v>0</v>
      </c>
      <c r="H255" s="690"/>
      <c r="I255" s="18" t="s">
        <v>49</v>
      </c>
      <c r="J255" s="20">
        <f>(J252+0.5*J253)/J251</f>
        <v>1</v>
      </c>
      <c r="K255" s="725"/>
      <c r="L255" s="725"/>
      <c r="M255" s="681"/>
    </row>
    <row r="256" spans="1:13" ht="23.25" customHeight="1">
      <c r="A256" s="660" t="s">
        <v>571</v>
      </c>
      <c r="B256" s="682" t="s">
        <v>572</v>
      </c>
      <c r="C256" s="181" t="s">
        <v>3</v>
      </c>
      <c r="D256" s="200">
        <f>SUM(D257:D260)</f>
        <v>59324.6</v>
      </c>
      <c r="E256" s="197">
        <f>SUM(E257:E260)</f>
        <v>59328.182000000001</v>
      </c>
      <c r="F256" s="197">
        <f>SUM(F257:F260)</f>
        <v>59328.182000000001</v>
      </c>
      <c r="G256" s="206">
        <f t="shared" si="16"/>
        <v>1.0000603796738621</v>
      </c>
      <c r="H256" s="663" t="s">
        <v>573</v>
      </c>
      <c r="I256" s="666" t="s">
        <v>682</v>
      </c>
      <c r="J256" s="669" t="s">
        <v>177</v>
      </c>
      <c r="K256" s="672" t="s">
        <v>650</v>
      </c>
      <c r="L256" s="672"/>
      <c r="M256" s="1281">
        <v>807</v>
      </c>
    </row>
    <row r="257" spans="1:13" ht="23.25" customHeight="1">
      <c r="A257" s="661"/>
      <c r="B257" s="683"/>
      <c r="C257" s="181" t="s">
        <v>4</v>
      </c>
      <c r="D257" s="200">
        <f>'[2]334-ПП'!F879</f>
        <v>58731.353999999999</v>
      </c>
      <c r="E257" s="197">
        <f>58731354/1000</f>
        <v>58731.353999999999</v>
      </c>
      <c r="F257" s="197">
        <f>58731354/1000</f>
        <v>58731.353999999999</v>
      </c>
      <c r="G257" s="206">
        <f t="shared" si="16"/>
        <v>1</v>
      </c>
      <c r="H257" s="664"/>
      <c r="I257" s="667"/>
      <c r="J257" s="670"/>
      <c r="K257" s="673"/>
      <c r="L257" s="673"/>
      <c r="M257" s="676"/>
    </row>
    <row r="258" spans="1:13" ht="23.25" customHeight="1">
      <c r="A258" s="661"/>
      <c r="B258" s="683"/>
      <c r="C258" s="181" t="s">
        <v>5</v>
      </c>
      <c r="D258" s="200">
        <v>0</v>
      </c>
      <c r="E258" s="197">
        <v>0</v>
      </c>
      <c r="F258" s="197">
        <v>0</v>
      </c>
      <c r="G258" s="206">
        <f t="shared" si="16"/>
        <v>0</v>
      </c>
      <c r="H258" s="664"/>
      <c r="I258" s="667"/>
      <c r="J258" s="670"/>
      <c r="K258" s="673"/>
      <c r="L258" s="673"/>
      <c r="M258" s="676"/>
    </row>
    <row r="259" spans="1:13" ht="23.25" customHeight="1">
      <c r="A259" s="661"/>
      <c r="B259" s="683"/>
      <c r="C259" s="181" t="s">
        <v>6</v>
      </c>
      <c r="D259" s="200">
        <f>'[2]334-ПП'!H879</f>
        <v>593.24599999999998</v>
      </c>
      <c r="E259" s="197">
        <f>596828/1000</f>
        <v>596.82799999999997</v>
      </c>
      <c r="F259" s="197">
        <f>596828/1000</f>
        <v>596.82799999999997</v>
      </c>
      <c r="G259" s="206">
        <f t="shared" si="16"/>
        <v>1.0060379673862108</v>
      </c>
      <c r="H259" s="664"/>
      <c r="I259" s="667"/>
      <c r="J259" s="670"/>
      <c r="K259" s="673"/>
      <c r="L259" s="673"/>
      <c r="M259" s="676"/>
    </row>
    <row r="260" spans="1:13" ht="23.25" customHeight="1">
      <c r="A260" s="662"/>
      <c r="B260" s="684"/>
      <c r="C260" s="201" t="s">
        <v>7</v>
      </c>
      <c r="D260" s="200">
        <v>0</v>
      </c>
      <c r="E260" s="197">
        <v>0</v>
      </c>
      <c r="F260" s="197">
        <v>0</v>
      </c>
      <c r="G260" s="206">
        <f t="shared" si="16"/>
        <v>0</v>
      </c>
      <c r="H260" s="665"/>
      <c r="I260" s="668"/>
      <c r="J260" s="671"/>
      <c r="K260" s="674"/>
      <c r="L260" s="674"/>
      <c r="M260" s="677"/>
    </row>
    <row r="261" spans="1:13" ht="23.25" customHeight="1">
      <c r="A261" s="1284" t="s">
        <v>575</v>
      </c>
      <c r="B261" s="789" t="s">
        <v>576</v>
      </c>
      <c r="C261" s="181" t="s">
        <v>3</v>
      </c>
      <c r="D261" s="200">
        <f>SUM(D262:D265)</f>
        <v>21030.399999999998</v>
      </c>
      <c r="E261" s="197">
        <f>SUM(E262:E265)</f>
        <v>21030.405000000002</v>
      </c>
      <c r="F261" s="197">
        <f>SUM(F262:F265)</f>
        <v>21030.405000000002</v>
      </c>
      <c r="G261" s="206">
        <f t="shared" si="16"/>
        <v>1.0000002377510653</v>
      </c>
      <c r="H261" s="663" t="s">
        <v>573</v>
      </c>
      <c r="I261" s="666" t="s">
        <v>683</v>
      </c>
      <c r="J261" s="669" t="s">
        <v>177</v>
      </c>
      <c r="K261" s="672" t="s">
        <v>650</v>
      </c>
      <c r="L261" s="672"/>
      <c r="M261" s="1281">
        <v>807</v>
      </c>
    </row>
    <row r="262" spans="1:13" ht="23.25" customHeight="1">
      <c r="A262" s="1284"/>
      <c r="B262" s="789"/>
      <c r="C262" s="181" t="s">
        <v>4</v>
      </c>
      <c r="D262" s="200">
        <f>'[2]334-ПП'!F886</f>
        <v>20820.099999999999</v>
      </c>
      <c r="E262" s="197">
        <f>20820096/1000</f>
        <v>20820.096000000001</v>
      </c>
      <c r="F262" s="197">
        <f>E262</f>
        <v>20820.096000000001</v>
      </c>
      <c r="G262" s="206">
        <f t="shared" si="16"/>
        <v>0.99999980787796416</v>
      </c>
      <c r="H262" s="664"/>
      <c r="I262" s="667"/>
      <c r="J262" s="670"/>
      <c r="K262" s="673"/>
      <c r="L262" s="673"/>
      <c r="M262" s="676"/>
    </row>
    <row r="263" spans="1:13" ht="23.25" customHeight="1">
      <c r="A263" s="1284"/>
      <c r="B263" s="789"/>
      <c r="C263" s="181" t="s">
        <v>5</v>
      </c>
      <c r="D263" s="200">
        <v>0</v>
      </c>
      <c r="E263" s="197">
        <v>0</v>
      </c>
      <c r="F263" s="197">
        <f>E263</f>
        <v>0</v>
      </c>
      <c r="G263" s="206">
        <f t="shared" si="16"/>
        <v>0</v>
      </c>
      <c r="H263" s="664"/>
      <c r="I263" s="667"/>
      <c r="J263" s="670"/>
      <c r="K263" s="673"/>
      <c r="L263" s="673"/>
      <c r="M263" s="676"/>
    </row>
    <row r="264" spans="1:13" ht="23.25" customHeight="1">
      <c r="A264" s="1284"/>
      <c r="B264" s="789"/>
      <c r="C264" s="181" t="s">
        <v>6</v>
      </c>
      <c r="D264" s="200">
        <f>'[2]334-ПП'!H886</f>
        <v>210.3</v>
      </c>
      <c r="E264" s="197">
        <f>210309/1000</f>
        <v>210.309</v>
      </c>
      <c r="F264" s="197">
        <f>E264</f>
        <v>210.309</v>
      </c>
      <c r="G264" s="206">
        <f t="shared" si="16"/>
        <v>1.0000427960057061</v>
      </c>
      <c r="H264" s="664"/>
      <c r="I264" s="667"/>
      <c r="J264" s="670"/>
      <c r="K264" s="673"/>
      <c r="L264" s="673"/>
      <c r="M264" s="676"/>
    </row>
    <row r="265" spans="1:13" ht="23.25" customHeight="1">
      <c r="A265" s="1284"/>
      <c r="B265" s="789"/>
      <c r="C265" s="201" t="s">
        <v>7</v>
      </c>
      <c r="D265" s="200">
        <v>0</v>
      </c>
      <c r="E265" s="197">
        <v>0</v>
      </c>
      <c r="F265" s="197">
        <v>0</v>
      </c>
      <c r="G265" s="206">
        <f t="shared" si="16"/>
        <v>0</v>
      </c>
      <c r="H265" s="665"/>
      <c r="I265" s="668"/>
      <c r="J265" s="671"/>
      <c r="K265" s="674"/>
      <c r="L265" s="674"/>
      <c r="M265" s="677"/>
    </row>
    <row r="266" spans="1:13" s="10" customFormat="1">
      <c r="A266" s="1094" t="s">
        <v>100</v>
      </c>
      <c r="B266" s="1133" t="s">
        <v>55</v>
      </c>
      <c r="C266" s="39" t="s">
        <v>3</v>
      </c>
      <c r="D266" s="40">
        <f>SUM(D267:D270)</f>
        <v>218560.5</v>
      </c>
      <c r="E266" s="40">
        <f>SUM(E267:E270)</f>
        <v>218560.6</v>
      </c>
      <c r="F266" s="40">
        <f>SUM(F267:F270)</f>
        <v>144409.45397</v>
      </c>
      <c r="G266" s="81">
        <f t="shared" si="16"/>
        <v>0.66072988472299432</v>
      </c>
      <c r="H266" s="1096" t="s">
        <v>81</v>
      </c>
      <c r="I266" s="18" t="s">
        <v>45</v>
      </c>
      <c r="J266" s="82">
        <f>SUM(J267:J269)</f>
        <v>2</v>
      </c>
      <c r="K266" s="929" t="s">
        <v>70</v>
      </c>
      <c r="L266" s="929"/>
      <c r="M266" s="1070" t="s">
        <v>35</v>
      </c>
    </row>
    <row r="267" spans="1:13" s="10" customFormat="1">
      <c r="A267" s="729"/>
      <c r="B267" s="878"/>
      <c r="C267" s="39" t="s">
        <v>4</v>
      </c>
      <c r="D267" s="56">
        <f t="shared" ref="D267:F268" si="18">SUM(D272,D277)</f>
        <v>207848.1</v>
      </c>
      <c r="E267" s="56">
        <f t="shared" si="18"/>
        <v>207848.1</v>
      </c>
      <c r="F267" s="56">
        <f t="shared" si="18"/>
        <v>121315.09418</v>
      </c>
      <c r="G267" s="81">
        <f t="shared" si="16"/>
        <v>0.58367189394562657</v>
      </c>
      <c r="H267" s="735"/>
      <c r="I267" s="18" t="s">
        <v>46</v>
      </c>
      <c r="J267" s="80">
        <f>COUNTIF($J$271:$J$280,"Да")</f>
        <v>1</v>
      </c>
      <c r="K267" s="762"/>
      <c r="L267" s="762"/>
      <c r="M267" s="764"/>
    </row>
    <row r="268" spans="1:13" s="10" customFormat="1">
      <c r="A268" s="729"/>
      <c r="B268" s="878"/>
      <c r="C268" s="39" t="s">
        <v>5</v>
      </c>
      <c r="D268" s="56">
        <f t="shared" si="18"/>
        <v>0</v>
      </c>
      <c r="E268" s="57">
        <f t="shared" si="18"/>
        <v>0</v>
      </c>
      <c r="F268" s="57">
        <f t="shared" si="18"/>
        <v>0</v>
      </c>
      <c r="G268" s="81">
        <f t="shared" si="16"/>
        <v>0</v>
      </c>
      <c r="H268" s="735"/>
      <c r="I268" s="18" t="s">
        <v>47</v>
      </c>
      <c r="J268" s="80">
        <f>COUNTIF($J$271:$J$280,"Частично")</f>
        <v>1</v>
      </c>
      <c r="K268" s="762"/>
      <c r="L268" s="762"/>
      <c r="M268" s="764"/>
    </row>
    <row r="269" spans="1:13" s="10" customFormat="1">
      <c r="A269" s="729"/>
      <c r="B269" s="878"/>
      <c r="C269" s="39" t="s">
        <v>6</v>
      </c>
      <c r="D269" s="56">
        <f>SUM(D279,D274)</f>
        <v>10712.4</v>
      </c>
      <c r="E269" s="56">
        <f>SUM(E274,E279)</f>
        <v>10712.5</v>
      </c>
      <c r="F269" s="56">
        <f>SUM(F279,F274)</f>
        <v>23094.359789999999</v>
      </c>
      <c r="G269" s="81">
        <f t="shared" si="16"/>
        <v>2.155853010529853</v>
      </c>
      <c r="H269" s="735"/>
      <c r="I269" s="18" t="s">
        <v>48</v>
      </c>
      <c r="J269" s="80">
        <f>COUNTIF($J$271:$J$280,"Нет")</f>
        <v>0</v>
      </c>
      <c r="K269" s="762"/>
      <c r="L269" s="762"/>
      <c r="M269" s="764"/>
    </row>
    <row r="270" spans="1:13" s="10" customFormat="1">
      <c r="A270" s="730"/>
      <c r="B270" s="879"/>
      <c r="C270" s="58" t="s">
        <v>7</v>
      </c>
      <c r="D270" s="56">
        <v>0</v>
      </c>
      <c r="E270" s="56">
        <f>SUM(E275,E280)</f>
        <v>0</v>
      </c>
      <c r="F270" s="56">
        <f>SUM(F275,F280)</f>
        <v>0</v>
      </c>
      <c r="G270" s="81">
        <f t="shared" si="16"/>
        <v>0</v>
      </c>
      <c r="H270" s="736"/>
      <c r="I270" s="18" t="s">
        <v>49</v>
      </c>
      <c r="J270" s="62">
        <f>(J267+0.5*J268)/J266</f>
        <v>0.75</v>
      </c>
      <c r="K270" s="762"/>
      <c r="L270" s="771"/>
      <c r="M270" s="834"/>
    </row>
    <row r="271" spans="1:13" ht="15" customHeight="1">
      <c r="A271" s="1044" t="s">
        <v>101</v>
      </c>
      <c r="B271" s="1105" t="s">
        <v>44</v>
      </c>
      <c r="C271" s="175" t="s">
        <v>3</v>
      </c>
      <c r="D271" s="208">
        <f>SUM(D272:D275)</f>
        <v>4312.5</v>
      </c>
      <c r="E271" s="180">
        <f>SUM(E272:E275)</f>
        <v>4312.5</v>
      </c>
      <c r="F271" s="180">
        <f>SUM(F272:F275)</f>
        <v>4312.5</v>
      </c>
      <c r="G271" s="206">
        <f t="shared" si="16"/>
        <v>1</v>
      </c>
      <c r="H271" s="1045" t="s">
        <v>615</v>
      </c>
      <c r="I271" s="672" t="s">
        <v>679</v>
      </c>
      <c r="J271" s="669" t="s">
        <v>177</v>
      </c>
      <c r="K271" s="672" t="s">
        <v>65</v>
      </c>
      <c r="L271" s="1087"/>
      <c r="M271" s="1281">
        <v>823</v>
      </c>
    </row>
    <row r="272" spans="1:13" ht="15" customHeight="1">
      <c r="A272" s="711"/>
      <c r="B272" s="741"/>
      <c r="C272" s="175" t="s">
        <v>4</v>
      </c>
      <c r="D272" s="189">
        <f>'[2]334-ПП'!F900</f>
        <v>4312.5</v>
      </c>
      <c r="E272" s="183">
        <f>'[9]2024'!H114</f>
        <v>4312.5</v>
      </c>
      <c r="F272" s="183">
        <f>E272</f>
        <v>4312.5</v>
      </c>
      <c r="G272" s="206">
        <f t="shared" si="16"/>
        <v>1</v>
      </c>
      <c r="H272" s="817"/>
      <c r="I272" s="673"/>
      <c r="J272" s="670"/>
      <c r="K272" s="673"/>
      <c r="L272" s="702"/>
      <c r="M272" s="676"/>
    </row>
    <row r="273" spans="1:13" ht="15" customHeight="1">
      <c r="A273" s="711"/>
      <c r="B273" s="741"/>
      <c r="C273" s="175" t="s">
        <v>5</v>
      </c>
      <c r="D273" s="209">
        <v>0</v>
      </c>
      <c r="E273" s="183">
        <v>0</v>
      </c>
      <c r="F273" s="183">
        <v>0</v>
      </c>
      <c r="G273" s="206">
        <f t="shared" si="16"/>
        <v>0</v>
      </c>
      <c r="H273" s="817"/>
      <c r="I273" s="673"/>
      <c r="J273" s="670"/>
      <c r="K273" s="673"/>
      <c r="L273" s="702"/>
      <c r="M273" s="676"/>
    </row>
    <row r="274" spans="1:13" ht="15" customHeight="1">
      <c r="A274" s="711"/>
      <c r="B274" s="741"/>
      <c r="C274" s="175" t="s">
        <v>6</v>
      </c>
      <c r="D274" s="189">
        <v>0</v>
      </c>
      <c r="E274" s="182">
        <v>0</v>
      </c>
      <c r="F274" s="182">
        <v>0</v>
      </c>
      <c r="G274" s="206">
        <f t="shared" si="16"/>
        <v>0</v>
      </c>
      <c r="H274" s="817"/>
      <c r="I274" s="673"/>
      <c r="J274" s="670"/>
      <c r="K274" s="673"/>
      <c r="L274" s="702"/>
      <c r="M274" s="676"/>
    </row>
    <row r="275" spans="1:13" ht="15" customHeight="1">
      <c r="A275" s="712"/>
      <c r="B275" s="742"/>
      <c r="C275" s="210" t="s">
        <v>7</v>
      </c>
      <c r="D275" s="211">
        <v>0</v>
      </c>
      <c r="E275" s="182">
        <v>0</v>
      </c>
      <c r="F275" s="182">
        <v>0</v>
      </c>
      <c r="G275" s="206">
        <f t="shared" si="16"/>
        <v>0</v>
      </c>
      <c r="H275" s="876"/>
      <c r="I275" s="674"/>
      <c r="J275" s="671"/>
      <c r="K275" s="673"/>
      <c r="L275" s="703"/>
      <c r="M275" s="677"/>
    </row>
    <row r="276" spans="1:13" ht="15.75" customHeight="1">
      <c r="A276" s="682" t="s">
        <v>102</v>
      </c>
      <c r="B276" s="682" t="s">
        <v>131</v>
      </c>
      <c r="C276" s="175" t="s">
        <v>3</v>
      </c>
      <c r="D276" s="212">
        <f>SUM(D277:D280)</f>
        <v>214248</v>
      </c>
      <c r="E276" s="212">
        <f>SUM(E277:E280)</f>
        <v>214248.1</v>
      </c>
      <c r="F276" s="212">
        <f>SUM(F277:F280)</f>
        <v>140096.95397</v>
      </c>
      <c r="G276" s="206">
        <f t="shared" si="16"/>
        <v>0.65390087174676081</v>
      </c>
      <c r="H276" s="663" t="s">
        <v>680</v>
      </c>
      <c r="I276" s="666" t="s">
        <v>1055</v>
      </c>
      <c r="J276" s="1082" t="s">
        <v>178</v>
      </c>
      <c r="K276" s="700" t="s">
        <v>93</v>
      </c>
      <c r="L276" s="1292" t="s">
        <v>1054</v>
      </c>
      <c r="M276" s="1281">
        <v>807</v>
      </c>
    </row>
    <row r="277" spans="1:13" ht="15.75" customHeight="1">
      <c r="A277" s="683"/>
      <c r="B277" s="683"/>
      <c r="C277" s="175" t="s">
        <v>4</v>
      </c>
      <c r="D277" s="183">
        <f>'[2]334-ПП'!F921</f>
        <v>203535.6</v>
      </c>
      <c r="E277" s="180">
        <f>[9]МИНСТРОЙ!E277</f>
        <v>203535.6</v>
      </c>
      <c r="F277" s="180">
        <f>[9]МИНСТРОЙ!F277</f>
        <v>117002.59418</v>
      </c>
      <c r="G277" s="206">
        <f t="shared" si="16"/>
        <v>0.57485075917922956</v>
      </c>
      <c r="H277" s="664"/>
      <c r="I277" s="1290"/>
      <c r="J277" s="667"/>
      <c r="K277" s="700"/>
      <c r="L277" s="1293"/>
      <c r="M277" s="676"/>
    </row>
    <row r="278" spans="1:13" ht="15.75" customHeight="1">
      <c r="A278" s="683"/>
      <c r="B278" s="683"/>
      <c r="C278" s="175" t="s">
        <v>5</v>
      </c>
      <c r="D278" s="183">
        <v>0</v>
      </c>
      <c r="E278" s="180">
        <f>[9]МИНСТРОЙ!E278</f>
        <v>0</v>
      </c>
      <c r="F278" s="180">
        <f>[9]МИНСТРОЙ!F278</f>
        <v>0</v>
      </c>
      <c r="G278" s="206">
        <f t="shared" si="16"/>
        <v>0</v>
      </c>
      <c r="H278" s="664"/>
      <c r="I278" s="1290"/>
      <c r="J278" s="667"/>
      <c r="K278" s="700"/>
      <c r="L278" s="1293"/>
      <c r="M278" s="676"/>
    </row>
    <row r="279" spans="1:13" ht="15.75" customHeight="1">
      <c r="A279" s="683"/>
      <c r="B279" s="683"/>
      <c r="C279" s="175" t="s">
        <v>6</v>
      </c>
      <c r="D279" s="183">
        <f>'[2]334-ПП'!H921</f>
        <v>10712.4</v>
      </c>
      <c r="E279" s="180">
        <f>[9]МИНСТРОЙ!E279</f>
        <v>10712.5</v>
      </c>
      <c r="F279" s="180">
        <f>[9]МИНСТРОЙ!F279</f>
        <v>23094.359789999999</v>
      </c>
      <c r="G279" s="206">
        <f t="shared" si="16"/>
        <v>2.155853010529853</v>
      </c>
      <c r="H279" s="664"/>
      <c r="I279" s="1290"/>
      <c r="J279" s="667"/>
      <c r="K279" s="700"/>
      <c r="L279" s="1293"/>
      <c r="M279" s="676"/>
    </row>
    <row r="280" spans="1:13" ht="15.75" customHeight="1">
      <c r="A280" s="684"/>
      <c r="B280" s="684"/>
      <c r="C280" s="213" t="s">
        <v>7</v>
      </c>
      <c r="D280" s="180">
        <v>0</v>
      </c>
      <c r="E280" s="180">
        <f>[9]МИНСТРОЙ!E280</f>
        <v>0</v>
      </c>
      <c r="F280" s="180">
        <f>[9]МИНСТРОЙ!F280</f>
        <v>0</v>
      </c>
      <c r="G280" s="206">
        <f t="shared" si="16"/>
        <v>0</v>
      </c>
      <c r="H280" s="665"/>
      <c r="I280" s="1291"/>
      <c r="J280" s="668"/>
      <c r="K280" s="700"/>
      <c r="L280" s="1294"/>
      <c r="M280" s="677"/>
    </row>
    <row r="281" spans="1:13" s="10" customFormat="1">
      <c r="A281" s="1183" t="s">
        <v>20</v>
      </c>
      <c r="B281" s="1128" t="s">
        <v>21</v>
      </c>
      <c r="C281" s="44" t="s">
        <v>3</v>
      </c>
      <c r="D281" s="47">
        <f>SUM(D282:D285)</f>
        <v>56948.595869999997</v>
      </c>
      <c r="E281" s="43">
        <f>SUM(E282:E285)</f>
        <v>55579.932139999997</v>
      </c>
      <c r="F281" s="43">
        <f>SUM(F282:F285)</f>
        <v>55579.932139999997</v>
      </c>
      <c r="G281" s="48">
        <f t="shared" si="16"/>
        <v>0.97596668172250756</v>
      </c>
      <c r="H281" s="1184"/>
      <c r="I281" s="33" t="s">
        <v>45</v>
      </c>
      <c r="J281" s="77">
        <f>J286</f>
        <v>1</v>
      </c>
      <c r="K281" s="1185" t="s">
        <v>65</v>
      </c>
      <c r="L281" s="1104"/>
      <c r="M281" s="1075">
        <v>823</v>
      </c>
    </row>
    <row r="282" spans="1:13" s="10" customFormat="1">
      <c r="A282" s="890"/>
      <c r="B282" s="900"/>
      <c r="C282" s="44" t="s">
        <v>4</v>
      </c>
      <c r="D282" s="53">
        <f>D287</f>
        <v>56948.595869999997</v>
      </c>
      <c r="E282" s="54">
        <f>E287</f>
        <v>55579.932139999997</v>
      </c>
      <c r="F282" s="54">
        <f>F287</f>
        <v>55579.932139999997</v>
      </c>
      <c r="G282" s="48">
        <f t="shared" si="16"/>
        <v>0.97596668172250756</v>
      </c>
      <c r="H282" s="894"/>
      <c r="I282" s="33" t="s">
        <v>46</v>
      </c>
      <c r="J282" s="78">
        <f>J287</f>
        <v>1</v>
      </c>
      <c r="K282" s="903"/>
      <c r="L282" s="752"/>
      <c r="M282" s="823"/>
    </row>
    <row r="283" spans="1:13" s="10" customFormat="1">
      <c r="A283" s="890"/>
      <c r="B283" s="900"/>
      <c r="C283" s="44" t="s">
        <v>5</v>
      </c>
      <c r="D283" s="53">
        <v>0</v>
      </c>
      <c r="E283" s="53">
        <v>0</v>
      </c>
      <c r="F283" s="53">
        <v>0</v>
      </c>
      <c r="G283" s="48">
        <f t="shared" si="16"/>
        <v>0</v>
      </c>
      <c r="H283" s="894"/>
      <c r="I283" s="33" t="s">
        <v>47</v>
      </c>
      <c r="J283" s="78">
        <f t="shared" ref="J283:J284" si="19">J288</f>
        <v>0</v>
      </c>
      <c r="K283" s="903"/>
      <c r="L283" s="752"/>
      <c r="M283" s="823"/>
    </row>
    <row r="284" spans="1:13" s="10" customFormat="1">
      <c r="A284" s="890"/>
      <c r="B284" s="900"/>
      <c r="C284" s="44" t="s">
        <v>6</v>
      </c>
      <c r="D284" s="53">
        <v>0</v>
      </c>
      <c r="E284" s="53">
        <v>0</v>
      </c>
      <c r="F284" s="53">
        <v>0</v>
      </c>
      <c r="G284" s="48">
        <f t="shared" si="16"/>
        <v>0</v>
      </c>
      <c r="H284" s="894"/>
      <c r="I284" s="33" t="s">
        <v>48</v>
      </c>
      <c r="J284" s="78">
        <f t="shared" si="19"/>
        <v>0</v>
      </c>
      <c r="K284" s="903"/>
      <c r="L284" s="752"/>
      <c r="M284" s="823"/>
    </row>
    <row r="285" spans="1:13" s="10" customFormat="1">
      <c r="A285" s="891"/>
      <c r="B285" s="901"/>
      <c r="C285" s="44" t="s">
        <v>7</v>
      </c>
      <c r="D285" s="53">
        <v>0</v>
      </c>
      <c r="E285" s="53">
        <v>0</v>
      </c>
      <c r="F285" s="53">
        <v>0</v>
      </c>
      <c r="G285" s="48">
        <f t="shared" si="16"/>
        <v>0</v>
      </c>
      <c r="H285" s="895"/>
      <c r="I285" s="33" t="s">
        <v>49</v>
      </c>
      <c r="J285" s="79">
        <f>(J282+0.5*J283)/J281</f>
        <v>1</v>
      </c>
      <c r="K285" s="904"/>
      <c r="L285" s="905"/>
      <c r="M285" s="892"/>
    </row>
    <row r="286" spans="1:13" s="10" customFormat="1" ht="21" customHeight="1">
      <c r="A286" s="1133" t="s">
        <v>22</v>
      </c>
      <c r="B286" s="1095" t="s">
        <v>59</v>
      </c>
      <c r="C286" s="72" t="s">
        <v>3</v>
      </c>
      <c r="D286" s="40">
        <f>SUM(D287:D290)</f>
        <v>56948.595869999997</v>
      </c>
      <c r="E286" s="35">
        <f>SUM(E287:E290)</f>
        <v>55579.932139999997</v>
      </c>
      <c r="F286" s="35">
        <f>SUM(F287:F290)</f>
        <v>55579.932139999997</v>
      </c>
      <c r="G286" s="37">
        <f t="shared" si="16"/>
        <v>0.97596668172250756</v>
      </c>
      <c r="H286" s="1194"/>
      <c r="I286" s="18" t="s">
        <v>45</v>
      </c>
      <c r="J286" s="61">
        <f>SUM(J287:J289)</f>
        <v>1</v>
      </c>
      <c r="K286" s="929" t="s">
        <v>65</v>
      </c>
      <c r="L286" s="929"/>
      <c r="M286" s="1070">
        <v>823</v>
      </c>
    </row>
    <row r="287" spans="1:13" s="10" customFormat="1">
      <c r="A287" s="878"/>
      <c r="B287" s="732"/>
      <c r="C287" s="39" t="s">
        <v>4</v>
      </c>
      <c r="D287" s="55">
        <f>D292</f>
        <v>56948.595869999997</v>
      </c>
      <c r="E287" s="35">
        <f>E292</f>
        <v>55579.932139999997</v>
      </c>
      <c r="F287" s="35">
        <f>F292</f>
        <v>55579.932139999997</v>
      </c>
      <c r="G287" s="37">
        <f t="shared" si="16"/>
        <v>0.97596668172250756</v>
      </c>
      <c r="H287" s="887"/>
      <c r="I287" s="18" t="s">
        <v>46</v>
      </c>
      <c r="J287" s="80">
        <f>COUNTIF($J$291,"Да")</f>
        <v>1</v>
      </c>
      <c r="K287" s="762"/>
      <c r="L287" s="762"/>
      <c r="M287" s="764"/>
    </row>
    <row r="288" spans="1:13" s="10" customFormat="1">
      <c r="A288" s="878"/>
      <c r="B288" s="732"/>
      <c r="C288" s="39" t="s">
        <v>5</v>
      </c>
      <c r="D288" s="55">
        <v>0</v>
      </c>
      <c r="E288" s="55">
        <v>0</v>
      </c>
      <c r="F288" s="55">
        <v>0</v>
      </c>
      <c r="G288" s="37">
        <f t="shared" si="16"/>
        <v>0</v>
      </c>
      <c r="H288" s="887"/>
      <c r="I288" s="18" t="s">
        <v>47</v>
      </c>
      <c r="J288" s="80">
        <f>COUNTIF($J$291,"Частично")</f>
        <v>0</v>
      </c>
      <c r="K288" s="762"/>
      <c r="L288" s="762"/>
      <c r="M288" s="764"/>
    </row>
    <row r="289" spans="1:13" s="10" customFormat="1">
      <c r="A289" s="878"/>
      <c r="B289" s="732"/>
      <c r="C289" s="39" t="s">
        <v>6</v>
      </c>
      <c r="D289" s="55">
        <v>0</v>
      </c>
      <c r="E289" s="55">
        <v>0</v>
      </c>
      <c r="F289" s="55">
        <v>0</v>
      </c>
      <c r="G289" s="37">
        <f t="shared" si="16"/>
        <v>0</v>
      </c>
      <c r="H289" s="887"/>
      <c r="I289" s="18" t="s">
        <v>48</v>
      </c>
      <c r="J289" s="80">
        <f>COUNTIF($J$291,"Нет")</f>
        <v>0</v>
      </c>
      <c r="K289" s="762"/>
      <c r="L289" s="762"/>
      <c r="M289" s="764"/>
    </row>
    <row r="290" spans="1:13" s="10" customFormat="1">
      <c r="A290" s="879"/>
      <c r="B290" s="733"/>
      <c r="C290" s="39" t="s">
        <v>7</v>
      </c>
      <c r="D290" s="55">
        <v>0</v>
      </c>
      <c r="E290" s="55">
        <v>0</v>
      </c>
      <c r="F290" s="55">
        <v>0</v>
      </c>
      <c r="G290" s="37">
        <f t="shared" si="16"/>
        <v>0</v>
      </c>
      <c r="H290" s="888"/>
      <c r="I290" s="18" t="s">
        <v>49</v>
      </c>
      <c r="J290" s="62">
        <f>(J287+0.5*J288)/J286</f>
        <v>1</v>
      </c>
      <c r="K290" s="771"/>
      <c r="L290" s="771"/>
      <c r="M290" s="834"/>
    </row>
    <row r="291" spans="1:13" ht="15" customHeight="1">
      <c r="A291" s="1105" t="s">
        <v>23</v>
      </c>
      <c r="B291" s="1079" t="s">
        <v>86</v>
      </c>
      <c r="C291" s="175" t="s">
        <v>3</v>
      </c>
      <c r="D291" s="180">
        <f>SUM(D292:D295)</f>
        <v>56948.595869999997</v>
      </c>
      <c r="E291" s="192">
        <f>SUM(E292:E295)</f>
        <v>55579.932139999997</v>
      </c>
      <c r="F291" s="192">
        <f>SUM(F292:F295)</f>
        <v>55579.932139999997</v>
      </c>
      <c r="G291" s="174">
        <f t="shared" si="16"/>
        <v>0.97596668172250756</v>
      </c>
      <c r="H291" s="1083" t="s">
        <v>85</v>
      </c>
      <c r="I291" s="1087" t="s">
        <v>224</v>
      </c>
      <c r="J291" s="1082" t="s">
        <v>177</v>
      </c>
      <c r="K291" s="672" t="s">
        <v>69</v>
      </c>
      <c r="L291" s="1370"/>
      <c r="M291" s="1281">
        <v>823</v>
      </c>
    </row>
    <row r="292" spans="1:13" ht="15" customHeight="1">
      <c r="A292" s="741"/>
      <c r="B292" s="866"/>
      <c r="C292" s="175" t="s">
        <v>4</v>
      </c>
      <c r="D292" s="183">
        <f>'[2]334-ПП'!F942</f>
        <v>56948.595869999997</v>
      </c>
      <c r="E292" s="192">
        <f>'[9]2024'!H118</f>
        <v>55579.932139999997</v>
      </c>
      <c r="F292" s="192">
        <f>E292</f>
        <v>55579.932139999997</v>
      </c>
      <c r="G292" s="174">
        <f t="shared" si="16"/>
        <v>0.97596668172250756</v>
      </c>
      <c r="H292" s="773"/>
      <c r="I292" s="702"/>
      <c r="J292" s="667"/>
      <c r="K292" s="673"/>
      <c r="L292" s="897"/>
      <c r="M292" s="676"/>
    </row>
    <row r="293" spans="1:13" ht="15" customHeight="1">
      <c r="A293" s="741"/>
      <c r="B293" s="866"/>
      <c r="C293" s="175" t="s">
        <v>5</v>
      </c>
      <c r="D293" s="183">
        <v>0</v>
      </c>
      <c r="E293" s="182">
        <v>0</v>
      </c>
      <c r="F293" s="182">
        <v>0</v>
      </c>
      <c r="G293" s="174">
        <f t="shared" si="16"/>
        <v>0</v>
      </c>
      <c r="H293" s="773"/>
      <c r="I293" s="702"/>
      <c r="J293" s="667"/>
      <c r="K293" s="673"/>
      <c r="L293" s="897"/>
      <c r="M293" s="676"/>
    </row>
    <row r="294" spans="1:13" ht="15" customHeight="1">
      <c r="A294" s="741"/>
      <c r="B294" s="866"/>
      <c r="C294" s="175" t="s">
        <v>6</v>
      </c>
      <c r="D294" s="183">
        <v>0</v>
      </c>
      <c r="E294" s="182">
        <v>0</v>
      </c>
      <c r="F294" s="182">
        <v>0</v>
      </c>
      <c r="G294" s="174">
        <f t="shared" si="16"/>
        <v>0</v>
      </c>
      <c r="H294" s="773"/>
      <c r="I294" s="702"/>
      <c r="J294" s="667"/>
      <c r="K294" s="673"/>
      <c r="L294" s="897"/>
      <c r="M294" s="676"/>
    </row>
    <row r="295" spans="1:13" ht="15" customHeight="1">
      <c r="A295" s="742"/>
      <c r="B295" s="867"/>
      <c r="C295" s="175" t="s">
        <v>7</v>
      </c>
      <c r="D295" s="183">
        <v>0</v>
      </c>
      <c r="E295" s="182">
        <v>0</v>
      </c>
      <c r="F295" s="182">
        <v>0</v>
      </c>
      <c r="G295" s="174">
        <f t="shared" si="16"/>
        <v>0</v>
      </c>
      <c r="H295" s="774"/>
      <c r="I295" s="703"/>
      <c r="J295" s="668"/>
      <c r="K295" s="674"/>
      <c r="L295" s="898"/>
      <c r="M295" s="677"/>
    </row>
    <row r="296" spans="1:13" s="3" customFormat="1">
      <c r="A296" s="1"/>
      <c r="B296" s="8"/>
      <c r="C296" s="5"/>
      <c r="D296" s="29"/>
      <c r="E296" s="9"/>
      <c r="F296" s="30"/>
      <c r="G296" s="31"/>
      <c r="H296" s="16"/>
      <c r="I296" s="69"/>
      <c r="J296" s="70"/>
      <c r="K296" s="71"/>
      <c r="L296" s="71"/>
      <c r="M296" s="5"/>
    </row>
    <row r="297" spans="1:13" s="3" customFormat="1">
      <c r="A297" s="1"/>
      <c r="B297" s="8"/>
      <c r="C297" s="5"/>
      <c r="D297" s="29"/>
      <c r="E297" s="9"/>
      <c r="F297" s="30"/>
      <c r="G297" s="31"/>
      <c r="H297" s="16"/>
      <c r="I297" s="69"/>
      <c r="J297" s="70"/>
      <c r="K297" s="71"/>
      <c r="L297" s="71"/>
      <c r="M297" s="5"/>
    </row>
    <row r="298" spans="1:13" s="3" customFormat="1">
      <c r="A298" s="1"/>
      <c r="B298" s="8"/>
      <c r="C298" s="5"/>
      <c r="D298" s="29"/>
      <c r="E298" s="9"/>
      <c r="F298" s="30"/>
      <c r="G298" s="31"/>
      <c r="H298" s="16"/>
      <c r="I298" s="69"/>
      <c r="J298" s="70"/>
      <c r="K298" s="71"/>
      <c r="L298" s="71"/>
      <c r="M298" s="5"/>
    </row>
    <row r="299" spans="1:13" s="3" customFormat="1">
      <c r="A299" s="1"/>
      <c r="B299" s="8"/>
      <c r="C299" s="5"/>
      <c r="D299" s="29"/>
      <c r="E299" s="9"/>
      <c r="F299" s="30"/>
      <c r="G299" s="31"/>
      <c r="H299" s="16"/>
      <c r="I299" s="69"/>
      <c r="J299" s="70"/>
      <c r="K299" s="71"/>
      <c r="L299" s="71"/>
      <c r="M299" s="5"/>
    </row>
    <row r="300" spans="1:13" s="3" customFormat="1">
      <c r="A300" s="1"/>
      <c r="B300" s="8"/>
      <c r="C300" s="5"/>
      <c r="D300" s="29"/>
      <c r="E300" s="9"/>
      <c r="F300" s="30"/>
      <c r="G300" s="31"/>
      <c r="H300" s="16"/>
      <c r="I300" s="69"/>
      <c r="J300" s="70"/>
      <c r="K300" s="71"/>
      <c r="L300" s="71"/>
      <c r="M300" s="5"/>
    </row>
    <row r="301" spans="1:13" s="3" customFormat="1">
      <c r="A301" s="1"/>
      <c r="B301" s="8"/>
      <c r="C301" s="5"/>
      <c r="D301" s="29"/>
      <c r="E301" s="9"/>
      <c r="F301" s="30"/>
      <c r="G301" s="31"/>
      <c r="H301" s="16"/>
      <c r="I301" s="69"/>
      <c r="J301" s="70"/>
      <c r="K301" s="71"/>
      <c r="L301" s="71"/>
      <c r="M301" s="5"/>
    </row>
    <row r="302" spans="1:13" s="3" customFormat="1">
      <c r="A302" s="1"/>
      <c r="B302" s="8"/>
      <c r="C302" s="5"/>
      <c r="D302" s="29"/>
      <c r="E302" s="9"/>
      <c r="F302" s="30"/>
      <c r="G302" s="31"/>
      <c r="H302" s="16"/>
      <c r="I302" s="69"/>
      <c r="J302" s="70"/>
      <c r="K302" s="71"/>
      <c r="L302" s="71"/>
      <c r="M302" s="5"/>
    </row>
    <row r="303" spans="1:13" s="3" customFormat="1">
      <c r="A303" s="1"/>
      <c r="B303" s="8"/>
      <c r="C303" s="5"/>
      <c r="D303" s="29"/>
      <c r="E303" s="9"/>
      <c r="F303" s="30"/>
      <c r="G303" s="31"/>
      <c r="H303" s="16"/>
      <c r="I303" s="69"/>
      <c r="J303" s="70"/>
      <c r="K303" s="71"/>
      <c r="L303" s="71"/>
      <c r="M303" s="5"/>
    </row>
    <row r="304" spans="1:13" s="3" customFormat="1">
      <c r="A304" s="1"/>
      <c r="B304" s="8"/>
      <c r="C304" s="5"/>
      <c r="D304" s="29"/>
      <c r="E304" s="9"/>
      <c r="F304" s="30"/>
      <c r="G304" s="31"/>
      <c r="H304" s="16"/>
      <c r="I304" s="69"/>
      <c r="J304" s="70"/>
      <c r="K304" s="71"/>
      <c r="L304" s="71"/>
      <c r="M304" s="5"/>
    </row>
    <row r="305" spans="1:13" s="3" customFormat="1">
      <c r="A305" s="1"/>
      <c r="B305" s="8"/>
      <c r="C305" s="5"/>
      <c r="D305" s="29"/>
      <c r="E305" s="9"/>
      <c r="F305" s="30"/>
      <c r="G305" s="31"/>
      <c r="H305" s="16"/>
      <c r="I305" s="69"/>
      <c r="J305" s="70"/>
      <c r="K305" s="71"/>
      <c r="L305" s="71"/>
      <c r="M305" s="5"/>
    </row>
    <row r="306" spans="1:13" s="3" customFormat="1">
      <c r="A306" s="1"/>
      <c r="B306" s="8"/>
      <c r="C306" s="5"/>
      <c r="D306" s="29"/>
      <c r="E306" s="9"/>
      <c r="F306" s="30"/>
      <c r="G306" s="31"/>
      <c r="H306" s="16"/>
      <c r="I306" s="69"/>
      <c r="J306" s="70"/>
      <c r="K306" s="71"/>
      <c r="L306" s="71"/>
      <c r="M306" s="5"/>
    </row>
    <row r="307" spans="1:13" s="3" customFormat="1">
      <c r="A307" s="1"/>
      <c r="B307" s="8"/>
      <c r="C307" s="5"/>
      <c r="D307" s="29"/>
      <c r="E307" s="9"/>
      <c r="F307" s="30"/>
      <c r="G307" s="31"/>
      <c r="H307" s="16"/>
      <c r="I307" s="69"/>
      <c r="J307" s="70"/>
      <c r="K307" s="71"/>
      <c r="L307" s="71"/>
      <c r="M307" s="5"/>
    </row>
    <row r="308" spans="1:13" s="3" customFormat="1">
      <c r="A308" s="1"/>
      <c r="B308" s="8"/>
      <c r="C308" s="5"/>
      <c r="D308" s="29"/>
      <c r="E308" s="9"/>
      <c r="F308" s="30"/>
      <c r="G308" s="31"/>
      <c r="H308" s="16"/>
      <c r="I308" s="69"/>
      <c r="J308" s="70"/>
      <c r="K308" s="71"/>
      <c r="L308" s="71"/>
      <c r="M308" s="5"/>
    </row>
    <row r="309" spans="1:13" s="3" customFormat="1">
      <c r="A309" s="1"/>
      <c r="B309" s="8"/>
      <c r="C309" s="5"/>
      <c r="D309" s="29"/>
      <c r="E309" s="9"/>
      <c r="F309" s="30"/>
      <c r="G309" s="31"/>
      <c r="H309" s="16"/>
      <c r="I309" s="69"/>
      <c r="J309" s="70"/>
      <c r="K309" s="71"/>
      <c r="L309" s="71"/>
      <c r="M309" s="5"/>
    </row>
    <row r="310" spans="1:13" s="3" customFormat="1">
      <c r="A310" s="1"/>
      <c r="B310" s="8"/>
      <c r="C310" s="5"/>
      <c r="D310" s="29"/>
      <c r="E310" s="9"/>
      <c r="F310" s="30"/>
      <c r="G310" s="31"/>
      <c r="H310" s="16"/>
      <c r="I310" s="69"/>
      <c r="J310" s="70"/>
      <c r="K310" s="71"/>
      <c r="L310" s="71"/>
      <c r="M310" s="5"/>
    </row>
    <row r="311" spans="1:13" s="3" customFormat="1">
      <c r="A311" s="1"/>
      <c r="B311" s="8"/>
      <c r="C311" s="5"/>
      <c r="D311" s="29"/>
      <c r="E311" s="9"/>
      <c r="F311" s="30"/>
      <c r="G311" s="31"/>
      <c r="H311" s="16"/>
      <c r="I311" s="69"/>
      <c r="J311" s="70"/>
      <c r="K311" s="71"/>
      <c r="L311" s="71"/>
      <c r="M311" s="5"/>
    </row>
    <row r="312" spans="1:13" s="3" customFormat="1">
      <c r="A312" s="1"/>
      <c r="B312" s="8"/>
      <c r="C312" s="5"/>
      <c r="D312" s="29"/>
      <c r="E312" s="9"/>
      <c r="F312" s="30"/>
      <c r="G312" s="31"/>
      <c r="H312" s="16"/>
      <c r="I312" s="69"/>
      <c r="J312" s="70"/>
      <c r="K312" s="71"/>
      <c r="L312" s="71"/>
      <c r="M312" s="5"/>
    </row>
    <row r="313" spans="1:13" s="3" customFormat="1">
      <c r="A313" s="1"/>
      <c r="B313" s="8"/>
      <c r="C313" s="5"/>
      <c r="D313" s="29"/>
      <c r="E313" s="9"/>
      <c r="F313" s="30"/>
      <c r="G313" s="31"/>
      <c r="H313" s="16"/>
      <c r="I313" s="69"/>
      <c r="J313" s="70"/>
      <c r="K313" s="71"/>
      <c r="L313" s="71"/>
      <c r="M313" s="5"/>
    </row>
    <row r="314" spans="1:13" s="3" customFormat="1">
      <c r="A314" s="1"/>
      <c r="B314" s="8"/>
      <c r="C314" s="5"/>
      <c r="D314" s="29"/>
      <c r="E314" s="9"/>
      <c r="F314" s="30"/>
      <c r="G314" s="31"/>
      <c r="H314" s="16"/>
      <c r="I314" s="69"/>
      <c r="J314" s="70"/>
      <c r="K314" s="71"/>
      <c r="L314" s="71"/>
      <c r="M314" s="5"/>
    </row>
    <row r="315" spans="1:13" s="3" customFormat="1">
      <c r="A315" s="1"/>
      <c r="B315" s="8"/>
      <c r="C315" s="5"/>
      <c r="D315" s="29"/>
      <c r="E315" s="9"/>
      <c r="F315" s="30"/>
      <c r="G315" s="31"/>
      <c r="H315" s="16"/>
      <c r="I315" s="69"/>
      <c r="J315" s="70"/>
      <c r="K315" s="71"/>
      <c r="L315" s="71"/>
      <c r="M315" s="5"/>
    </row>
    <row r="316" spans="1:13" s="3" customFormat="1">
      <c r="A316" s="1"/>
      <c r="B316" s="8"/>
      <c r="C316" s="5"/>
      <c r="D316" s="29"/>
      <c r="E316" s="9"/>
      <c r="F316" s="30"/>
      <c r="G316" s="31"/>
      <c r="H316" s="16"/>
      <c r="I316" s="69"/>
      <c r="J316" s="70"/>
      <c r="K316" s="71"/>
      <c r="L316" s="71"/>
      <c r="M316" s="5"/>
    </row>
    <row r="317" spans="1:13" s="3" customFormat="1">
      <c r="A317" s="1"/>
      <c r="B317" s="8"/>
      <c r="C317" s="5"/>
      <c r="D317" s="29"/>
      <c r="E317" s="9"/>
      <c r="F317" s="30"/>
      <c r="G317" s="31"/>
      <c r="H317" s="16"/>
      <c r="I317" s="69"/>
      <c r="J317" s="70"/>
      <c r="K317" s="71"/>
      <c r="L317" s="71"/>
      <c r="M317" s="5"/>
    </row>
    <row r="318" spans="1:13" s="3" customFormat="1">
      <c r="A318" s="1"/>
      <c r="B318" s="8"/>
      <c r="C318" s="5"/>
      <c r="D318" s="29"/>
      <c r="E318" s="9"/>
      <c r="F318" s="30"/>
      <c r="G318" s="31"/>
      <c r="H318" s="16"/>
      <c r="I318" s="69"/>
      <c r="J318" s="70"/>
      <c r="K318" s="71"/>
      <c r="L318" s="71"/>
      <c r="M318" s="5"/>
    </row>
    <row r="319" spans="1:13" s="3" customFormat="1">
      <c r="A319" s="1"/>
      <c r="B319" s="8"/>
      <c r="C319" s="5"/>
      <c r="D319" s="29"/>
      <c r="E319" s="9"/>
      <c r="F319" s="30"/>
      <c r="G319" s="31"/>
      <c r="H319" s="16"/>
      <c r="I319" s="69"/>
      <c r="J319" s="70"/>
      <c r="K319" s="71"/>
      <c r="L319" s="71"/>
      <c r="M319" s="5"/>
    </row>
    <row r="320" spans="1:13" s="3" customFormat="1">
      <c r="A320" s="1"/>
      <c r="B320" s="8"/>
      <c r="C320" s="5"/>
      <c r="D320" s="29"/>
      <c r="E320" s="9"/>
      <c r="F320" s="30"/>
      <c r="G320" s="31"/>
      <c r="H320" s="16"/>
      <c r="I320" s="69"/>
      <c r="J320" s="70"/>
      <c r="K320" s="71"/>
      <c r="L320" s="71"/>
      <c r="M320" s="5"/>
    </row>
    <row r="321" spans="1:13" s="3" customFormat="1">
      <c r="A321" s="1"/>
      <c r="B321" s="8"/>
      <c r="C321" s="5"/>
      <c r="D321" s="29"/>
      <c r="E321" s="9"/>
      <c r="F321" s="30"/>
      <c r="G321" s="31"/>
      <c r="H321" s="16"/>
      <c r="I321" s="69"/>
      <c r="J321" s="70"/>
      <c r="K321" s="71"/>
      <c r="L321" s="71"/>
      <c r="M321" s="5"/>
    </row>
    <row r="322" spans="1:13" s="3" customFormat="1">
      <c r="A322" s="1"/>
      <c r="B322" s="8"/>
      <c r="C322" s="5"/>
      <c r="D322" s="29"/>
      <c r="E322" s="9"/>
      <c r="F322" s="30"/>
      <c r="G322" s="31"/>
      <c r="H322" s="16"/>
      <c r="I322" s="69"/>
      <c r="J322" s="70"/>
      <c r="K322" s="71"/>
      <c r="L322" s="71"/>
      <c r="M322" s="5"/>
    </row>
    <row r="323" spans="1:13" s="3" customFormat="1">
      <c r="A323" s="1"/>
      <c r="B323" s="8"/>
      <c r="C323" s="5"/>
      <c r="D323" s="29"/>
      <c r="E323" s="9"/>
      <c r="F323" s="30"/>
      <c r="G323" s="31"/>
      <c r="H323" s="16"/>
      <c r="I323" s="69"/>
      <c r="J323" s="70"/>
      <c r="K323" s="71"/>
      <c r="L323" s="71"/>
      <c r="M323" s="5"/>
    </row>
    <row r="324" spans="1:13" s="3" customFormat="1">
      <c r="A324" s="1"/>
      <c r="B324" s="8"/>
      <c r="C324" s="5"/>
      <c r="D324" s="29"/>
      <c r="E324" s="9"/>
      <c r="F324" s="30"/>
      <c r="G324" s="31"/>
      <c r="H324" s="16"/>
      <c r="I324" s="69"/>
      <c r="J324" s="70"/>
      <c r="K324" s="71"/>
      <c r="L324" s="71"/>
      <c r="M324" s="5"/>
    </row>
    <row r="325" spans="1:13" s="3" customFormat="1">
      <c r="A325" s="1"/>
      <c r="B325" s="8"/>
      <c r="C325" s="5"/>
      <c r="D325" s="29"/>
      <c r="E325" s="9"/>
      <c r="F325" s="30"/>
      <c r="G325" s="31"/>
      <c r="H325" s="16"/>
      <c r="I325" s="69"/>
      <c r="J325" s="70"/>
      <c r="K325" s="71"/>
      <c r="L325" s="71"/>
      <c r="M325" s="5"/>
    </row>
    <row r="326" spans="1:13" s="3" customFormat="1">
      <c r="A326" s="1"/>
      <c r="B326" s="8"/>
      <c r="C326" s="5"/>
      <c r="D326" s="29"/>
      <c r="E326" s="9"/>
      <c r="F326" s="30"/>
      <c r="G326" s="31"/>
      <c r="H326" s="16"/>
      <c r="I326" s="69"/>
      <c r="J326" s="70"/>
      <c r="K326" s="71"/>
      <c r="L326" s="71"/>
      <c r="M326" s="5"/>
    </row>
    <row r="327" spans="1:13" s="3" customFormat="1">
      <c r="A327" s="1"/>
      <c r="B327" s="8"/>
      <c r="C327" s="5"/>
      <c r="D327" s="29"/>
      <c r="E327" s="9"/>
      <c r="F327" s="30"/>
      <c r="G327" s="31"/>
      <c r="H327" s="16"/>
      <c r="I327" s="69"/>
      <c r="J327" s="70"/>
      <c r="K327" s="71"/>
      <c r="L327" s="71"/>
      <c r="M327" s="5"/>
    </row>
    <row r="328" spans="1:13" s="3" customFormat="1">
      <c r="A328" s="1"/>
      <c r="B328" s="8"/>
      <c r="C328" s="5"/>
      <c r="D328" s="29"/>
      <c r="E328" s="9"/>
      <c r="F328" s="30"/>
      <c r="G328" s="31"/>
      <c r="H328" s="16"/>
      <c r="I328" s="69"/>
      <c r="J328" s="70"/>
      <c r="K328" s="71"/>
      <c r="L328" s="71"/>
      <c r="M328" s="5"/>
    </row>
    <row r="329" spans="1:13" s="3" customFormat="1">
      <c r="A329" s="1"/>
      <c r="B329" s="8"/>
      <c r="C329" s="5"/>
      <c r="D329" s="29"/>
      <c r="E329" s="9"/>
      <c r="F329" s="30"/>
      <c r="G329" s="31"/>
      <c r="H329" s="16"/>
      <c r="I329" s="69"/>
      <c r="J329" s="70"/>
      <c r="K329" s="71"/>
      <c r="L329" s="71"/>
      <c r="M329" s="5"/>
    </row>
    <row r="330" spans="1:13" s="3" customFormat="1">
      <c r="A330" s="1"/>
      <c r="B330" s="8"/>
      <c r="C330" s="5"/>
      <c r="D330" s="29"/>
      <c r="E330" s="9"/>
      <c r="F330" s="30"/>
      <c r="G330" s="31"/>
      <c r="H330" s="16"/>
      <c r="I330" s="69"/>
      <c r="J330" s="70"/>
      <c r="K330" s="71"/>
      <c r="L330" s="71"/>
      <c r="M330" s="5"/>
    </row>
    <row r="331" spans="1:13" s="3" customFormat="1">
      <c r="A331" s="1"/>
      <c r="B331" s="8"/>
      <c r="C331" s="5"/>
      <c r="D331" s="29"/>
      <c r="E331" s="9"/>
      <c r="F331" s="30"/>
      <c r="G331" s="31"/>
      <c r="H331" s="16"/>
      <c r="I331" s="69"/>
      <c r="J331" s="70"/>
      <c r="K331" s="71"/>
      <c r="L331" s="71"/>
      <c r="M331" s="5"/>
    </row>
    <row r="332" spans="1:13" s="3" customFormat="1">
      <c r="A332" s="1"/>
      <c r="B332" s="8"/>
      <c r="C332" s="5"/>
      <c r="D332" s="29"/>
      <c r="E332" s="9"/>
      <c r="F332" s="30"/>
      <c r="G332" s="31"/>
      <c r="H332" s="16"/>
      <c r="I332" s="69"/>
      <c r="J332" s="70"/>
      <c r="K332" s="71"/>
      <c r="L332" s="71"/>
      <c r="M332" s="5"/>
    </row>
    <row r="333" spans="1:13" s="3" customFormat="1">
      <c r="A333" s="1"/>
      <c r="B333" s="8"/>
      <c r="C333" s="5"/>
      <c r="D333" s="12"/>
      <c r="E333" s="9"/>
      <c r="F333" s="9"/>
      <c r="G333" s="5"/>
      <c r="H333" s="16"/>
      <c r="I333" s="69"/>
      <c r="J333" s="70"/>
      <c r="K333" s="71"/>
      <c r="L333" s="71"/>
      <c r="M333" s="5"/>
    </row>
    <row r="334" spans="1:13" s="3" customFormat="1">
      <c r="A334" s="1"/>
      <c r="B334" s="8"/>
      <c r="C334" s="5"/>
      <c r="D334" s="12"/>
      <c r="E334" s="9"/>
      <c r="F334" s="9"/>
      <c r="G334" s="5"/>
      <c r="H334" s="16"/>
      <c r="I334" s="69"/>
      <c r="J334" s="70"/>
      <c r="K334" s="71"/>
      <c r="L334" s="71"/>
      <c r="M334" s="5"/>
    </row>
    <row r="335" spans="1:13" s="3" customFormat="1">
      <c r="A335" s="1"/>
      <c r="B335" s="8"/>
      <c r="C335" s="5"/>
      <c r="D335" s="12"/>
      <c r="E335" s="9"/>
      <c r="F335" s="9"/>
      <c r="G335" s="5"/>
      <c r="H335" s="16"/>
      <c r="I335" s="69"/>
      <c r="J335" s="70"/>
      <c r="K335" s="71"/>
      <c r="L335" s="71"/>
      <c r="M335" s="5"/>
    </row>
    <row r="336" spans="1:13" s="3" customFormat="1">
      <c r="A336" s="1"/>
      <c r="B336" s="8"/>
      <c r="C336" s="5"/>
      <c r="D336" s="12"/>
      <c r="E336" s="9"/>
      <c r="F336" s="9"/>
      <c r="G336" s="5"/>
      <c r="H336" s="16"/>
      <c r="I336" s="69"/>
      <c r="J336" s="70"/>
      <c r="K336" s="71"/>
      <c r="L336" s="71"/>
      <c r="M336" s="5"/>
    </row>
    <row r="337" spans="1:13" s="3" customFormat="1">
      <c r="A337" s="1"/>
      <c r="B337" s="8"/>
      <c r="C337" s="5"/>
      <c r="D337" s="12"/>
      <c r="E337" s="9"/>
      <c r="F337" s="9"/>
      <c r="G337" s="5"/>
      <c r="H337" s="16"/>
      <c r="I337" s="69"/>
      <c r="J337" s="70"/>
      <c r="K337" s="71"/>
      <c r="L337" s="71"/>
      <c r="M337" s="5"/>
    </row>
    <row r="338" spans="1:13" s="3" customFormat="1">
      <c r="A338" s="1"/>
      <c r="B338" s="8"/>
      <c r="C338" s="5"/>
      <c r="D338" s="12"/>
      <c r="E338" s="9"/>
      <c r="F338" s="9"/>
      <c r="G338" s="5"/>
      <c r="H338" s="16"/>
      <c r="I338" s="69"/>
      <c r="J338" s="70"/>
      <c r="K338" s="71"/>
      <c r="L338" s="71"/>
      <c r="M338" s="5"/>
    </row>
    <row r="339" spans="1:13" s="3" customFormat="1">
      <c r="A339" s="1"/>
      <c r="B339" s="8"/>
      <c r="C339" s="5"/>
      <c r="D339" s="12"/>
      <c r="E339" s="9"/>
      <c r="F339" s="9"/>
      <c r="G339" s="5"/>
      <c r="H339" s="16"/>
      <c r="I339" s="69"/>
      <c r="J339" s="70"/>
      <c r="K339" s="71"/>
      <c r="L339" s="71"/>
      <c r="M339" s="5"/>
    </row>
    <row r="340" spans="1:13" s="3" customFormat="1">
      <c r="A340" s="1"/>
      <c r="B340" s="8"/>
      <c r="C340" s="5"/>
      <c r="D340" s="12"/>
      <c r="E340" s="9"/>
      <c r="F340" s="9"/>
      <c r="G340" s="5"/>
      <c r="H340" s="16"/>
      <c r="I340" s="69"/>
      <c r="J340" s="70"/>
      <c r="K340" s="71"/>
      <c r="L340" s="71"/>
      <c r="M340" s="5"/>
    </row>
    <row r="341" spans="1:13" s="3" customFormat="1">
      <c r="A341" s="1"/>
      <c r="B341" s="8"/>
      <c r="C341" s="5"/>
      <c r="D341" s="12"/>
      <c r="E341" s="9"/>
      <c r="F341" s="9"/>
      <c r="G341" s="5"/>
      <c r="H341" s="16"/>
      <c r="I341" s="69"/>
      <c r="J341" s="70"/>
      <c r="K341" s="71"/>
      <c r="L341" s="71"/>
      <c r="M341" s="5"/>
    </row>
    <row r="342" spans="1:13" s="3" customFormat="1">
      <c r="A342" s="1"/>
      <c r="B342" s="8"/>
      <c r="C342" s="5"/>
      <c r="D342" s="12"/>
      <c r="E342" s="9"/>
      <c r="F342" s="9"/>
      <c r="G342" s="5"/>
      <c r="H342" s="16"/>
      <c r="I342" s="69"/>
      <c r="J342" s="70"/>
      <c r="K342" s="71"/>
      <c r="L342" s="71"/>
      <c r="M342" s="5"/>
    </row>
    <row r="343" spans="1:13" s="3" customFormat="1">
      <c r="A343" s="1"/>
      <c r="B343" s="8"/>
      <c r="C343" s="5"/>
      <c r="D343" s="12"/>
      <c r="E343" s="9"/>
      <c r="F343" s="9"/>
      <c r="G343" s="5"/>
      <c r="H343" s="16"/>
      <c r="I343" s="69"/>
      <c r="J343" s="70"/>
      <c r="K343" s="71"/>
      <c r="L343" s="71"/>
      <c r="M343" s="5"/>
    </row>
    <row r="344" spans="1:13" s="3" customFormat="1">
      <c r="A344" s="1"/>
      <c r="B344" s="8"/>
      <c r="C344" s="5"/>
      <c r="D344" s="12"/>
      <c r="E344" s="9"/>
      <c r="F344" s="9"/>
      <c r="G344" s="5"/>
      <c r="H344" s="16"/>
      <c r="I344" s="69"/>
      <c r="J344" s="70"/>
      <c r="K344" s="71"/>
      <c r="L344" s="71"/>
      <c r="M344" s="5"/>
    </row>
    <row r="345" spans="1:13" s="3" customFormat="1">
      <c r="A345" s="1"/>
      <c r="B345" s="8"/>
      <c r="C345" s="5"/>
      <c r="D345" s="12"/>
      <c r="E345" s="9"/>
      <c r="F345" s="9"/>
      <c r="G345" s="5"/>
      <c r="H345" s="16"/>
      <c r="I345" s="69"/>
      <c r="J345" s="70"/>
      <c r="K345" s="71"/>
      <c r="L345" s="71"/>
      <c r="M345" s="5"/>
    </row>
    <row r="346" spans="1:13" s="3" customFormat="1">
      <c r="A346" s="1"/>
      <c r="B346" s="8"/>
      <c r="C346" s="5"/>
      <c r="D346" s="12"/>
      <c r="E346" s="9"/>
      <c r="F346" s="9"/>
      <c r="G346" s="5"/>
      <c r="H346" s="16"/>
      <c r="I346" s="69"/>
      <c r="J346" s="70"/>
      <c r="K346" s="71"/>
      <c r="L346" s="71"/>
      <c r="M346" s="5"/>
    </row>
    <row r="347" spans="1:13" s="3" customFormat="1">
      <c r="A347" s="1"/>
      <c r="B347" s="8"/>
      <c r="C347" s="5"/>
      <c r="D347" s="12"/>
      <c r="E347" s="9"/>
      <c r="F347" s="9"/>
      <c r="G347" s="5"/>
      <c r="H347" s="16"/>
      <c r="I347" s="69"/>
      <c r="J347" s="70"/>
      <c r="K347" s="71"/>
      <c r="L347" s="71"/>
      <c r="M347" s="5"/>
    </row>
    <row r="348" spans="1:13" s="3" customFormat="1">
      <c r="A348" s="1"/>
      <c r="B348" s="8"/>
      <c r="C348" s="5"/>
      <c r="D348" s="12"/>
      <c r="E348" s="9"/>
      <c r="F348" s="9"/>
      <c r="G348" s="5"/>
      <c r="H348" s="16"/>
      <c r="I348" s="69"/>
      <c r="J348" s="70"/>
      <c r="K348" s="71"/>
      <c r="L348" s="71"/>
      <c r="M348" s="5"/>
    </row>
    <row r="349" spans="1:13" s="3" customFormat="1">
      <c r="A349" s="1"/>
      <c r="B349" s="8"/>
      <c r="C349" s="5"/>
      <c r="D349" s="12"/>
      <c r="E349" s="9"/>
      <c r="F349" s="9"/>
      <c r="G349" s="5"/>
      <c r="H349" s="16"/>
      <c r="I349" s="69"/>
      <c r="J349" s="70"/>
      <c r="K349" s="71"/>
      <c r="L349" s="71"/>
      <c r="M349" s="5"/>
    </row>
    <row r="350" spans="1:13" s="3" customFormat="1">
      <c r="A350" s="1"/>
      <c r="B350" s="8"/>
      <c r="C350" s="5"/>
      <c r="D350" s="12"/>
      <c r="E350" s="9"/>
      <c r="F350" s="9"/>
      <c r="G350" s="5"/>
      <c r="H350" s="16"/>
      <c r="I350" s="69"/>
      <c r="J350" s="70"/>
      <c r="K350" s="71"/>
      <c r="L350" s="71"/>
      <c r="M350" s="5"/>
    </row>
    <row r="351" spans="1:13" s="3" customFormat="1">
      <c r="A351" s="1"/>
      <c r="B351" s="8"/>
      <c r="C351" s="5"/>
      <c r="D351" s="12"/>
      <c r="E351" s="9"/>
      <c r="F351" s="9"/>
      <c r="G351" s="5"/>
      <c r="H351" s="16"/>
      <c r="I351" s="69"/>
      <c r="J351" s="70"/>
      <c r="K351" s="71"/>
      <c r="L351" s="71"/>
      <c r="M351" s="5"/>
    </row>
    <row r="352" spans="1:13" s="3" customFormat="1">
      <c r="A352" s="1"/>
      <c r="B352" s="8"/>
      <c r="C352" s="5"/>
      <c r="D352" s="12"/>
      <c r="E352" s="9"/>
      <c r="F352" s="9"/>
      <c r="G352" s="5"/>
      <c r="H352" s="16"/>
      <c r="I352" s="69"/>
      <c r="J352" s="70"/>
      <c r="K352" s="71"/>
      <c r="L352" s="71"/>
      <c r="M352" s="5"/>
    </row>
    <row r="353" spans="1:13" s="3" customFormat="1">
      <c r="A353" s="1"/>
      <c r="B353" s="8"/>
      <c r="C353" s="5"/>
      <c r="D353" s="12"/>
      <c r="E353" s="9"/>
      <c r="F353" s="9"/>
      <c r="G353" s="5"/>
      <c r="H353" s="16"/>
      <c r="I353" s="69"/>
      <c r="J353" s="70"/>
      <c r="K353" s="71"/>
      <c r="L353" s="71"/>
      <c r="M353" s="5"/>
    </row>
    <row r="354" spans="1:13" s="3" customFormat="1">
      <c r="A354" s="1"/>
      <c r="B354" s="8"/>
      <c r="C354" s="5"/>
      <c r="D354" s="12"/>
      <c r="E354" s="9"/>
      <c r="F354" s="9"/>
      <c r="G354" s="5"/>
      <c r="H354" s="16"/>
      <c r="I354" s="69"/>
      <c r="J354" s="70"/>
      <c r="K354" s="71"/>
      <c r="L354" s="71"/>
      <c r="M354" s="5"/>
    </row>
    <row r="355" spans="1:13" s="3" customFormat="1">
      <c r="A355" s="1"/>
      <c r="B355" s="8"/>
      <c r="C355" s="5"/>
      <c r="D355" s="12"/>
      <c r="E355" s="9"/>
      <c r="F355" s="9"/>
      <c r="G355" s="5"/>
      <c r="H355" s="16"/>
      <c r="I355" s="69"/>
      <c r="J355" s="70"/>
      <c r="K355" s="71"/>
      <c r="L355" s="71"/>
      <c r="M355" s="5"/>
    </row>
    <row r="356" spans="1:13" s="3" customFormat="1">
      <c r="A356" s="1"/>
      <c r="B356" s="8"/>
      <c r="C356" s="5"/>
      <c r="D356" s="12"/>
      <c r="E356" s="9"/>
      <c r="F356" s="9"/>
      <c r="G356" s="5"/>
      <c r="H356" s="16"/>
      <c r="I356" s="69"/>
      <c r="J356" s="70"/>
      <c r="K356" s="71"/>
      <c r="L356" s="71"/>
      <c r="M356" s="5"/>
    </row>
    <row r="357" spans="1:13" s="3" customFormat="1">
      <c r="A357" s="1"/>
      <c r="B357" s="8"/>
      <c r="C357" s="5"/>
      <c r="D357" s="12"/>
      <c r="E357" s="9"/>
      <c r="F357" s="9"/>
      <c r="G357" s="5"/>
      <c r="H357" s="16"/>
      <c r="I357" s="69"/>
      <c r="J357" s="70"/>
      <c r="K357" s="71"/>
      <c r="L357" s="71"/>
      <c r="M357" s="5"/>
    </row>
    <row r="358" spans="1:13" s="3" customFormat="1">
      <c r="A358" s="1"/>
      <c r="B358" s="8"/>
      <c r="C358" s="5"/>
      <c r="D358" s="12"/>
      <c r="E358" s="9"/>
      <c r="F358" s="9"/>
      <c r="G358" s="5"/>
      <c r="H358" s="16"/>
      <c r="I358" s="69"/>
      <c r="J358" s="70"/>
      <c r="K358" s="71"/>
      <c r="L358" s="71"/>
      <c r="M358" s="5"/>
    </row>
    <row r="359" spans="1:13" s="3" customFormat="1">
      <c r="A359" s="1"/>
      <c r="B359" s="8"/>
      <c r="C359" s="5"/>
      <c r="D359" s="12"/>
      <c r="E359" s="9"/>
      <c r="F359" s="9"/>
      <c r="G359" s="5"/>
      <c r="H359" s="16"/>
      <c r="I359" s="69"/>
      <c r="J359" s="70"/>
      <c r="K359" s="71"/>
      <c r="L359" s="71"/>
      <c r="M359" s="5"/>
    </row>
    <row r="360" spans="1:13" s="3" customFormat="1">
      <c r="A360" s="1"/>
      <c r="B360" s="8"/>
      <c r="C360" s="5"/>
      <c r="D360" s="12"/>
      <c r="E360" s="9"/>
      <c r="F360" s="9"/>
      <c r="G360" s="5"/>
      <c r="H360" s="16"/>
      <c r="I360" s="69"/>
      <c r="J360" s="70"/>
      <c r="K360" s="71"/>
      <c r="L360" s="71"/>
      <c r="M360" s="5"/>
    </row>
    <row r="361" spans="1:13" s="3" customFormat="1">
      <c r="A361" s="1"/>
      <c r="B361" s="8"/>
      <c r="C361" s="5"/>
      <c r="D361" s="12"/>
      <c r="E361" s="9"/>
      <c r="F361" s="9"/>
      <c r="G361" s="5"/>
      <c r="H361" s="16"/>
      <c r="I361" s="69"/>
      <c r="J361" s="70"/>
      <c r="K361" s="71"/>
      <c r="L361" s="71"/>
      <c r="M361" s="5"/>
    </row>
    <row r="362" spans="1:13" s="3" customFormat="1">
      <c r="A362" s="1"/>
      <c r="B362" s="8"/>
      <c r="C362" s="5"/>
      <c r="D362" s="12"/>
      <c r="E362" s="9"/>
      <c r="F362" s="9"/>
      <c r="G362" s="5"/>
      <c r="H362" s="16"/>
      <c r="I362" s="69"/>
      <c r="J362" s="70"/>
      <c r="K362" s="71"/>
      <c r="L362" s="71"/>
      <c r="M362" s="5"/>
    </row>
    <row r="363" spans="1:13" s="3" customFormat="1">
      <c r="A363" s="1"/>
      <c r="B363" s="8"/>
      <c r="C363" s="5"/>
      <c r="D363" s="12"/>
      <c r="E363" s="9"/>
      <c r="F363" s="9"/>
      <c r="G363" s="5"/>
      <c r="H363" s="16"/>
      <c r="I363" s="69"/>
      <c r="J363" s="70"/>
      <c r="K363" s="71"/>
      <c r="L363" s="71"/>
      <c r="M363" s="5"/>
    </row>
    <row r="364" spans="1:13" s="3" customFormat="1">
      <c r="A364" s="1"/>
      <c r="B364" s="8"/>
      <c r="C364" s="5"/>
      <c r="D364" s="12"/>
      <c r="E364" s="9"/>
      <c r="F364" s="9"/>
      <c r="G364" s="5"/>
      <c r="H364" s="16"/>
      <c r="I364" s="69"/>
      <c r="J364" s="70"/>
      <c r="K364" s="71"/>
      <c r="L364" s="71"/>
      <c r="M364" s="5"/>
    </row>
    <row r="365" spans="1:13" s="3" customFormat="1">
      <c r="A365" s="1"/>
      <c r="B365" s="8"/>
      <c r="C365" s="5"/>
      <c r="D365" s="12"/>
      <c r="E365" s="9"/>
      <c r="F365" s="9"/>
      <c r="G365" s="5"/>
      <c r="H365" s="16"/>
      <c r="I365" s="69"/>
      <c r="J365" s="70"/>
      <c r="K365" s="71"/>
      <c r="L365" s="71"/>
      <c r="M365" s="5"/>
    </row>
    <row r="366" spans="1:13" s="3" customFormat="1">
      <c r="A366" s="1"/>
      <c r="B366" s="8"/>
      <c r="C366" s="5"/>
      <c r="D366" s="12"/>
      <c r="E366" s="9"/>
      <c r="F366" s="9"/>
      <c r="G366" s="5"/>
      <c r="H366" s="16"/>
      <c r="I366" s="69"/>
      <c r="J366" s="70"/>
      <c r="K366" s="71"/>
      <c r="L366" s="71"/>
      <c r="M366" s="5"/>
    </row>
    <row r="367" spans="1:13" s="3" customFormat="1">
      <c r="A367" s="1"/>
      <c r="B367" s="8"/>
      <c r="C367" s="5"/>
      <c r="D367" s="12"/>
      <c r="E367" s="9"/>
      <c r="F367" s="9"/>
      <c r="G367" s="5"/>
      <c r="H367" s="16"/>
      <c r="I367" s="69"/>
      <c r="J367" s="70"/>
      <c r="K367" s="71"/>
      <c r="L367" s="71"/>
      <c r="M367" s="5"/>
    </row>
    <row r="368" spans="1:13" s="3" customFormat="1">
      <c r="A368" s="1"/>
      <c r="B368" s="8"/>
      <c r="C368" s="5"/>
      <c r="D368" s="12"/>
      <c r="E368" s="9"/>
      <c r="F368" s="9"/>
      <c r="G368" s="5"/>
      <c r="H368" s="16"/>
      <c r="I368" s="69"/>
      <c r="J368" s="70"/>
      <c r="K368" s="71"/>
      <c r="L368" s="71"/>
      <c r="M368" s="5"/>
    </row>
    <row r="369" spans="1:13" s="3" customFormat="1">
      <c r="A369" s="1"/>
      <c r="B369" s="8"/>
      <c r="C369" s="5"/>
      <c r="D369" s="12"/>
      <c r="E369" s="9"/>
      <c r="F369" s="9"/>
      <c r="G369" s="5"/>
      <c r="H369" s="16"/>
      <c r="I369" s="69"/>
      <c r="J369" s="70"/>
      <c r="K369" s="71"/>
      <c r="L369" s="71"/>
      <c r="M369" s="5"/>
    </row>
    <row r="370" spans="1:13" s="3" customFormat="1">
      <c r="A370" s="1"/>
      <c r="B370" s="8"/>
      <c r="C370" s="5"/>
      <c r="D370" s="12"/>
      <c r="E370" s="9"/>
      <c r="F370" s="9"/>
      <c r="G370" s="5"/>
      <c r="H370" s="16"/>
      <c r="I370" s="69"/>
      <c r="J370" s="70"/>
      <c r="K370" s="71"/>
      <c r="L370" s="71"/>
      <c r="M370" s="5"/>
    </row>
    <row r="371" spans="1:13" s="3" customFormat="1">
      <c r="A371" s="1"/>
      <c r="B371" s="8"/>
      <c r="C371" s="5"/>
      <c r="D371" s="12"/>
      <c r="E371" s="9"/>
      <c r="F371" s="9"/>
      <c r="G371" s="5"/>
      <c r="H371" s="16"/>
      <c r="I371" s="69"/>
      <c r="J371" s="70"/>
      <c r="K371" s="71"/>
      <c r="L371" s="71"/>
      <c r="M371" s="5"/>
    </row>
    <row r="372" spans="1:13" s="3" customFormat="1">
      <c r="A372" s="1"/>
      <c r="B372" s="8"/>
      <c r="C372" s="5"/>
      <c r="D372" s="12"/>
      <c r="E372" s="9"/>
      <c r="F372" s="9"/>
      <c r="G372" s="5"/>
      <c r="H372" s="16"/>
      <c r="I372" s="69"/>
      <c r="J372" s="70"/>
      <c r="K372" s="71"/>
      <c r="L372" s="71"/>
      <c r="M372" s="5"/>
    </row>
    <row r="373" spans="1:13" s="3" customFormat="1">
      <c r="A373" s="1"/>
      <c r="B373" s="8"/>
      <c r="C373" s="5"/>
      <c r="D373" s="12"/>
      <c r="E373" s="9"/>
      <c r="F373" s="9"/>
      <c r="G373" s="5"/>
      <c r="H373" s="16"/>
      <c r="I373" s="69"/>
      <c r="J373" s="70"/>
      <c r="K373" s="71"/>
      <c r="L373" s="71"/>
      <c r="M373" s="5"/>
    </row>
    <row r="374" spans="1:13" s="3" customFormat="1">
      <c r="A374" s="1"/>
      <c r="B374" s="8"/>
      <c r="C374" s="5"/>
      <c r="D374" s="12"/>
      <c r="E374" s="9"/>
      <c r="F374" s="9"/>
      <c r="G374" s="5"/>
      <c r="H374" s="16"/>
      <c r="I374" s="69"/>
      <c r="J374" s="70"/>
      <c r="K374" s="71"/>
      <c r="L374" s="71"/>
      <c r="M374" s="5"/>
    </row>
    <row r="375" spans="1:13" s="3" customFormat="1">
      <c r="A375" s="1"/>
      <c r="B375" s="8"/>
      <c r="C375" s="5"/>
      <c r="D375" s="12"/>
      <c r="E375" s="9"/>
      <c r="F375" s="9"/>
      <c r="G375" s="5"/>
      <c r="H375" s="16"/>
      <c r="I375" s="69"/>
      <c r="J375" s="70"/>
      <c r="K375" s="71"/>
      <c r="L375" s="71"/>
      <c r="M375" s="5"/>
    </row>
    <row r="376" spans="1:13" s="3" customFormat="1">
      <c r="A376" s="1"/>
      <c r="B376" s="8"/>
      <c r="C376" s="5"/>
      <c r="D376" s="12"/>
      <c r="E376" s="9"/>
      <c r="F376" s="9"/>
      <c r="G376" s="5"/>
      <c r="H376" s="16"/>
      <c r="I376" s="69"/>
      <c r="J376" s="70"/>
      <c r="K376" s="71"/>
      <c r="L376" s="71"/>
      <c r="M376" s="5"/>
    </row>
    <row r="377" spans="1:13" s="3" customFormat="1">
      <c r="A377" s="1"/>
      <c r="B377" s="8"/>
      <c r="C377" s="5"/>
      <c r="D377" s="12"/>
      <c r="E377" s="9"/>
      <c r="F377" s="9"/>
      <c r="G377" s="5"/>
      <c r="H377" s="16"/>
      <c r="I377" s="69"/>
      <c r="J377" s="70"/>
      <c r="K377" s="71"/>
      <c r="L377" s="71"/>
      <c r="M377" s="5"/>
    </row>
    <row r="378" spans="1:13" s="3" customFormat="1">
      <c r="A378" s="1"/>
      <c r="B378" s="8"/>
      <c r="C378" s="5"/>
      <c r="D378" s="12"/>
      <c r="E378" s="9"/>
      <c r="F378" s="9"/>
      <c r="G378" s="5"/>
      <c r="H378" s="16"/>
      <c r="I378" s="69"/>
      <c r="J378" s="70"/>
      <c r="K378" s="71"/>
      <c r="L378" s="71"/>
      <c r="M378" s="5"/>
    </row>
    <row r="379" spans="1:13" s="3" customFormat="1">
      <c r="A379" s="1"/>
      <c r="B379" s="8"/>
      <c r="C379" s="5"/>
      <c r="D379" s="12"/>
      <c r="E379" s="9"/>
      <c r="F379" s="9"/>
      <c r="G379" s="5"/>
      <c r="H379" s="16"/>
      <c r="I379" s="69"/>
      <c r="J379" s="70"/>
      <c r="K379" s="71"/>
      <c r="L379" s="71"/>
      <c r="M379" s="5"/>
    </row>
    <row r="380" spans="1:13" s="3" customFormat="1">
      <c r="A380" s="1"/>
      <c r="B380" s="8"/>
      <c r="C380" s="5"/>
      <c r="D380" s="12"/>
      <c r="E380" s="9"/>
      <c r="F380" s="9"/>
      <c r="G380" s="5"/>
      <c r="H380" s="16"/>
      <c r="I380" s="69"/>
      <c r="J380" s="70"/>
      <c r="K380" s="71"/>
      <c r="L380" s="71"/>
      <c r="M380" s="5"/>
    </row>
    <row r="381" spans="1:13" s="3" customFormat="1">
      <c r="A381" s="1"/>
      <c r="B381" s="8"/>
      <c r="C381" s="5"/>
      <c r="D381" s="12"/>
      <c r="E381" s="9"/>
      <c r="F381" s="9"/>
      <c r="G381" s="5"/>
      <c r="H381" s="16"/>
      <c r="I381" s="69"/>
      <c r="J381" s="70"/>
      <c r="K381" s="71"/>
      <c r="L381" s="71"/>
      <c r="M381" s="5"/>
    </row>
    <row r="382" spans="1:13" s="3" customFormat="1">
      <c r="A382" s="1"/>
      <c r="B382" s="8"/>
      <c r="C382" s="5"/>
      <c r="D382" s="12"/>
      <c r="E382" s="9"/>
      <c r="F382" s="9"/>
      <c r="G382" s="5"/>
      <c r="H382" s="16"/>
      <c r="I382" s="69"/>
      <c r="J382" s="70"/>
      <c r="K382" s="71"/>
      <c r="L382" s="71"/>
      <c r="M382" s="5"/>
    </row>
    <row r="383" spans="1:13" s="3" customFormat="1">
      <c r="A383" s="1"/>
      <c r="B383" s="8"/>
      <c r="C383" s="5"/>
      <c r="D383" s="12"/>
      <c r="E383" s="9"/>
      <c r="F383" s="9"/>
      <c r="G383" s="5"/>
      <c r="H383" s="16"/>
      <c r="I383" s="69"/>
      <c r="J383" s="70"/>
      <c r="K383" s="71"/>
      <c r="L383" s="71"/>
      <c r="M383" s="5"/>
    </row>
    <row r="384" spans="1:13" s="3" customFormat="1">
      <c r="A384" s="1"/>
      <c r="B384" s="8"/>
      <c r="C384" s="5"/>
      <c r="D384" s="12"/>
      <c r="E384" s="9"/>
      <c r="F384" s="9"/>
      <c r="G384" s="5"/>
      <c r="H384" s="16"/>
      <c r="I384" s="69"/>
      <c r="J384" s="70"/>
      <c r="K384" s="71"/>
      <c r="L384" s="71"/>
      <c r="M384" s="5"/>
    </row>
    <row r="385" spans="1:13" s="3" customFormat="1">
      <c r="A385" s="1"/>
      <c r="B385" s="8"/>
      <c r="C385" s="5"/>
      <c r="D385" s="12"/>
      <c r="E385" s="9"/>
      <c r="F385" s="9"/>
      <c r="G385" s="5"/>
      <c r="H385" s="16"/>
      <c r="I385" s="69"/>
      <c r="J385" s="70"/>
      <c r="K385" s="71"/>
      <c r="L385" s="71"/>
      <c r="M385" s="5"/>
    </row>
    <row r="386" spans="1:13" s="3" customFormat="1">
      <c r="A386" s="1"/>
      <c r="B386" s="8"/>
      <c r="C386" s="5"/>
      <c r="D386" s="12"/>
      <c r="E386" s="9"/>
      <c r="F386" s="9"/>
      <c r="G386" s="5"/>
      <c r="H386" s="16"/>
      <c r="I386" s="69"/>
      <c r="J386" s="70"/>
      <c r="K386" s="71"/>
      <c r="L386" s="71"/>
      <c r="M386" s="5"/>
    </row>
    <row r="387" spans="1:13" s="3" customFormat="1">
      <c r="A387" s="1"/>
      <c r="B387" s="8"/>
      <c r="C387" s="5"/>
      <c r="D387" s="12"/>
      <c r="E387" s="9"/>
      <c r="F387" s="9"/>
      <c r="G387" s="5"/>
      <c r="H387" s="16"/>
      <c r="I387" s="69"/>
      <c r="J387" s="70"/>
      <c r="K387" s="71"/>
      <c r="L387" s="71"/>
      <c r="M387" s="5"/>
    </row>
    <row r="388" spans="1:13" s="3" customFormat="1">
      <c r="A388" s="1"/>
      <c r="B388" s="8"/>
      <c r="C388" s="5"/>
      <c r="D388" s="12"/>
      <c r="E388" s="9"/>
      <c r="F388" s="9"/>
      <c r="G388" s="5"/>
      <c r="H388" s="16"/>
      <c r="I388" s="69"/>
      <c r="J388" s="70"/>
      <c r="K388" s="71"/>
      <c r="L388" s="71"/>
      <c r="M388" s="5"/>
    </row>
    <row r="389" spans="1:13" s="3" customFormat="1">
      <c r="A389" s="1"/>
      <c r="B389" s="8"/>
      <c r="C389" s="5"/>
      <c r="D389" s="12"/>
      <c r="E389" s="9"/>
      <c r="F389" s="9"/>
      <c r="G389" s="5"/>
      <c r="H389" s="16"/>
      <c r="I389" s="69"/>
      <c r="J389" s="70"/>
      <c r="K389" s="71"/>
      <c r="L389" s="71"/>
      <c r="M389" s="5"/>
    </row>
    <row r="390" spans="1:13" s="3" customFormat="1">
      <c r="A390" s="1"/>
      <c r="B390" s="8"/>
      <c r="C390" s="5"/>
      <c r="D390" s="12"/>
      <c r="E390" s="9"/>
      <c r="F390" s="9"/>
      <c r="G390" s="5"/>
      <c r="H390" s="16"/>
      <c r="I390" s="69"/>
      <c r="J390" s="70"/>
      <c r="K390" s="71"/>
      <c r="L390" s="71"/>
      <c r="M390" s="5"/>
    </row>
    <row r="391" spans="1:13" s="3" customFormat="1">
      <c r="A391" s="1"/>
      <c r="B391" s="8"/>
      <c r="C391" s="5"/>
      <c r="D391" s="12"/>
      <c r="E391" s="9"/>
      <c r="F391" s="9"/>
      <c r="G391" s="5"/>
      <c r="H391" s="16"/>
      <c r="I391" s="69"/>
      <c r="J391" s="70"/>
      <c r="K391" s="71"/>
      <c r="L391" s="71"/>
      <c r="M391" s="5"/>
    </row>
    <row r="392" spans="1:13" s="3" customFormat="1">
      <c r="A392" s="1"/>
      <c r="B392" s="8"/>
      <c r="C392" s="5"/>
      <c r="D392" s="12"/>
      <c r="E392" s="9"/>
      <c r="F392" s="9"/>
      <c r="G392" s="5"/>
      <c r="H392" s="16"/>
      <c r="I392" s="69"/>
      <c r="J392" s="70"/>
      <c r="K392" s="71"/>
      <c r="L392" s="71"/>
      <c r="M392" s="5"/>
    </row>
    <row r="393" spans="1:13" s="3" customFormat="1">
      <c r="A393" s="1"/>
      <c r="B393" s="8"/>
      <c r="C393" s="5"/>
      <c r="D393" s="12"/>
      <c r="E393" s="9"/>
      <c r="F393" s="9"/>
      <c r="G393" s="5"/>
      <c r="H393" s="16"/>
      <c r="I393" s="69"/>
      <c r="J393" s="70"/>
      <c r="K393" s="71"/>
      <c r="L393" s="71"/>
      <c r="M393" s="5"/>
    </row>
    <row r="394" spans="1:13" s="3" customFormat="1">
      <c r="A394" s="1"/>
      <c r="B394" s="8"/>
      <c r="C394" s="5"/>
      <c r="D394" s="12"/>
      <c r="E394" s="9"/>
      <c r="F394" s="9"/>
      <c r="G394" s="5"/>
      <c r="H394" s="16"/>
      <c r="I394" s="69"/>
      <c r="J394" s="70"/>
      <c r="K394" s="71"/>
      <c r="L394" s="71"/>
      <c r="M394" s="5"/>
    </row>
    <row r="395" spans="1:13" s="3" customFormat="1">
      <c r="A395" s="1"/>
      <c r="B395" s="8"/>
      <c r="C395" s="5"/>
      <c r="D395" s="12"/>
      <c r="E395" s="9"/>
      <c r="F395" s="9"/>
      <c r="G395" s="5"/>
      <c r="H395" s="16"/>
      <c r="I395" s="69"/>
      <c r="J395" s="70"/>
      <c r="K395" s="71"/>
      <c r="L395" s="71"/>
      <c r="M395" s="5"/>
    </row>
    <row r="396" spans="1:13" s="3" customFormat="1">
      <c r="A396" s="1"/>
      <c r="B396" s="8"/>
      <c r="C396" s="5"/>
      <c r="D396" s="12"/>
      <c r="E396" s="9"/>
      <c r="F396" s="9"/>
      <c r="G396" s="5"/>
      <c r="H396" s="16"/>
      <c r="I396" s="69"/>
      <c r="J396" s="70"/>
      <c r="K396" s="71"/>
      <c r="L396" s="71"/>
      <c r="M396" s="5"/>
    </row>
    <row r="397" spans="1:13" s="3" customFormat="1">
      <c r="A397" s="1"/>
      <c r="B397" s="8"/>
      <c r="C397" s="5"/>
      <c r="D397" s="12"/>
      <c r="E397" s="9"/>
      <c r="F397" s="9"/>
      <c r="G397" s="5"/>
      <c r="H397" s="16"/>
      <c r="I397" s="69"/>
      <c r="J397" s="70"/>
      <c r="K397" s="71"/>
      <c r="L397" s="71"/>
      <c r="M397" s="5"/>
    </row>
    <row r="398" spans="1:13" s="3" customFormat="1">
      <c r="A398" s="1"/>
      <c r="B398" s="8"/>
      <c r="C398" s="5"/>
      <c r="D398" s="12"/>
      <c r="E398" s="9"/>
      <c r="F398" s="9"/>
      <c r="G398" s="5"/>
      <c r="H398" s="16"/>
      <c r="I398" s="69"/>
      <c r="J398" s="70"/>
      <c r="K398" s="71"/>
      <c r="L398" s="71"/>
      <c r="M398" s="5"/>
    </row>
    <row r="399" spans="1:13" s="3" customFormat="1">
      <c r="A399" s="1"/>
      <c r="B399" s="8"/>
      <c r="C399" s="5"/>
      <c r="D399" s="12"/>
      <c r="E399" s="9"/>
      <c r="F399" s="9"/>
      <c r="G399" s="5"/>
      <c r="H399" s="16"/>
      <c r="I399" s="69"/>
      <c r="J399" s="70"/>
      <c r="K399" s="71"/>
      <c r="L399" s="71"/>
      <c r="M399" s="5"/>
    </row>
    <row r="400" spans="1:13" s="3" customFormat="1">
      <c r="A400" s="1"/>
      <c r="B400" s="8"/>
      <c r="C400" s="5"/>
      <c r="D400" s="12"/>
      <c r="E400" s="9"/>
      <c r="F400" s="9"/>
      <c r="G400" s="5"/>
      <c r="H400" s="16"/>
      <c r="I400" s="69"/>
      <c r="J400" s="70"/>
      <c r="K400" s="71"/>
      <c r="L400" s="71"/>
      <c r="M400" s="5"/>
    </row>
    <row r="401" spans="1:13" s="3" customFormat="1">
      <c r="A401" s="1"/>
      <c r="B401" s="8"/>
      <c r="C401" s="5"/>
      <c r="D401" s="12"/>
      <c r="E401" s="9"/>
      <c r="F401" s="9"/>
      <c r="G401" s="5"/>
      <c r="H401" s="16"/>
      <c r="I401" s="69"/>
      <c r="J401" s="70"/>
      <c r="K401" s="71"/>
      <c r="L401" s="71"/>
      <c r="M401" s="5"/>
    </row>
    <row r="402" spans="1:13" s="3" customFormat="1">
      <c r="A402" s="1"/>
      <c r="B402" s="8"/>
      <c r="C402" s="5"/>
      <c r="D402" s="12"/>
      <c r="E402" s="9"/>
      <c r="F402" s="9"/>
      <c r="G402" s="5"/>
      <c r="H402" s="16"/>
      <c r="I402" s="69"/>
      <c r="J402" s="70"/>
      <c r="K402" s="71"/>
      <c r="L402" s="71"/>
      <c r="M402" s="5"/>
    </row>
    <row r="403" spans="1:13" s="3" customFormat="1">
      <c r="A403" s="1"/>
      <c r="B403" s="8"/>
      <c r="C403" s="5"/>
      <c r="D403" s="12"/>
      <c r="E403" s="9"/>
      <c r="F403" s="9"/>
      <c r="G403" s="5"/>
      <c r="H403" s="16"/>
      <c r="I403" s="69"/>
      <c r="J403" s="70"/>
      <c r="K403" s="71"/>
      <c r="L403" s="71"/>
      <c r="M403" s="5"/>
    </row>
    <row r="404" spans="1:13" s="3" customFormat="1">
      <c r="A404" s="1"/>
      <c r="B404" s="8"/>
      <c r="C404" s="5"/>
      <c r="D404" s="12"/>
      <c r="E404" s="9"/>
      <c r="F404" s="9"/>
      <c r="G404" s="5"/>
      <c r="H404" s="16"/>
      <c r="I404" s="69"/>
      <c r="J404" s="70"/>
      <c r="K404" s="71"/>
      <c r="L404" s="71"/>
      <c r="M404" s="5"/>
    </row>
    <row r="405" spans="1:13" s="3" customFormat="1">
      <c r="A405" s="1"/>
      <c r="B405" s="8"/>
      <c r="C405" s="5"/>
      <c r="D405" s="12"/>
      <c r="E405" s="9"/>
      <c r="F405" s="9"/>
      <c r="G405" s="5"/>
      <c r="H405" s="16"/>
      <c r="I405" s="69"/>
      <c r="J405" s="70"/>
      <c r="K405" s="71"/>
      <c r="L405" s="71"/>
      <c r="M405" s="5"/>
    </row>
    <row r="406" spans="1:13" s="3" customFormat="1">
      <c r="A406" s="1"/>
      <c r="B406" s="8"/>
      <c r="C406" s="5"/>
      <c r="D406" s="12"/>
      <c r="E406" s="9"/>
      <c r="F406" s="9"/>
      <c r="G406" s="5"/>
      <c r="H406" s="16"/>
      <c r="I406" s="69"/>
      <c r="J406" s="70"/>
      <c r="K406" s="71"/>
      <c r="L406" s="71"/>
      <c r="M406" s="5"/>
    </row>
    <row r="407" spans="1:13" s="3" customFormat="1">
      <c r="A407" s="1"/>
      <c r="B407" s="8"/>
      <c r="C407" s="5"/>
      <c r="D407" s="12"/>
      <c r="E407" s="9"/>
      <c r="F407" s="9"/>
      <c r="G407" s="5"/>
      <c r="H407" s="16"/>
      <c r="I407" s="69"/>
      <c r="J407" s="70"/>
      <c r="K407" s="71"/>
      <c r="L407" s="71"/>
      <c r="M407" s="5"/>
    </row>
    <row r="408" spans="1:13" s="3" customFormat="1">
      <c r="A408" s="1"/>
      <c r="B408" s="8"/>
      <c r="C408" s="5"/>
      <c r="D408" s="12"/>
      <c r="E408" s="9"/>
      <c r="F408" s="9"/>
      <c r="G408" s="5"/>
      <c r="H408" s="16"/>
      <c r="I408" s="69"/>
      <c r="J408" s="70"/>
      <c r="K408" s="71"/>
      <c r="L408" s="71"/>
      <c r="M408" s="5"/>
    </row>
    <row r="409" spans="1:13" s="3" customFormat="1">
      <c r="A409" s="1"/>
      <c r="B409" s="8"/>
      <c r="C409" s="5"/>
      <c r="D409" s="12"/>
      <c r="E409" s="9"/>
      <c r="F409" s="9"/>
      <c r="G409" s="5"/>
      <c r="H409" s="16"/>
      <c r="I409" s="69"/>
      <c r="J409" s="70"/>
      <c r="K409" s="71"/>
      <c r="L409" s="71"/>
      <c r="M409" s="5"/>
    </row>
    <row r="410" spans="1:13" s="3" customFormat="1">
      <c r="A410" s="1"/>
      <c r="B410" s="8"/>
      <c r="C410" s="5"/>
      <c r="D410" s="12"/>
      <c r="E410" s="9"/>
      <c r="F410" s="9"/>
      <c r="G410" s="5"/>
      <c r="H410" s="16"/>
      <c r="I410" s="69"/>
      <c r="J410" s="70"/>
      <c r="K410" s="71"/>
      <c r="L410" s="71"/>
      <c r="M410" s="5"/>
    </row>
    <row r="411" spans="1:13" s="3" customFormat="1">
      <c r="A411" s="1"/>
      <c r="B411" s="8"/>
      <c r="C411" s="5"/>
      <c r="D411" s="12"/>
      <c r="E411" s="9"/>
      <c r="F411" s="9"/>
      <c r="G411" s="5"/>
      <c r="H411" s="16"/>
      <c r="I411" s="69"/>
      <c r="J411" s="70"/>
      <c r="K411" s="71"/>
      <c r="L411" s="71"/>
      <c r="M411" s="5"/>
    </row>
    <row r="412" spans="1:13" s="3" customFormat="1">
      <c r="A412" s="1"/>
      <c r="B412" s="8"/>
      <c r="C412" s="5"/>
      <c r="D412" s="12"/>
      <c r="E412" s="9"/>
      <c r="F412" s="9"/>
      <c r="G412" s="5"/>
      <c r="H412" s="16"/>
      <c r="I412" s="69"/>
      <c r="J412" s="70"/>
      <c r="K412" s="71"/>
      <c r="L412" s="71"/>
      <c r="M412" s="5"/>
    </row>
    <row r="413" spans="1:13" s="3" customFormat="1">
      <c r="A413" s="1"/>
      <c r="B413" s="8"/>
      <c r="C413" s="5"/>
      <c r="D413" s="12"/>
      <c r="E413" s="9"/>
      <c r="F413" s="9"/>
      <c r="G413" s="5"/>
      <c r="H413" s="16"/>
      <c r="I413" s="69"/>
      <c r="J413" s="70"/>
      <c r="K413" s="71"/>
      <c r="L413" s="71"/>
      <c r="M413" s="5"/>
    </row>
    <row r="414" spans="1:13" s="3" customFormat="1">
      <c r="A414" s="1"/>
      <c r="B414" s="8"/>
      <c r="C414" s="5"/>
      <c r="D414" s="12"/>
      <c r="E414" s="9"/>
      <c r="F414" s="9"/>
      <c r="G414" s="5"/>
      <c r="H414" s="16"/>
      <c r="I414" s="69"/>
      <c r="J414" s="70"/>
      <c r="K414" s="71"/>
      <c r="L414" s="71"/>
      <c r="M414" s="5"/>
    </row>
    <row r="415" spans="1:13" s="3" customFormat="1">
      <c r="A415" s="1"/>
      <c r="B415" s="8"/>
      <c r="C415" s="5"/>
      <c r="D415" s="12"/>
      <c r="E415" s="9"/>
      <c r="F415" s="9"/>
      <c r="G415" s="5"/>
      <c r="H415" s="16"/>
      <c r="I415" s="69"/>
      <c r="J415" s="70"/>
      <c r="K415" s="71"/>
      <c r="L415" s="71"/>
      <c r="M415" s="5"/>
    </row>
    <row r="416" spans="1:13" s="3" customFormat="1">
      <c r="A416" s="1"/>
      <c r="B416" s="8"/>
      <c r="C416" s="5"/>
      <c r="D416" s="12"/>
      <c r="E416" s="9"/>
      <c r="F416" s="9"/>
      <c r="G416" s="5"/>
      <c r="H416" s="16"/>
      <c r="I416" s="69"/>
      <c r="J416" s="70"/>
      <c r="K416" s="71"/>
      <c r="L416" s="71"/>
      <c r="M416" s="5"/>
    </row>
    <row r="417" spans="1:13" s="3" customFormat="1">
      <c r="A417" s="1"/>
      <c r="B417" s="8"/>
      <c r="C417" s="5"/>
      <c r="D417" s="12"/>
      <c r="E417" s="9"/>
      <c r="F417" s="9"/>
      <c r="G417" s="5"/>
      <c r="H417" s="16"/>
      <c r="I417" s="69"/>
      <c r="J417" s="70"/>
      <c r="K417" s="71"/>
      <c r="L417" s="71"/>
      <c r="M417" s="5"/>
    </row>
    <row r="418" spans="1:13" s="3" customFormat="1">
      <c r="A418" s="1"/>
      <c r="B418" s="8"/>
      <c r="C418" s="5"/>
      <c r="D418" s="12"/>
      <c r="E418" s="9"/>
      <c r="F418" s="9"/>
      <c r="G418" s="5"/>
      <c r="H418" s="16"/>
      <c r="I418" s="69"/>
      <c r="J418" s="70"/>
      <c r="K418" s="71"/>
      <c r="L418" s="71"/>
      <c r="M418" s="5"/>
    </row>
    <row r="419" spans="1:13" s="3" customFormat="1">
      <c r="A419" s="1"/>
      <c r="B419" s="8"/>
      <c r="C419" s="5"/>
      <c r="D419" s="12"/>
      <c r="E419" s="9"/>
      <c r="F419" s="9"/>
      <c r="G419" s="5"/>
      <c r="H419" s="16"/>
      <c r="I419" s="69"/>
      <c r="J419" s="70"/>
      <c r="K419" s="71"/>
      <c r="L419" s="71"/>
      <c r="M419" s="5"/>
    </row>
    <row r="420" spans="1:13" s="3" customFormat="1">
      <c r="A420" s="1"/>
      <c r="B420" s="8"/>
      <c r="C420" s="5"/>
      <c r="D420" s="12"/>
      <c r="E420" s="9"/>
      <c r="F420" s="9"/>
      <c r="G420" s="5"/>
      <c r="H420" s="16"/>
      <c r="I420" s="69"/>
      <c r="J420" s="70"/>
      <c r="K420" s="71"/>
      <c r="L420" s="71"/>
      <c r="M420" s="5"/>
    </row>
    <row r="421" spans="1:13" s="3" customFormat="1">
      <c r="A421" s="1"/>
      <c r="B421" s="8"/>
      <c r="C421" s="5"/>
      <c r="D421" s="12"/>
      <c r="E421" s="9"/>
      <c r="F421" s="9"/>
      <c r="G421" s="5"/>
      <c r="H421" s="16"/>
      <c r="I421" s="69"/>
      <c r="J421" s="70"/>
      <c r="K421" s="71"/>
      <c r="L421" s="71"/>
      <c r="M421" s="5"/>
    </row>
    <row r="422" spans="1:13" s="3" customFormat="1">
      <c r="A422" s="1"/>
      <c r="B422" s="8"/>
      <c r="C422" s="5"/>
      <c r="D422" s="12"/>
      <c r="E422" s="9"/>
      <c r="F422" s="9"/>
      <c r="G422" s="5"/>
      <c r="H422" s="16"/>
      <c r="I422" s="69"/>
      <c r="J422" s="70"/>
      <c r="K422" s="71"/>
      <c r="L422" s="71"/>
      <c r="M422" s="5"/>
    </row>
    <row r="423" spans="1:13" s="3" customFormat="1">
      <c r="A423" s="1"/>
      <c r="B423" s="8"/>
      <c r="C423" s="5"/>
      <c r="D423" s="12"/>
      <c r="E423" s="9"/>
      <c r="F423" s="9"/>
      <c r="G423" s="5"/>
      <c r="H423" s="16"/>
      <c r="I423" s="69"/>
      <c r="J423" s="70"/>
      <c r="K423" s="71"/>
      <c r="L423" s="71"/>
      <c r="M423" s="5"/>
    </row>
    <row r="424" spans="1:13" s="3" customFormat="1">
      <c r="A424" s="1"/>
      <c r="B424" s="8"/>
      <c r="C424" s="5"/>
      <c r="D424" s="12"/>
      <c r="E424" s="9"/>
      <c r="F424" s="9"/>
      <c r="G424" s="5"/>
      <c r="H424" s="16"/>
      <c r="I424" s="69"/>
      <c r="J424" s="70"/>
      <c r="K424" s="71"/>
      <c r="L424" s="71"/>
      <c r="M424" s="5"/>
    </row>
    <row r="425" spans="1:13" s="3" customFormat="1">
      <c r="A425" s="1"/>
      <c r="B425" s="8"/>
      <c r="C425" s="5"/>
      <c r="D425" s="12"/>
      <c r="E425" s="9"/>
      <c r="F425" s="9"/>
      <c r="G425" s="5"/>
      <c r="H425" s="16"/>
      <c r="I425" s="69"/>
      <c r="J425" s="70"/>
      <c r="K425" s="71"/>
      <c r="L425" s="71"/>
      <c r="M425" s="5"/>
    </row>
    <row r="426" spans="1:13" s="3" customFormat="1">
      <c r="A426" s="1"/>
      <c r="B426" s="8"/>
      <c r="C426" s="5"/>
      <c r="D426" s="12"/>
      <c r="E426" s="9"/>
      <c r="F426" s="9"/>
      <c r="G426" s="5"/>
      <c r="H426" s="16"/>
      <c r="I426" s="69"/>
      <c r="J426" s="70"/>
      <c r="K426" s="71"/>
      <c r="L426" s="71"/>
      <c r="M426" s="5"/>
    </row>
    <row r="427" spans="1:13" s="3" customFormat="1">
      <c r="A427" s="1"/>
      <c r="B427" s="8"/>
      <c r="C427" s="5"/>
      <c r="D427" s="12"/>
      <c r="E427" s="9"/>
      <c r="F427" s="9"/>
      <c r="G427" s="5"/>
      <c r="H427" s="16"/>
      <c r="I427" s="69"/>
      <c r="J427" s="70"/>
      <c r="K427" s="71"/>
      <c r="L427" s="71"/>
      <c r="M427" s="5"/>
    </row>
    <row r="428" spans="1:13" s="3" customFormat="1">
      <c r="A428" s="1"/>
      <c r="B428" s="8"/>
      <c r="C428" s="5"/>
      <c r="D428" s="12"/>
      <c r="E428" s="9"/>
      <c r="F428" s="9"/>
      <c r="G428" s="5"/>
      <c r="H428" s="16"/>
      <c r="I428" s="69"/>
      <c r="J428" s="70"/>
      <c r="K428" s="71"/>
      <c r="L428" s="71"/>
      <c r="M428" s="5"/>
    </row>
    <row r="429" spans="1:13" s="3" customFormat="1">
      <c r="A429" s="1"/>
      <c r="B429" s="8"/>
      <c r="C429" s="5"/>
      <c r="D429" s="12"/>
      <c r="E429" s="9"/>
      <c r="F429" s="9"/>
      <c r="G429" s="5"/>
      <c r="H429" s="16"/>
      <c r="I429" s="69"/>
      <c r="J429" s="70"/>
      <c r="K429" s="71"/>
      <c r="L429" s="71"/>
      <c r="M429" s="5"/>
    </row>
    <row r="430" spans="1:13" s="3" customFormat="1">
      <c r="A430" s="1"/>
      <c r="B430" s="8"/>
      <c r="C430" s="5"/>
      <c r="D430" s="12"/>
      <c r="E430" s="9"/>
      <c r="F430" s="9"/>
      <c r="G430" s="5"/>
      <c r="H430" s="16"/>
      <c r="I430" s="69"/>
      <c r="J430" s="70"/>
      <c r="K430" s="71"/>
      <c r="L430" s="71"/>
      <c r="M430" s="5"/>
    </row>
    <row r="431" spans="1:13" s="3" customFormat="1">
      <c r="A431" s="1"/>
      <c r="B431" s="8"/>
      <c r="C431" s="5"/>
      <c r="D431" s="12"/>
      <c r="E431" s="9"/>
      <c r="F431" s="9"/>
      <c r="G431" s="5"/>
      <c r="H431" s="16"/>
      <c r="I431" s="69"/>
      <c r="J431" s="70"/>
      <c r="K431" s="71"/>
      <c r="L431" s="71"/>
      <c r="M431" s="5"/>
    </row>
    <row r="432" spans="1:13" s="3" customFormat="1">
      <c r="A432" s="1"/>
      <c r="B432" s="8"/>
      <c r="C432" s="5"/>
      <c r="D432" s="12"/>
      <c r="E432" s="9"/>
      <c r="F432" s="9"/>
      <c r="G432" s="5"/>
      <c r="H432" s="16"/>
      <c r="I432" s="69"/>
      <c r="J432" s="70"/>
      <c r="K432" s="71"/>
      <c r="L432" s="71"/>
      <c r="M432" s="5"/>
    </row>
    <row r="433" spans="1:13" s="3" customFormat="1">
      <c r="A433" s="1"/>
      <c r="B433" s="8"/>
      <c r="C433" s="5"/>
      <c r="D433" s="12"/>
      <c r="E433" s="9"/>
      <c r="F433" s="9"/>
      <c r="G433" s="5"/>
      <c r="H433" s="16"/>
      <c r="I433" s="69"/>
      <c r="J433" s="70"/>
      <c r="K433" s="71"/>
      <c r="L433" s="71"/>
      <c r="M433" s="5"/>
    </row>
    <row r="434" spans="1:13" s="3" customFormat="1">
      <c r="A434" s="1"/>
      <c r="B434" s="8"/>
      <c r="C434" s="5"/>
      <c r="D434" s="12"/>
      <c r="E434" s="9"/>
      <c r="F434" s="9"/>
      <c r="G434" s="5"/>
      <c r="H434" s="16"/>
      <c r="I434" s="69"/>
      <c r="J434" s="70"/>
      <c r="K434" s="71"/>
      <c r="L434" s="71"/>
      <c r="M434" s="5"/>
    </row>
    <row r="435" spans="1:13" s="3" customFormat="1">
      <c r="A435" s="1"/>
      <c r="B435" s="8"/>
      <c r="C435" s="5"/>
      <c r="D435" s="12"/>
      <c r="E435" s="9"/>
      <c r="F435" s="9"/>
      <c r="G435" s="5"/>
      <c r="H435" s="16"/>
      <c r="I435" s="69"/>
      <c r="J435" s="70"/>
      <c r="K435" s="71"/>
      <c r="L435" s="71"/>
      <c r="M435" s="5"/>
    </row>
    <row r="436" spans="1:13" s="3" customFormat="1">
      <c r="A436" s="1"/>
      <c r="B436" s="8"/>
      <c r="C436" s="5"/>
      <c r="D436" s="12"/>
      <c r="E436" s="9"/>
      <c r="F436" s="9"/>
      <c r="G436" s="5"/>
      <c r="H436" s="16"/>
      <c r="I436" s="69"/>
      <c r="J436" s="70"/>
      <c r="K436" s="71"/>
      <c r="L436" s="71"/>
      <c r="M436" s="5"/>
    </row>
    <row r="437" spans="1:13" s="3" customFormat="1">
      <c r="A437" s="1"/>
      <c r="B437" s="8"/>
      <c r="C437" s="5"/>
      <c r="D437" s="12"/>
      <c r="E437" s="9"/>
      <c r="F437" s="9"/>
      <c r="G437" s="5"/>
      <c r="H437" s="16"/>
      <c r="I437" s="69"/>
      <c r="J437" s="70"/>
      <c r="K437" s="71"/>
      <c r="L437" s="71"/>
      <c r="M437" s="5"/>
    </row>
    <row r="438" spans="1:13" s="3" customFormat="1">
      <c r="A438" s="1"/>
      <c r="B438" s="8"/>
      <c r="C438" s="5"/>
      <c r="D438" s="12"/>
      <c r="E438" s="9"/>
      <c r="F438" s="9"/>
      <c r="G438" s="5"/>
      <c r="H438" s="16"/>
      <c r="I438" s="69"/>
      <c r="J438" s="70"/>
      <c r="K438" s="71"/>
      <c r="L438" s="71"/>
      <c r="M438" s="5"/>
    </row>
    <row r="439" spans="1:13" s="3" customFormat="1">
      <c r="A439" s="1"/>
      <c r="B439" s="8"/>
      <c r="C439" s="5"/>
      <c r="D439" s="12"/>
      <c r="E439" s="9"/>
      <c r="F439" s="9"/>
      <c r="G439" s="5"/>
      <c r="H439" s="16"/>
      <c r="I439" s="69"/>
      <c r="J439" s="70"/>
      <c r="K439" s="71"/>
      <c r="L439" s="71"/>
      <c r="M439" s="5"/>
    </row>
    <row r="440" spans="1:13" s="3" customFormat="1">
      <c r="A440" s="1"/>
      <c r="B440" s="8"/>
      <c r="C440" s="5"/>
      <c r="D440" s="12"/>
      <c r="E440" s="9"/>
      <c r="F440" s="9"/>
      <c r="G440" s="5"/>
      <c r="H440" s="16"/>
      <c r="I440" s="69"/>
      <c r="J440" s="70"/>
      <c r="K440" s="71"/>
      <c r="L440" s="71"/>
      <c r="M440" s="5"/>
    </row>
    <row r="441" spans="1:13" s="3" customFormat="1">
      <c r="A441" s="1"/>
      <c r="B441" s="8"/>
      <c r="C441" s="5"/>
      <c r="D441" s="12"/>
      <c r="E441" s="9"/>
      <c r="F441" s="9"/>
      <c r="G441" s="5"/>
      <c r="H441" s="16"/>
      <c r="I441" s="69"/>
      <c r="J441" s="70"/>
      <c r="K441" s="71"/>
      <c r="L441" s="71"/>
      <c r="M441" s="5"/>
    </row>
    <row r="442" spans="1:13" s="3" customFormat="1">
      <c r="A442" s="1"/>
      <c r="B442" s="8"/>
      <c r="C442" s="5"/>
      <c r="D442" s="12"/>
      <c r="E442" s="9"/>
      <c r="F442" s="9"/>
      <c r="G442" s="5"/>
      <c r="H442" s="16"/>
      <c r="I442" s="69"/>
      <c r="J442" s="70"/>
      <c r="K442" s="71"/>
      <c r="L442" s="71"/>
      <c r="M442" s="5"/>
    </row>
    <row r="443" spans="1:13" s="3" customFormat="1">
      <c r="A443" s="1"/>
      <c r="B443" s="8"/>
      <c r="C443" s="5"/>
      <c r="D443" s="12"/>
      <c r="E443" s="9"/>
      <c r="F443" s="9"/>
      <c r="G443" s="5"/>
      <c r="H443" s="16"/>
      <c r="I443" s="69"/>
      <c r="J443" s="70"/>
      <c r="K443" s="71"/>
      <c r="L443" s="71"/>
      <c r="M443" s="5"/>
    </row>
    <row r="444" spans="1:13" s="3" customFormat="1">
      <c r="A444" s="1"/>
      <c r="B444" s="8"/>
      <c r="C444" s="5"/>
      <c r="D444" s="12"/>
      <c r="E444" s="9"/>
      <c r="F444" s="9"/>
      <c r="G444" s="5"/>
      <c r="H444" s="16"/>
      <c r="I444" s="69"/>
      <c r="J444" s="70"/>
      <c r="K444" s="71"/>
      <c r="L444" s="71"/>
      <c r="M444" s="5"/>
    </row>
    <row r="445" spans="1:13" s="3" customFormat="1">
      <c r="A445" s="1"/>
      <c r="B445" s="8"/>
      <c r="C445" s="5"/>
      <c r="D445" s="12"/>
      <c r="E445" s="9"/>
      <c r="F445" s="9"/>
      <c r="G445" s="5"/>
      <c r="H445" s="16"/>
      <c r="I445" s="69"/>
      <c r="J445" s="70"/>
      <c r="K445" s="71"/>
      <c r="L445" s="71"/>
      <c r="M445" s="5"/>
    </row>
    <row r="446" spans="1:13" s="3" customFormat="1">
      <c r="A446" s="1"/>
      <c r="B446" s="8"/>
      <c r="C446" s="5"/>
      <c r="D446" s="12"/>
      <c r="E446" s="9"/>
      <c r="F446" s="9"/>
      <c r="G446" s="5"/>
      <c r="H446" s="16"/>
      <c r="I446" s="69"/>
      <c r="J446" s="70"/>
      <c r="K446" s="71"/>
      <c r="L446" s="71"/>
      <c r="M446" s="5"/>
    </row>
    <row r="447" spans="1:13" s="3" customFormat="1">
      <c r="A447" s="1"/>
      <c r="B447" s="8"/>
      <c r="C447" s="5"/>
      <c r="D447" s="12"/>
      <c r="E447" s="9"/>
      <c r="F447" s="9"/>
      <c r="G447" s="5"/>
      <c r="H447" s="16"/>
      <c r="I447" s="69"/>
      <c r="J447" s="70"/>
      <c r="K447" s="71"/>
      <c r="L447" s="71"/>
      <c r="M447" s="5"/>
    </row>
    <row r="448" spans="1:13" s="3" customFormat="1">
      <c r="A448" s="1"/>
      <c r="B448" s="8"/>
      <c r="C448" s="5"/>
      <c r="D448" s="12"/>
      <c r="E448" s="9"/>
      <c r="F448" s="9"/>
      <c r="G448" s="5"/>
      <c r="H448" s="16"/>
      <c r="I448" s="69"/>
      <c r="J448" s="70"/>
      <c r="K448" s="71"/>
      <c r="L448" s="71"/>
      <c r="M448" s="5"/>
    </row>
    <row r="449" spans="1:13" s="3" customFormat="1">
      <c r="A449" s="1"/>
      <c r="B449" s="8"/>
      <c r="C449" s="5"/>
      <c r="D449" s="12"/>
      <c r="E449" s="9"/>
      <c r="F449" s="9"/>
      <c r="G449" s="5"/>
      <c r="H449" s="16"/>
      <c r="I449" s="69"/>
      <c r="J449" s="70"/>
      <c r="K449" s="71"/>
      <c r="L449" s="71"/>
      <c r="M449" s="5"/>
    </row>
    <row r="450" spans="1:13" s="3" customFormat="1">
      <c r="A450" s="1"/>
      <c r="B450" s="8"/>
      <c r="C450" s="5"/>
      <c r="D450" s="12"/>
      <c r="E450" s="9"/>
      <c r="F450" s="9"/>
      <c r="G450" s="5"/>
      <c r="H450" s="16"/>
      <c r="I450" s="69"/>
      <c r="J450" s="70"/>
      <c r="K450" s="71"/>
      <c r="L450" s="71"/>
      <c r="M450" s="5"/>
    </row>
    <row r="451" spans="1:13" s="3" customFormat="1">
      <c r="A451" s="1"/>
      <c r="B451" s="8"/>
      <c r="C451" s="5"/>
      <c r="D451" s="12"/>
      <c r="E451" s="9"/>
      <c r="F451" s="9"/>
      <c r="G451" s="5"/>
      <c r="H451" s="16"/>
      <c r="I451" s="69"/>
      <c r="J451" s="70"/>
      <c r="K451" s="71"/>
      <c r="L451" s="71"/>
      <c r="M451" s="5"/>
    </row>
    <row r="452" spans="1:13" s="3" customFormat="1">
      <c r="A452" s="1"/>
      <c r="B452" s="8"/>
      <c r="C452" s="5"/>
      <c r="D452" s="12"/>
      <c r="E452" s="9"/>
      <c r="F452" s="9"/>
      <c r="G452" s="5"/>
      <c r="H452" s="16"/>
      <c r="I452" s="69"/>
      <c r="J452" s="70"/>
      <c r="K452" s="71"/>
      <c r="L452" s="71"/>
      <c r="M452" s="5"/>
    </row>
    <row r="453" spans="1:13" s="3" customFormat="1">
      <c r="A453" s="1"/>
      <c r="B453" s="8"/>
      <c r="C453" s="5"/>
      <c r="D453" s="12"/>
      <c r="E453" s="9"/>
      <c r="F453" s="9"/>
      <c r="G453" s="5"/>
      <c r="H453" s="16"/>
      <c r="I453" s="69"/>
      <c r="J453" s="70"/>
      <c r="K453" s="71"/>
      <c r="L453" s="71"/>
      <c r="M453" s="5"/>
    </row>
    <row r="454" spans="1:13" s="3" customFormat="1">
      <c r="A454" s="1"/>
      <c r="B454" s="8"/>
      <c r="C454" s="5"/>
      <c r="D454" s="12"/>
      <c r="E454" s="9"/>
      <c r="F454" s="9"/>
      <c r="G454" s="5"/>
      <c r="H454" s="16"/>
      <c r="I454" s="69"/>
      <c r="J454" s="70"/>
      <c r="K454" s="71"/>
      <c r="L454" s="71"/>
      <c r="M454" s="5"/>
    </row>
    <row r="455" spans="1:13" s="3" customFormat="1">
      <c r="A455" s="1"/>
      <c r="B455" s="8"/>
      <c r="C455" s="5"/>
      <c r="D455" s="12"/>
      <c r="E455" s="9"/>
      <c r="F455" s="9"/>
      <c r="G455" s="5"/>
      <c r="H455" s="16"/>
      <c r="I455" s="69"/>
      <c r="J455" s="70"/>
      <c r="K455" s="71"/>
      <c r="L455" s="71"/>
      <c r="M455" s="5"/>
    </row>
    <row r="456" spans="1:13" s="3" customFormat="1">
      <c r="A456" s="1"/>
      <c r="B456" s="8"/>
      <c r="C456" s="5"/>
      <c r="D456" s="12"/>
      <c r="E456" s="9"/>
      <c r="F456" s="9"/>
      <c r="G456" s="5"/>
      <c r="H456" s="16"/>
      <c r="I456" s="69"/>
      <c r="J456" s="70"/>
      <c r="K456" s="71"/>
      <c r="L456" s="71"/>
      <c r="M456" s="5"/>
    </row>
    <row r="457" spans="1:13" s="3" customFormat="1">
      <c r="A457" s="1"/>
      <c r="B457" s="8"/>
      <c r="C457" s="5"/>
      <c r="D457" s="12"/>
      <c r="E457" s="9"/>
      <c r="F457" s="9"/>
      <c r="G457" s="5"/>
      <c r="H457" s="16"/>
      <c r="I457" s="69"/>
      <c r="J457" s="70"/>
      <c r="K457" s="71"/>
      <c r="L457" s="71"/>
      <c r="M457" s="5"/>
    </row>
    <row r="458" spans="1:13" s="3" customFormat="1">
      <c r="A458" s="1"/>
      <c r="B458" s="8"/>
      <c r="C458" s="5"/>
      <c r="D458" s="12"/>
      <c r="E458" s="9"/>
      <c r="F458" s="9"/>
      <c r="G458" s="5"/>
      <c r="H458" s="16"/>
      <c r="I458" s="69"/>
      <c r="J458" s="70"/>
      <c r="K458" s="71"/>
      <c r="L458" s="71"/>
      <c r="M458" s="5"/>
    </row>
    <row r="459" spans="1:13" s="3" customFormat="1">
      <c r="A459" s="1"/>
      <c r="B459" s="8"/>
      <c r="C459" s="5"/>
      <c r="D459" s="12"/>
      <c r="E459" s="9"/>
      <c r="F459" s="9"/>
      <c r="G459" s="5"/>
      <c r="H459" s="16"/>
      <c r="I459" s="69"/>
      <c r="J459" s="70"/>
      <c r="K459" s="71"/>
      <c r="L459" s="71"/>
      <c r="M459" s="5"/>
    </row>
    <row r="460" spans="1:13" s="3" customFormat="1">
      <c r="A460" s="1"/>
      <c r="B460" s="8"/>
      <c r="C460" s="5"/>
      <c r="D460" s="12"/>
      <c r="E460" s="9"/>
      <c r="F460" s="9"/>
      <c r="G460" s="5"/>
      <c r="H460" s="16"/>
      <c r="I460" s="69"/>
      <c r="J460" s="70"/>
      <c r="K460" s="71"/>
      <c r="L460" s="71"/>
      <c r="M460" s="5"/>
    </row>
    <row r="461" spans="1:13" s="3" customFormat="1">
      <c r="A461" s="1"/>
      <c r="B461" s="8"/>
      <c r="C461" s="5"/>
      <c r="D461" s="12"/>
      <c r="E461" s="9"/>
      <c r="F461" s="9"/>
      <c r="G461" s="5"/>
      <c r="H461" s="16"/>
      <c r="I461" s="69"/>
      <c r="J461" s="70"/>
      <c r="K461" s="71"/>
      <c r="L461" s="71"/>
      <c r="M461" s="5"/>
    </row>
    <row r="462" spans="1:13" s="3" customFormat="1">
      <c r="A462" s="1"/>
      <c r="B462" s="8"/>
      <c r="C462" s="5"/>
      <c r="D462" s="12"/>
      <c r="E462" s="9"/>
      <c r="F462" s="9"/>
      <c r="G462" s="5"/>
      <c r="H462" s="16"/>
      <c r="I462" s="69"/>
      <c r="J462" s="70"/>
      <c r="K462" s="71"/>
      <c r="L462" s="71"/>
      <c r="M462" s="5"/>
    </row>
    <row r="463" spans="1:13" s="3" customFormat="1">
      <c r="A463" s="1"/>
      <c r="B463" s="8"/>
      <c r="C463" s="5"/>
      <c r="D463" s="12"/>
      <c r="E463" s="9"/>
      <c r="F463" s="9"/>
      <c r="G463" s="5"/>
      <c r="H463" s="16"/>
      <c r="I463" s="69"/>
      <c r="J463" s="70"/>
      <c r="K463" s="71"/>
      <c r="L463" s="71"/>
      <c r="M463" s="5"/>
    </row>
    <row r="464" spans="1:13" s="3" customFormat="1">
      <c r="A464" s="1"/>
      <c r="B464" s="8"/>
      <c r="C464" s="5"/>
      <c r="D464" s="12"/>
      <c r="E464" s="9"/>
      <c r="F464" s="9"/>
      <c r="G464" s="5"/>
      <c r="H464" s="16"/>
      <c r="I464" s="69"/>
      <c r="J464" s="70"/>
      <c r="K464" s="71"/>
      <c r="L464" s="71"/>
      <c r="M464" s="5"/>
    </row>
    <row r="465" spans="1:13" s="3" customFormat="1">
      <c r="A465" s="1"/>
      <c r="B465" s="8"/>
      <c r="C465" s="5"/>
      <c r="D465" s="12"/>
      <c r="E465" s="9"/>
      <c r="F465" s="9"/>
      <c r="G465" s="5"/>
      <c r="H465" s="16"/>
      <c r="I465" s="69"/>
      <c r="J465" s="70"/>
      <c r="K465" s="71"/>
      <c r="L465" s="71"/>
      <c r="M465" s="5"/>
    </row>
    <row r="466" spans="1:13" s="3" customFormat="1">
      <c r="A466" s="1"/>
      <c r="B466" s="8"/>
      <c r="C466" s="5"/>
      <c r="D466" s="12"/>
      <c r="E466" s="9"/>
      <c r="F466" s="9"/>
      <c r="G466" s="5"/>
      <c r="H466" s="16"/>
      <c r="I466" s="69"/>
      <c r="J466" s="70"/>
      <c r="K466" s="71"/>
      <c r="L466" s="71"/>
      <c r="M466" s="5"/>
    </row>
    <row r="467" spans="1:13" s="3" customFormat="1">
      <c r="A467" s="1"/>
      <c r="B467" s="8"/>
      <c r="C467" s="5"/>
      <c r="D467" s="12"/>
      <c r="E467" s="9"/>
      <c r="F467" s="9"/>
      <c r="G467" s="5"/>
      <c r="H467" s="16"/>
      <c r="I467" s="69"/>
      <c r="J467" s="70"/>
      <c r="K467" s="71"/>
      <c r="L467" s="71"/>
      <c r="M467" s="5"/>
    </row>
    <row r="468" spans="1:13" s="3" customFormat="1">
      <c r="A468" s="1"/>
      <c r="B468" s="8"/>
      <c r="C468" s="5"/>
      <c r="D468" s="12"/>
      <c r="E468" s="9"/>
      <c r="F468" s="9"/>
      <c r="G468" s="5"/>
      <c r="H468" s="16"/>
      <c r="I468" s="69"/>
      <c r="J468" s="70"/>
      <c r="K468" s="71"/>
      <c r="L468" s="71"/>
      <c r="M468" s="5"/>
    </row>
    <row r="469" spans="1:13" s="3" customFormat="1">
      <c r="A469" s="1"/>
      <c r="B469" s="8"/>
      <c r="C469" s="5"/>
      <c r="D469" s="12"/>
      <c r="E469" s="9"/>
      <c r="F469" s="9"/>
      <c r="G469" s="5"/>
      <c r="H469" s="16"/>
      <c r="I469" s="69"/>
      <c r="J469" s="70"/>
      <c r="K469" s="71"/>
      <c r="L469" s="71"/>
      <c r="M469" s="5"/>
    </row>
    <row r="470" spans="1:13" s="3" customFormat="1">
      <c r="A470" s="1"/>
      <c r="B470" s="8"/>
      <c r="C470" s="5"/>
      <c r="D470" s="12"/>
      <c r="E470" s="9"/>
      <c r="F470" s="9"/>
      <c r="G470" s="5"/>
      <c r="H470" s="16"/>
      <c r="I470" s="69"/>
      <c r="J470" s="70"/>
      <c r="K470" s="71"/>
      <c r="L470" s="71"/>
      <c r="M470" s="5"/>
    </row>
    <row r="471" spans="1:13" s="3" customFormat="1">
      <c r="A471" s="1"/>
      <c r="B471" s="8"/>
      <c r="C471" s="5"/>
      <c r="D471" s="12"/>
      <c r="E471" s="9"/>
      <c r="F471" s="9"/>
      <c r="G471" s="5"/>
      <c r="H471" s="16"/>
      <c r="I471" s="69"/>
      <c r="J471" s="70"/>
      <c r="K471" s="71"/>
      <c r="L471" s="71"/>
      <c r="M471" s="5"/>
    </row>
    <row r="472" spans="1:13" s="3" customFormat="1">
      <c r="A472" s="1"/>
      <c r="B472" s="8"/>
      <c r="C472" s="5"/>
      <c r="D472" s="12"/>
      <c r="E472" s="9"/>
      <c r="F472" s="9"/>
      <c r="G472" s="5"/>
      <c r="H472" s="16"/>
      <c r="I472" s="69"/>
      <c r="J472" s="70"/>
      <c r="K472" s="71"/>
      <c r="L472" s="71"/>
      <c r="M472" s="5"/>
    </row>
    <row r="473" spans="1:13" s="3" customFormat="1">
      <c r="A473" s="1"/>
      <c r="B473" s="8"/>
      <c r="C473" s="5"/>
      <c r="D473" s="12"/>
      <c r="E473" s="9"/>
      <c r="F473" s="9"/>
      <c r="G473" s="5"/>
      <c r="H473" s="16"/>
      <c r="I473" s="69"/>
      <c r="J473" s="70"/>
      <c r="K473" s="71"/>
      <c r="L473" s="71"/>
      <c r="M473" s="5"/>
    </row>
    <row r="474" spans="1:13" s="3" customFormat="1">
      <c r="A474" s="1"/>
      <c r="B474" s="8"/>
      <c r="C474" s="5"/>
      <c r="D474" s="12"/>
      <c r="E474" s="9"/>
      <c r="F474" s="9"/>
      <c r="G474" s="5"/>
      <c r="H474" s="16"/>
      <c r="I474" s="69"/>
      <c r="J474" s="70"/>
      <c r="K474" s="71"/>
      <c r="L474" s="71"/>
      <c r="M474" s="5"/>
    </row>
    <row r="475" spans="1:13" s="3" customFormat="1">
      <c r="A475" s="1"/>
      <c r="B475" s="8"/>
      <c r="C475" s="5"/>
      <c r="D475" s="12"/>
      <c r="E475" s="9"/>
      <c r="F475" s="9"/>
      <c r="G475" s="5"/>
      <c r="H475" s="16"/>
      <c r="I475" s="69"/>
      <c r="J475" s="70"/>
      <c r="K475" s="71"/>
      <c r="L475" s="71"/>
      <c r="M475" s="5"/>
    </row>
    <row r="476" spans="1:13" s="3" customFormat="1">
      <c r="A476" s="1"/>
      <c r="B476" s="8"/>
      <c r="C476" s="5"/>
      <c r="D476" s="12"/>
      <c r="E476" s="9"/>
      <c r="F476" s="9"/>
      <c r="G476" s="5"/>
      <c r="H476" s="16"/>
      <c r="I476" s="69"/>
      <c r="J476" s="70"/>
      <c r="K476" s="71"/>
      <c r="L476" s="71"/>
      <c r="M476" s="5"/>
    </row>
    <row r="477" spans="1:13" s="3" customFormat="1">
      <c r="A477" s="1"/>
      <c r="B477" s="8"/>
      <c r="C477" s="5"/>
      <c r="D477" s="12"/>
      <c r="E477" s="9"/>
      <c r="F477" s="9"/>
      <c r="G477" s="5"/>
      <c r="H477" s="16"/>
      <c r="I477" s="69"/>
      <c r="J477" s="70"/>
      <c r="K477" s="71"/>
      <c r="L477" s="71"/>
      <c r="M477" s="5"/>
    </row>
    <row r="478" spans="1:13" s="3" customFormat="1">
      <c r="A478" s="1"/>
      <c r="B478" s="8"/>
      <c r="C478" s="5"/>
      <c r="D478" s="12"/>
      <c r="E478" s="9"/>
      <c r="F478" s="9"/>
      <c r="G478" s="5"/>
      <c r="H478" s="16"/>
      <c r="I478" s="69"/>
      <c r="J478" s="70"/>
      <c r="K478" s="71"/>
      <c r="L478" s="71"/>
      <c r="M478" s="5"/>
    </row>
    <row r="479" spans="1:13" s="3" customFormat="1">
      <c r="A479" s="1"/>
      <c r="B479" s="8"/>
      <c r="C479" s="5"/>
      <c r="D479" s="12"/>
      <c r="E479" s="9"/>
      <c r="F479" s="9"/>
      <c r="G479" s="5"/>
      <c r="H479" s="16"/>
      <c r="I479" s="69"/>
      <c r="J479" s="70"/>
      <c r="K479" s="71"/>
      <c r="L479" s="71"/>
      <c r="M479" s="5"/>
    </row>
    <row r="480" spans="1:13" s="3" customFormat="1">
      <c r="A480" s="1"/>
      <c r="B480" s="8"/>
      <c r="C480" s="5"/>
      <c r="D480" s="12"/>
      <c r="E480" s="9"/>
      <c r="F480" s="9"/>
      <c r="G480" s="5"/>
      <c r="H480" s="16"/>
      <c r="I480" s="69"/>
      <c r="J480" s="70"/>
      <c r="K480" s="71"/>
      <c r="L480" s="71"/>
      <c r="M480" s="5"/>
    </row>
    <row r="481" spans="1:13" s="3" customFormat="1">
      <c r="A481" s="1"/>
      <c r="B481" s="8"/>
      <c r="C481" s="5"/>
      <c r="D481" s="12"/>
      <c r="E481" s="9"/>
      <c r="F481" s="9"/>
      <c r="G481" s="5"/>
      <c r="H481" s="16"/>
      <c r="I481" s="69"/>
      <c r="J481" s="70"/>
      <c r="K481" s="71"/>
      <c r="L481" s="71"/>
      <c r="M481" s="5"/>
    </row>
    <row r="482" spans="1:13" s="3" customFormat="1">
      <c r="A482" s="1"/>
      <c r="B482" s="8"/>
      <c r="C482" s="5"/>
      <c r="D482" s="12"/>
      <c r="E482" s="9"/>
      <c r="F482" s="9"/>
      <c r="G482" s="5"/>
      <c r="H482" s="16"/>
      <c r="I482" s="69"/>
      <c r="J482" s="70"/>
      <c r="K482" s="71"/>
      <c r="L482" s="71"/>
      <c r="M482" s="5"/>
    </row>
    <row r="483" spans="1:13" s="3" customFormat="1">
      <c r="A483" s="1"/>
      <c r="B483" s="8"/>
      <c r="C483" s="5"/>
      <c r="D483" s="12"/>
      <c r="E483" s="9"/>
      <c r="F483" s="9"/>
      <c r="G483" s="5"/>
      <c r="H483" s="16"/>
      <c r="I483" s="69"/>
      <c r="J483" s="70"/>
      <c r="K483" s="71"/>
      <c r="L483" s="71"/>
      <c r="M483" s="5"/>
    </row>
    <row r="484" spans="1:13" s="3" customFormat="1">
      <c r="A484" s="1"/>
      <c r="B484" s="8"/>
      <c r="C484" s="5"/>
      <c r="D484" s="12"/>
      <c r="E484" s="9"/>
      <c r="F484" s="9"/>
      <c r="G484" s="5"/>
      <c r="H484" s="16"/>
      <c r="I484" s="69"/>
      <c r="J484" s="70"/>
      <c r="K484" s="71"/>
      <c r="L484" s="71"/>
      <c r="M484" s="5"/>
    </row>
    <row r="485" spans="1:13" s="3" customFormat="1">
      <c r="A485" s="1"/>
      <c r="B485" s="8"/>
      <c r="C485" s="5"/>
      <c r="D485" s="12"/>
      <c r="E485" s="9"/>
      <c r="F485" s="9"/>
      <c r="G485" s="5"/>
      <c r="H485" s="16"/>
      <c r="I485" s="69"/>
      <c r="J485" s="70"/>
      <c r="K485" s="71"/>
      <c r="L485" s="71"/>
      <c r="M485" s="5"/>
    </row>
    <row r="486" spans="1:13" s="3" customFormat="1">
      <c r="A486" s="1"/>
      <c r="B486" s="8"/>
      <c r="C486" s="5"/>
      <c r="D486" s="12"/>
      <c r="E486" s="9"/>
      <c r="F486" s="9"/>
      <c r="G486" s="5"/>
      <c r="H486" s="16"/>
      <c r="I486" s="69"/>
      <c r="J486" s="70"/>
      <c r="K486" s="71"/>
      <c r="L486" s="71"/>
      <c r="M486" s="5"/>
    </row>
    <row r="487" spans="1:13" s="3" customFormat="1">
      <c r="A487" s="1"/>
      <c r="B487" s="8"/>
      <c r="C487" s="5"/>
      <c r="D487" s="12"/>
      <c r="E487" s="9"/>
      <c r="F487" s="9"/>
      <c r="G487" s="5"/>
      <c r="H487" s="16"/>
      <c r="I487" s="69"/>
      <c r="J487" s="70"/>
      <c r="K487" s="71"/>
      <c r="L487" s="71"/>
      <c r="M487" s="5"/>
    </row>
    <row r="488" spans="1:13" s="3" customFormat="1">
      <c r="A488" s="1"/>
      <c r="B488" s="8"/>
      <c r="C488" s="5"/>
      <c r="D488" s="12"/>
      <c r="E488" s="9"/>
      <c r="F488" s="9"/>
      <c r="G488" s="5"/>
      <c r="H488" s="16"/>
      <c r="I488" s="69"/>
      <c r="J488" s="70"/>
      <c r="K488" s="71"/>
      <c r="L488" s="71"/>
      <c r="M488" s="5"/>
    </row>
    <row r="489" spans="1:13" s="3" customFormat="1">
      <c r="A489" s="1"/>
      <c r="B489" s="8"/>
      <c r="C489" s="5"/>
      <c r="D489" s="12"/>
      <c r="E489" s="9"/>
      <c r="F489" s="9"/>
      <c r="G489" s="5"/>
      <c r="H489" s="16"/>
      <c r="I489" s="69"/>
      <c r="J489" s="70"/>
      <c r="K489" s="71"/>
      <c r="L489" s="71"/>
      <c r="M489" s="5"/>
    </row>
    <row r="490" spans="1:13" s="3" customFormat="1">
      <c r="A490" s="1"/>
      <c r="B490" s="8"/>
      <c r="C490" s="5"/>
      <c r="D490" s="12"/>
      <c r="E490" s="9"/>
      <c r="F490" s="9"/>
      <c r="G490" s="5"/>
      <c r="H490" s="16"/>
      <c r="I490" s="69"/>
      <c r="J490" s="70"/>
      <c r="K490" s="71"/>
      <c r="L490" s="71"/>
      <c r="M490" s="5"/>
    </row>
    <row r="491" spans="1:13" s="3" customFormat="1">
      <c r="A491" s="1"/>
      <c r="B491" s="8"/>
      <c r="C491" s="5"/>
      <c r="D491" s="12"/>
      <c r="E491" s="9"/>
      <c r="F491" s="9"/>
      <c r="G491" s="5"/>
      <c r="H491" s="16"/>
      <c r="I491" s="69"/>
      <c r="J491" s="70"/>
      <c r="K491" s="71"/>
      <c r="L491" s="71"/>
      <c r="M491" s="5"/>
    </row>
    <row r="492" spans="1:13" s="3" customFormat="1">
      <c r="A492" s="1"/>
      <c r="B492" s="8"/>
      <c r="C492" s="5"/>
      <c r="D492" s="12"/>
      <c r="E492" s="9"/>
      <c r="F492" s="9"/>
      <c r="G492" s="5"/>
      <c r="H492" s="16"/>
      <c r="I492" s="69"/>
      <c r="J492" s="70"/>
      <c r="K492" s="71"/>
      <c r="L492" s="71"/>
      <c r="M492" s="5"/>
    </row>
    <row r="493" spans="1:13" s="3" customFormat="1">
      <c r="A493" s="1"/>
      <c r="B493" s="8"/>
      <c r="C493" s="5"/>
      <c r="D493" s="12"/>
      <c r="E493" s="9"/>
      <c r="F493" s="9"/>
      <c r="G493" s="5"/>
      <c r="H493" s="16"/>
      <c r="I493" s="69"/>
      <c r="J493" s="70"/>
      <c r="K493" s="71"/>
      <c r="L493" s="71"/>
      <c r="M493" s="5"/>
    </row>
    <row r="494" spans="1:13" s="3" customFormat="1">
      <c r="A494" s="1"/>
      <c r="B494" s="8"/>
      <c r="C494" s="5"/>
      <c r="D494" s="12"/>
      <c r="E494" s="9"/>
      <c r="F494" s="9"/>
      <c r="G494" s="5"/>
      <c r="H494" s="16"/>
      <c r="I494" s="69"/>
      <c r="J494" s="70"/>
      <c r="K494" s="71"/>
      <c r="L494" s="71"/>
      <c r="M494" s="5"/>
    </row>
    <row r="495" spans="1:13" s="3" customFormat="1">
      <c r="A495" s="1"/>
      <c r="B495" s="8"/>
      <c r="C495" s="5"/>
      <c r="D495" s="12"/>
      <c r="E495" s="9"/>
      <c r="F495" s="9"/>
      <c r="G495" s="5"/>
      <c r="H495" s="16"/>
      <c r="I495" s="69"/>
      <c r="J495" s="70"/>
      <c r="K495" s="71"/>
      <c r="L495" s="71"/>
      <c r="M495" s="5"/>
    </row>
    <row r="496" spans="1:13" s="3" customFormat="1">
      <c r="A496" s="1"/>
      <c r="B496" s="8"/>
      <c r="C496" s="5"/>
      <c r="D496" s="12"/>
      <c r="E496" s="9"/>
      <c r="F496" s="9"/>
      <c r="G496" s="5"/>
      <c r="H496" s="16"/>
      <c r="I496" s="69"/>
      <c r="J496" s="70"/>
      <c r="K496" s="71"/>
      <c r="L496" s="71"/>
      <c r="M496" s="5"/>
    </row>
    <row r="497" spans="1:13" s="3" customFormat="1">
      <c r="A497" s="1"/>
      <c r="B497" s="8"/>
      <c r="C497" s="5"/>
      <c r="D497" s="12"/>
      <c r="E497" s="9"/>
      <c r="F497" s="9"/>
      <c r="G497" s="5"/>
      <c r="H497" s="16"/>
      <c r="I497" s="69"/>
      <c r="J497" s="70"/>
      <c r="K497" s="71"/>
      <c r="L497" s="71"/>
      <c r="M497" s="5"/>
    </row>
    <row r="498" spans="1:13" s="3" customFormat="1">
      <c r="A498" s="1"/>
      <c r="B498" s="8"/>
      <c r="C498" s="5"/>
      <c r="D498" s="12"/>
      <c r="E498" s="9"/>
      <c r="F498" s="9"/>
      <c r="G498" s="5"/>
      <c r="H498" s="16"/>
      <c r="I498" s="69"/>
      <c r="J498" s="70"/>
      <c r="K498" s="71"/>
      <c r="L498" s="71"/>
      <c r="M498" s="5"/>
    </row>
    <row r="499" spans="1:13" s="3" customFormat="1">
      <c r="A499" s="1"/>
      <c r="B499" s="8"/>
      <c r="C499" s="5"/>
      <c r="D499" s="12"/>
      <c r="E499" s="9"/>
      <c r="F499" s="9"/>
      <c r="G499" s="5"/>
      <c r="H499" s="16"/>
      <c r="I499" s="69"/>
      <c r="J499" s="70"/>
      <c r="K499" s="71"/>
      <c r="L499" s="71"/>
      <c r="M499" s="5"/>
    </row>
    <row r="500" spans="1:13" s="3" customFormat="1">
      <c r="A500" s="1"/>
      <c r="B500" s="8"/>
      <c r="C500" s="5"/>
      <c r="D500" s="12"/>
      <c r="E500" s="9"/>
      <c r="F500" s="9"/>
      <c r="G500" s="5"/>
      <c r="H500" s="16"/>
      <c r="I500" s="69"/>
      <c r="J500" s="70"/>
      <c r="K500" s="71"/>
      <c r="L500" s="71"/>
      <c r="M500" s="5"/>
    </row>
    <row r="501" spans="1:13" s="3" customFormat="1">
      <c r="A501" s="1"/>
      <c r="B501" s="8"/>
      <c r="C501" s="5"/>
      <c r="D501" s="12"/>
      <c r="E501" s="9"/>
      <c r="F501" s="9"/>
      <c r="G501" s="5"/>
      <c r="H501" s="16"/>
      <c r="I501" s="69"/>
      <c r="J501" s="70"/>
      <c r="K501" s="71"/>
      <c r="L501" s="71"/>
      <c r="M501" s="5"/>
    </row>
    <row r="502" spans="1:13" s="3" customFormat="1">
      <c r="A502" s="1"/>
      <c r="B502" s="8"/>
      <c r="C502" s="5"/>
      <c r="D502" s="12"/>
      <c r="E502" s="9"/>
      <c r="F502" s="9"/>
      <c r="G502" s="5"/>
      <c r="H502" s="16"/>
      <c r="I502" s="69"/>
      <c r="J502" s="70"/>
      <c r="K502" s="71"/>
      <c r="L502" s="71"/>
      <c r="M502" s="5"/>
    </row>
    <row r="503" spans="1:13" s="3" customFormat="1">
      <c r="A503" s="1"/>
      <c r="B503" s="8"/>
      <c r="C503" s="5"/>
      <c r="D503" s="12"/>
      <c r="E503" s="9"/>
      <c r="F503" s="9"/>
      <c r="G503" s="5"/>
      <c r="H503" s="16"/>
      <c r="I503" s="69"/>
      <c r="J503" s="70"/>
      <c r="K503" s="71"/>
      <c r="L503" s="71"/>
      <c r="M503" s="5"/>
    </row>
    <row r="504" spans="1:13" s="3" customFormat="1">
      <c r="A504" s="1"/>
      <c r="B504" s="8"/>
      <c r="C504" s="5"/>
      <c r="D504" s="12"/>
      <c r="E504" s="9"/>
      <c r="F504" s="9"/>
      <c r="G504" s="5"/>
      <c r="H504" s="16"/>
      <c r="I504" s="69"/>
      <c r="J504" s="70"/>
      <c r="K504" s="71"/>
      <c r="L504" s="71"/>
      <c r="M504" s="5"/>
    </row>
    <row r="505" spans="1:13" s="3" customFormat="1">
      <c r="A505" s="1"/>
      <c r="B505" s="8"/>
      <c r="C505" s="5"/>
      <c r="D505" s="12"/>
      <c r="E505" s="9"/>
      <c r="F505" s="9"/>
      <c r="G505" s="5"/>
      <c r="H505" s="16"/>
      <c r="I505" s="69"/>
      <c r="J505" s="70"/>
      <c r="K505" s="71"/>
      <c r="L505" s="71"/>
      <c r="M505" s="5"/>
    </row>
    <row r="506" spans="1:13" s="3" customFormat="1">
      <c r="A506" s="1"/>
      <c r="B506" s="8"/>
      <c r="C506" s="5"/>
      <c r="D506" s="12"/>
      <c r="E506" s="9"/>
      <c r="F506" s="9"/>
      <c r="G506" s="5"/>
      <c r="H506" s="16"/>
      <c r="I506" s="69"/>
      <c r="J506" s="70"/>
      <c r="K506" s="71"/>
      <c r="L506" s="71"/>
      <c r="M506" s="5"/>
    </row>
    <row r="507" spans="1:13" s="3" customFormat="1">
      <c r="A507" s="1"/>
      <c r="B507" s="8"/>
      <c r="C507" s="5"/>
      <c r="D507" s="12"/>
      <c r="E507" s="9"/>
      <c r="F507" s="9"/>
      <c r="G507" s="5"/>
      <c r="H507" s="16"/>
      <c r="I507" s="69"/>
      <c r="J507" s="70"/>
      <c r="K507" s="71"/>
      <c r="L507" s="71"/>
      <c r="M507" s="5"/>
    </row>
    <row r="508" spans="1:13" s="3" customFormat="1">
      <c r="A508" s="1"/>
      <c r="B508" s="8"/>
      <c r="C508" s="5"/>
      <c r="D508" s="12"/>
      <c r="E508" s="9"/>
      <c r="F508" s="9"/>
      <c r="G508" s="5"/>
      <c r="H508" s="16"/>
      <c r="I508" s="69"/>
      <c r="J508" s="70"/>
      <c r="K508" s="71"/>
      <c r="L508" s="71"/>
      <c r="M508" s="5"/>
    </row>
    <row r="509" spans="1:13" s="3" customFormat="1">
      <c r="A509" s="1"/>
      <c r="B509" s="8"/>
      <c r="C509" s="5"/>
      <c r="D509" s="12"/>
      <c r="E509" s="9"/>
      <c r="F509" s="9"/>
      <c r="G509" s="5"/>
      <c r="H509" s="16"/>
      <c r="I509" s="69"/>
      <c r="J509" s="70"/>
      <c r="K509" s="71"/>
      <c r="L509" s="71"/>
      <c r="M509" s="5"/>
    </row>
    <row r="510" spans="1:13" s="3" customFormat="1">
      <c r="A510" s="1"/>
      <c r="B510" s="8"/>
      <c r="C510" s="5"/>
      <c r="D510" s="12"/>
      <c r="E510" s="9"/>
      <c r="F510" s="9"/>
      <c r="G510" s="5"/>
      <c r="H510" s="16"/>
      <c r="I510" s="69"/>
      <c r="J510" s="70"/>
      <c r="K510" s="71"/>
      <c r="L510" s="71"/>
      <c r="M510" s="5"/>
    </row>
    <row r="511" spans="1:13" s="3" customFormat="1">
      <c r="A511" s="1"/>
      <c r="B511" s="8"/>
      <c r="C511" s="5"/>
      <c r="D511" s="12"/>
      <c r="E511" s="9"/>
      <c r="F511" s="9"/>
      <c r="G511" s="5"/>
      <c r="H511" s="16"/>
      <c r="I511" s="69"/>
      <c r="J511" s="70"/>
      <c r="K511" s="71"/>
      <c r="L511" s="71"/>
      <c r="M511" s="5"/>
    </row>
    <row r="512" spans="1:13" s="3" customFormat="1">
      <c r="A512" s="1"/>
      <c r="B512" s="8"/>
      <c r="C512" s="5"/>
      <c r="D512" s="12"/>
      <c r="E512" s="9"/>
      <c r="F512" s="9"/>
      <c r="G512" s="5"/>
      <c r="H512" s="16"/>
      <c r="I512" s="69"/>
      <c r="J512" s="70"/>
      <c r="K512" s="71"/>
      <c r="L512" s="71"/>
      <c r="M512" s="5"/>
    </row>
    <row r="513" spans="1:13" s="3" customFormat="1">
      <c r="A513" s="1"/>
      <c r="B513" s="8"/>
      <c r="C513" s="5"/>
      <c r="D513" s="12"/>
      <c r="E513" s="9"/>
      <c r="F513" s="9"/>
      <c r="G513" s="5"/>
      <c r="H513" s="16"/>
      <c r="I513" s="69"/>
      <c r="J513" s="70"/>
      <c r="K513" s="71"/>
      <c r="L513" s="71"/>
      <c r="M513" s="5"/>
    </row>
    <row r="514" spans="1:13" s="3" customFormat="1">
      <c r="A514" s="1"/>
      <c r="B514" s="8"/>
      <c r="C514" s="5"/>
      <c r="D514" s="12"/>
      <c r="E514" s="9"/>
      <c r="F514" s="9"/>
      <c r="G514" s="5"/>
      <c r="H514" s="16"/>
      <c r="I514" s="69"/>
      <c r="J514" s="70"/>
      <c r="K514" s="71"/>
      <c r="L514" s="71"/>
      <c r="M514" s="5"/>
    </row>
    <row r="515" spans="1:13" s="3" customFormat="1">
      <c r="A515" s="1"/>
      <c r="B515" s="8"/>
      <c r="C515" s="5"/>
      <c r="D515" s="12"/>
      <c r="E515" s="9"/>
      <c r="F515" s="9"/>
      <c r="G515" s="5"/>
      <c r="H515" s="16"/>
      <c r="I515" s="69"/>
      <c r="J515" s="70"/>
      <c r="K515" s="71"/>
      <c r="L515" s="71"/>
      <c r="M515" s="5"/>
    </row>
    <row r="516" spans="1:13" s="3" customFormat="1">
      <c r="A516" s="1"/>
      <c r="B516" s="8"/>
      <c r="C516" s="5"/>
      <c r="D516" s="12"/>
      <c r="E516" s="9"/>
      <c r="F516" s="9"/>
      <c r="G516" s="5"/>
      <c r="H516" s="16"/>
      <c r="I516" s="69"/>
      <c r="J516" s="70"/>
      <c r="K516" s="71"/>
      <c r="L516" s="71"/>
      <c r="M516" s="5"/>
    </row>
    <row r="517" spans="1:13" s="3" customFormat="1">
      <c r="A517" s="1"/>
      <c r="B517" s="8"/>
      <c r="C517" s="5"/>
      <c r="D517" s="12"/>
      <c r="E517" s="9"/>
      <c r="F517" s="9"/>
      <c r="G517" s="5"/>
      <c r="H517" s="16"/>
      <c r="I517" s="69"/>
      <c r="J517" s="70"/>
      <c r="K517" s="71"/>
      <c r="L517" s="71"/>
      <c r="M517" s="5"/>
    </row>
    <row r="518" spans="1:13" s="3" customFormat="1">
      <c r="A518" s="1"/>
      <c r="B518" s="8"/>
      <c r="C518" s="5"/>
      <c r="D518" s="12"/>
      <c r="E518" s="9"/>
      <c r="F518" s="9"/>
      <c r="G518" s="5"/>
      <c r="H518" s="16"/>
      <c r="I518" s="69"/>
      <c r="J518" s="70"/>
      <c r="K518" s="71"/>
      <c r="L518" s="71"/>
      <c r="M518" s="5"/>
    </row>
    <row r="519" spans="1:13" s="3" customFormat="1">
      <c r="A519" s="1"/>
      <c r="B519" s="8"/>
      <c r="C519" s="5"/>
      <c r="D519" s="12"/>
      <c r="E519" s="9"/>
      <c r="F519" s="9"/>
      <c r="G519" s="5"/>
      <c r="H519" s="16"/>
      <c r="I519" s="69"/>
      <c r="J519" s="70"/>
      <c r="K519" s="71"/>
      <c r="L519" s="71"/>
      <c r="M519" s="5"/>
    </row>
    <row r="520" spans="1:13" s="3" customFormat="1">
      <c r="A520" s="1"/>
      <c r="B520" s="8"/>
      <c r="C520" s="5"/>
      <c r="D520" s="12"/>
      <c r="E520" s="9"/>
      <c r="F520" s="9"/>
      <c r="G520" s="5"/>
      <c r="H520" s="16"/>
      <c r="I520" s="69"/>
      <c r="J520" s="70"/>
      <c r="K520" s="71"/>
      <c r="L520" s="71"/>
      <c r="M520" s="5"/>
    </row>
    <row r="521" spans="1:13" s="3" customFormat="1">
      <c r="A521" s="1"/>
      <c r="B521" s="8"/>
      <c r="C521" s="5"/>
      <c r="D521" s="12"/>
      <c r="E521" s="9"/>
      <c r="F521" s="9"/>
      <c r="G521" s="5"/>
      <c r="H521" s="16"/>
      <c r="I521" s="69"/>
      <c r="J521" s="70"/>
      <c r="K521" s="71"/>
      <c r="L521" s="71"/>
      <c r="M521" s="5"/>
    </row>
    <row r="522" spans="1:13" s="3" customFormat="1">
      <c r="A522" s="1"/>
      <c r="B522" s="8"/>
      <c r="C522" s="5"/>
      <c r="D522" s="12"/>
      <c r="E522" s="9"/>
      <c r="F522" s="9"/>
      <c r="G522" s="5"/>
      <c r="H522" s="16"/>
      <c r="I522" s="69"/>
      <c r="J522" s="70"/>
      <c r="K522" s="71"/>
      <c r="L522" s="71"/>
      <c r="M522" s="5"/>
    </row>
    <row r="523" spans="1:13" s="3" customFormat="1">
      <c r="A523" s="1"/>
      <c r="B523" s="8"/>
      <c r="C523" s="5"/>
      <c r="D523" s="12"/>
      <c r="E523" s="9"/>
      <c r="F523" s="9"/>
      <c r="G523" s="5"/>
      <c r="H523" s="16"/>
      <c r="I523" s="69"/>
      <c r="J523" s="70"/>
      <c r="K523" s="71"/>
      <c r="L523" s="71"/>
      <c r="M523" s="5"/>
    </row>
    <row r="524" spans="1:13" s="3" customFormat="1">
      <c r="A524" s="1"/>
      <c r="B524" s="8"/>
      <c r="C524" s="5"/>
      <c r="D524" s="12"/>
      <c r="E524" s="9"/>
      <c r="F524" s="9"/>
      <c r="G524" s="5"/>
      <c r="H524" s="16"/>
      <c r="I524" s="69"/>
      <c r="J524" s="70"/>
      <c r="K524" s="71"/>
      <c r="L524" s="71"/>
      <c r="M524" s="5"/>
    </row>
    <row r="525" spans="1:13" s="3" customFormat="1">
      <c r="A525" s="1"/>
      <c r="B525" s="8"/>
      <c r="C525" s="5"/>
      <c r="D525" s="12"/>
      <c r="E525" s="9"/>
      <c r="F525" s="9"/>
      <c r="G525" s="5"/>
      <c r="H525" s="16"/>
      <c r="I525" s="69"/>
      <c r="J525" s="70"/>
      <c r="K525" s="71"/>
      <c r="L525" s="71"/>
      <c r="M525" s="5"/>
    </row>
    <row r="526" spans="1:13" s="3" customFormat="1">
      <c r="A526" s="1"/>
      <c r="B526" s="8"/>
      <c r="C526" s="5"/>
      <c r="D526" s="12"/>
      <c r="E526" s="9"/>
      <c r="F526" s="9"/>
      <c r="G526" s="5"/>
      <c r="H526" s="16"/>
      <c r="I526" s="69"/>
      <c r="J526" s="70"/>
      <c r="K526" s="71"/>
      <c r="L526" s="71"/>
      <c r="M526" s="5"/>
    </row>
    <row r="527" spans="1:13" s="3" customFormat="1">
      <c r="A527" s="1"/>
      <c r="B527" s="8"/>
      <c r="C527" s="5"/>
      <c r="D527" s="12"/>
      <c r="E527" s="9"/>
      <c r="F527" s="9"/>
      <c r="G527" s="5"/>
      <c r="H527" s="16"/>
      <c r="I527" s="69"/>
      <c r="J527" s="70"/>
      <c r="K527" s="71"/>
      <c r="L527" s="71"/>
      <c r="M527" s="5"/>
    </row>
    <row r="528" spans="1:13" s="3" customFormat="1">
      <c r="A528" s="1"/>
      <c r="B528" s="8"/>
      <c r="C528" s="5"/>
      <c r="D528" s="12"/>
      <c r="E528" s="9"/>
      <c r="F528" s="9"/>
      <c r="G528" s="5"/>
      <c r="H528" s="16"/>
      <c r="I528" s="69"/>
      <c r="J528" s="70"/>
      <c r="K528" s="71"/>
      <c r="L528" s="71"/>
      <c r="M528" s="5"/>
    </row>
    <row r="529" spans="1:13" s="3" customFormat="1">
      <c r="A529" s="1"/>
      <c r="B529" s="8"/>
      <c r="C529" s="5"/>
      <c r="D529" s="12"/>
      <c r="E529" s="9"/>
      <c r="F529" s="9"/>
      <c r="G529" s="5"/>
      <c r="H529" s="16"/>
      <c r="I529" s="69"/>
      <c r="J529" s="70"/>
      <c r="K529" s="71"/>
      <c r="L529" s="71"/>
      <c r="M529" s="5"/>
    </row>
    <row r="530" spans="1:13" s="3" customFormat="1">
      <c r="A530" s="1"/>
      <c r="B530" s="8"/>
      <c r="C530" s="5"/>
      <c r="D530" s="12"/>
      <c r="E530" s="9"/>
      <c r="F530" s="9"/>
      <c r="G530" s="5"/>
      <c r="H530" s="16"/>
      <c r="I530" s="69"/>
      <c r="J530" s="70"/>
      <c r="K530" s="71"/>
      <c r="L530" s="71"/>
      <c r="M530" s="5"/>
    </row>
    <row r="531" spans="1:13" s="3" customFormat="1">
      <c r="A531" s="1"/>
      <c r="B531" s="8"/>
      <c r="C531" s="5"/>
      <c r="D531" s="12"/>
      <c r="E531" s="9"/>
      <c r="F531" s="9"/>
      <c r="G531" s="5"/>
      <c r="H531" s="16"/>
      <c r="I531" s="69"/>
      <c r="J531" s="70"/>
      <c r="K531" s="71"/>
      <c r="L531" s="71"/>
      <c r="M531" s="5"/>
    </row>
    <row r="532" spans="1:13" s="3" customFormat="1">
      <c r="A532" s="1"/>
      <c r="B532" s="8"/>
      <c r="C532" s="5"/>
      <c r="D532" s="12"/>
      <c r="E532" s="9"/>
      <c r="F532" s="9"/>
      <c r="G532" s="5"/>
      <c r="H532" s="16"/>
      <c r="I532" s="69"/>
      <c r="J532" s="70"/>
      <c r="K532" s="71"/>
      <c r="L532" s="71"/>
      <c r="M532" s="5"/>
    </row>
    <row r="533" spans="1:13" s="3" customFormat="1">
      <c r="A533" s="1"/>
      <c r="B533" s="8"/>
      <c r="C533" s="5"/>
      <c r="D533" s="12"/>
      <c r="E533" s="9"/>
      <c r="F533" s="9"/>
      <c r="G533" s="5"/>
      <c r="H533" s="16"/>
      <c r="I533" s="69"/>
      <c r="J533" s="70"/>
      <c r="K533" s="71"/>
      <c r="L533" s="71"/>
      <c r="M533" s="5"/>
    </row>
    <row r="534" spans="1:13" s="3" customFormat="1">
      <c r="A534" s="1"/>
      <c r="B534" s="8"/>
      <c r="C534" s="5"/>
      <c r="D534" s="12"/>
      <c r="E534" s="9"/>
      <c r="F534" s="9"/>
      <c r="G534" s="5"/>
      <c r="H534" s="16"/>
      <c r="I534" s="69"/>
      <c r="J534" s="70"/>
      <c r="K534" s="71"/>
      <c r="L534" s="71"/>
      <c r="M534" s="5"/>
    </row>
    <row r="535" spans="1:13" s="3" customFormat="1">
      <c r="A535" s="1"/>
      <c r="B535" s="8"/>
      <c r="C535" s="5"/>
      <c r="D535" s="12"/>
      <c r="E535" s="9"/>
      <c r="F535" s="9"/>
      <c r="G535" s="5"/>
      <c r="H535" s="16"/>
      <c r="I535" s="69"/>
      <c r="J535" s="70"/>
      <c r="K535" s="71"/>
      <c r="L535" s="71"/>
      <c r="M535" s="5"/>
    </row>
    <row r="536" spans="1:13" s="3" customFormat="1">
      <c r="A536" s="1"/>
      <c r="B536" s="8"/>
      <c r="C536" s="5"/>
      <c r="D536" s="12"/>
      <c r="E536" s="9"/>
      <c r="F536" s="9"/>
      <c r="G536" s="5"/>
      <c r="H536" s="16"/>
      <c r="I536" s="69"/>
      <c r="J536" s="70"/>
      <c r="K536" s="71"/>
      <c r="L536" s="71"/>
      <c r="M536" s="5"/>
    </row>
    <row r="537" spans="1:13" s="3" customFormat="1">
      <c r="A537" s="1"/>
      <c r="B537" s="8"/>
      <c r="C537" s="5"/>
      <c r="D537" s="12"/>
      <c r="E537" s="9"/>
      <c r="F537" s="9"/>
      <c r="G537" s="5"/>
      <c r="H537" s="16"/>
      <c r="I537" s="69"/>
      <c r="J537" s="70"/>
      <c r="K537" s="71"/>
      <c r="L537" s="71"/>
      <c r="M537" s="5"/>
    </row>
    <row r="538" spans="1:13" s="3" customFormat="1">
      <c r="A538" s="1"/>
      <c r="B538" s="8"/>
      <c r="C538" s="5"/>
      <c r="D538" s="12"/>
      <c r="E538" s="9"/>
      <c r="F538" s="9"/>
      <c r="G538" s="5"/>
      <c r="H538" s="16"/>
      <c r="I538" s="69"/>
      <c r="J538" s="70"/>
      <c r="K538" s="71"/>
      <c r="L538" s="71"/>
      <c r="M538" s="5"/>
    </row>
    <row r="539" spans="1:13" s="3" customFormat="1">
      <c r="A539" s="1"/>
      <c r="B539" s="8"/>
      <c r="C539" s="5"/>
      <c r="D539" s="12"/>
      <c r="E539" s="9"/>
      <c r="F539" s="9"/>
      <c r="G539" s="5"/>
      <c r="H539" s="16"/>
      <c r="I539" s="69"/>
      <c r="J539" s="70"/>
      <c r="K539" s="71"/>
      <c r="L539" s="71"/>
      <c r="M539" s="5"/>
    </row>
    <row r="540" spans="1:13" s="3" customFormat="1">
      <c r="A540" s="1"/>
      <c r="B540" s="8"/>
      <c r="C540" s="5"/>
      <c r="D540" s="12"/>
      <c r="E540" s="9"/>
      <c r="F540" s="9"/>
      <c r="G540" s="5"/>
      <c r="H540" s="16"/>
      <c r="I540" s="69"/>
      <c r="J540" s="70"/>
      <c r="K540" s="71"/>
      <c r="L540" s="71"/>
      <c r="M540" s="5"/>
    </row>
    <row r="541" spans="1:13" s="3" customFormat="1">
      <c r="A541" s="1"/>
      <c r="B541" s="8"/>
      <c r="C541" s="5"/>
      <c r="D541" s="12"/>
      <c r="E541" s="9"/>
      <c r="F541" s="9"/>
      <c r="G541" s="5"/>
      <c r="H541" s="16"/>
      <c r="I541" s="69"/>
      <c r="J541" s="70"/>
      <c r="K541" s="71"/>
      <c r="L541" s="71"/>
      <c r="M541" s="5"/>
    </row>
    <row r="542" spans="1:13" s="3" customFormat="1">
      <c r="A542" s="1"/>
      <c r="B542" s="8"/>
      <c r="C542" s="5"/>
      <c r="D542" s="12"/>
      <c r="E542" s="9"/>
      <c r="F542" s="9"/>
      <c r="G542" s="5"/>
      <c r="H542" s="16"/>
      <c r="I542" s="69"/>
      <c r="J542" s="70"/>
      <c r="K542" s="71"/>
      <c r="L542" s="71"/>
      <c r="M542" s="5"/>
    </row>
    <row r="543" spans="1:13" s="3" customFormat="1">
      <c r="A543" s="1"/>
      <c r="B543" s="8"/>
      <c r="C543" s="5"/>
      <c r="D543" s="12"/>
      <c r="E543" s="9"/>
      <c r="F543" s="9"/>
      <c r="G543" s="5"/>
      <c r="H543" s="16"/>
      <c r="I543" s="69"/>
      <c r="J543" s="70"/>
      <c r="K543" s="71"/>
      <c r="L543" s="71"/>
      <c r="M543" s="5"/>
    </row>
    <row r="544" spans="1:13" s="3" customFormat="1">
      <c r="A544" s="1"/>
      <c r="B544" s="8"/>
      <c r="C544" s="5"/>
      <c r="D544" s="12"/>
      <c r="E544" s="9"/>
      <c r="F544" s="9"/>
      <c r="G544" s="5"/>
      <c r="H544" s="16"/>
      <c r="I544" s="69"/>
      <c r="J544" s="70"/>
      <c r="K544" s="71"/>
      <c r="L544" s="71"/>
      <c r="M544" s="5"/>
    </row>
    <row r="545" spans="1:13" s="3" customFormat="1">
      <c r="A545" s="1"/>
      <c r="B545" s="8"/>
      <c r="C545" s="5"/>
      <c r="D545" s="12"/>
      <c r="E545" s="9"/>
      <c r="F545" s="9"/>
      <c r="G545" s="5"/>
      <c r="H545" s="16"/>
      <c r="I545" s="69"/>
      <c r="J545" s="70"/>
      <c r="K545" s="71"/>
      <c r="L545" s="71"/>
      <c r="M545" s="5"/>
    </row>
    <row r="546" spans="1:13" s="3" customFormat="1">
      <c r="A546" s="1"/>
      <c r="B546" s="8"/>
      <c r="C546" s="5"/>
      <c r="D546" s="12"/>
      <c r="E546" s="9"/>
      <c r="F546" s="9"/>
      <c r="G546" s="5"/>
      <c r="H546" s="16"/>
      <c r="I546" s="69"/>
      <c r="J546" s="70"/>
      <c r="K546" s="71"/>
      <c r="L546" s="71"/>
      <c r="M546" s="5"/>
    </row>
    <row r="547" spans="1:13" s="3" customFormat="1">
      <c r="A547" s="1"/>
      <c r="B547" s="8"/>
      <c r="C547" s="5"/>
      <c r="D547" s="12"/>
      <c r="E547" s="9"/>
      <c r="F547" s="9"/>
      <c r="G547" s="5"/>
      <c r="H547" s="16"/>
      <c r="I547" s="69"/>
      <c r="J547" s="70"/>
      <c r="K547" s="71"/>
      <c r="L547" s="71"/>
      <c r="M547" s="5"/>
    </row>
    <row r="548" spans="1:13" s="3" customFormat="1">
      <c r="A548" s="1"/>
      <c r="B548" s="8"/>
      <c r="C548" s="5"/>
      <c r="D548" s="12"/>
      <c r="E548" s="9"/>
      <c r="F548" s="9"/>
      <c r="G548" s="5"/>
      <c r="H548" s="16"/>
      <c r="I548" s="69"/>
      <c r="J548" s="70"/>
      <c r="K548" s="71"/>
      <c r="L548" s="71"/>
      <c r="M548" s="5"/>
    </row>
    <row r="549" spans="1:13" s="3" customFormat="1">
      <c r="A549" s="1"/>
      <c r="B549" s="8"/>
      <c r="C549" s="5"/>
      <c r="D549" s="12"/>
      <c r="E549" s="9"/>
      <c r="F549" s="9"/>
      <c r="G549" s="5"/>
      <c r="H549" s="16"/>
      <c r="I549" s="69"/>
      <c r="J549" s="70"/>
      <c r="K549" s="71"/>
      <c r="L549" s="71"/>
      <c r="M549" s="5"/>
    </row>
    <row r="550" spans="1:13" s="3" customFormat="1">
      <c r="A550" s="1"/>
      <c r="B550" s="8"/>
      <c r="C550" s="5"/>
      <c r="D550" s="12"/>
      <c r="E550" s="9"/>
      <c r="F550" s="9"/>
      <c r="G550" s="5"/>
      <c r="H550" s="16"/>
      <c r="I550" s="69"/>
      <c r="J550" s="70"/>
      <c r="K550" s="71"/>
      <c r="L550" s="71"/>
      <c r="M550" s="5"/>
    </row>
    <row r="551" spans="1:13" s="3" customFormat="1">
      <c r="A551" s="1"/>
      <c r="B551" s="8"/>
      <c r="C551" s="5"/>
      <c r="D551" s="12"/>
      <c r="E551" s="9"/>
      <c r="F551" s="9"/>
      <c r="G551" s="5"/>
      <c r="H551" s="16"/>
      <c r="I551" s="69"/>
      <c r="J551" s="70"/>
      <c r="K551" s="71"/>
      <c r="L551" s="71"/>
      <c r="M551" s="5"/>
    </row>
    <row r="552" spans="1:13" s="3" customFormat="1">
      <c r="A552" s="1"/>
      <c r="B552" s="8"/>
      <c r="C552" s="5"/>
      <c r="D552" s="12"/>
      <c r="E552" s="9"/>
      <c r="F552" s="9"/>
      <c r="G552" s="5"/>
      <c r="H552" s="16"/>
      <c r="I552" s="69"/>
      <c r="J552" s="70"/>
      <c r="K552" s="71"/>
      <c r="L552" s="71"/>
      <c r="M552" s="5"/>
    </row>
    <row r="553" spans="1:13" s="3" customFormat="1">
      <c r="A553" s="1"/>
      <c r="B553" s="8"/>
      <c r="C553" s="5"/>
      <c r="D553" s="12"/>
      <c r="E553" s="9"/>
      <c r="F553" s="9"/>
      <c r="G553" s="5"/>
      <c r="H553" s="16"/>
      <c r="I553" s="69"/>
      <c r="J553" s="70"/>
      <c r="K553" s="71"/>
      <c r="L553" s="71"/>
      <c r="M553" s="5"/>
    </row>
    <row r="554" spans="1:13" s="3" customFormat="1">
      <c r="A554" s="1"/>
      <c r="B554" s="8"/>
      <c r="C554" s="5"/>
      <c r="D554" s="12"/>
      <c r="E554" s="9"/>
      <c r="F554" s="9"/>
      <c r="G554" s="5"/>
      <c r="H554" s="16"/>
      <c r="I554" s="69"/>
      <c r="J554" s="70"/>
      <c r="K554" s="71"/>
      <c r="L554" s="71"/>
      <c r="M554" s="5"/>
    </row>
    <row r="555" spans="1:13" s="3" customFormat="1">
      <c r="A555" s="1"/>
      <c r="B555" s="8"/>
      <c r="C555" s="5"/>
      <c r="D555" s="12"/>
      <c r="E555" s="9"/>
      <c r="F555" s="9"/>
      <c r="G555" s="5"/>
      <c r="H555" s="16"/>
      <c r="I555" s="69"/>
      <c r="J555" s="70"/>
      <c r="K555" s="71"/>
      <c r="L555" s="71"/>
      <c r="M555" s="5"/>
    </row>
    <row r="556" spans="1:13" s="3" customFormat="1">
      <c r="A556" s="1"/>
      <c r="B556" s="8"/>
      <c r="C556" s="5"/>
      <c r="D556" s="12"/>
      <c r="E556" s="9"/>
      <c r="F556" s="9"/>
      <c r="G556" s="5"/>
      <c r="H556" s="16"/>
      <c r="I556" s="69"/>
      <c r="J556" s="70"/>
      <c r="K556" s="71"/>
      <c r="L556" s="71"/>
      <c r="M556" s="5"/>
    </row>
    <row r="557" spans="1:13" s="3" customFormat="1">
      <c r="A557" s="1"/>
      <c r="B557" s="8"/>
      <c r="C557" s="5"/>
      <c r="D557" s="12"/>
      <c r="E557" s="9"/>
      <c r="F557" s="9"/>
      <c r="G557" s="5"/>
      <c r="H557" s="16"/>
      <c r="I557" s="69"/>
      <c r="J557" s="70"/>
      <c r="K557" s="71"/>
      <c r="L557" s="71"/>
      <c r="M557" s="5"/>
    </row>
    <row r="558" spans="1:13" s="3" customFormat="1">
      <c r="A558" s="1"/>
      <c r="B558" s="8"/>
      <c r="C558" s="5"/>
      <c r="D558" s="12"/>
      <c r="E558" s="9"/>
      <c r="F558" s="9"/>
      <c r="G558" s="5"/>
      <c r="H558" s="16"/>
      <c r="I558" s="69"/>
      <c r="J558" s="70"/>
      <c r="K558" s="71"/>
      <c r="L558" s="71"/>
      <c r="M558" s="5"/>
    </row>
    <row r="559" spans="1:13" s="3" customFormat="1">
      <c r="A559" s="1"/>
      <c r="B559" s="8"/>
      <c r="C559" s="5"/>
      <c r="D559" s="12"/>
      <c r="E559" s="9"/>
      <c r="F559" s="9"/>
      <c r="G559" s="5"/>
      <c r="H559" s="16"/>
      <c r="I559" s="69"/>
      <c r="J559" s="70"/>
      <c r="K559" s="71"/>
      <c r="L559" s="71"/>
      <c r="M559" s="5"/>
    </row>
    <row r="560" spans="1:13" s="3" customFormat="1">
      <c r="A560" s="1"/>
      <c r="B560" s="8"/>
      <c r="C560" s="5"/>
      <c r="D560" s="12"/>
      <c r="E560" s="9"/>
      <c r="F560" s="9"/>
      <c r="G560" s="5"/>
      <c r="H560" s="16"/>
      <c r="I560" s="69"/>
      <c r="J560" s="70"/>
      <c r="K560" s="71"/>
      <c r="L560" s="71"/>
      <c r="M560" s="5"/>
    </row>
    <row r="561" spans="1:13" s="3" customFormat="1">
      <c r="A561" s="1"/>
      <c r="B561" s="8"/>
      <c r="C561" s="5"/>
      <c r="D561" s="12"/>
      <c r="E561" s="9"/>
      <c r="F561" s="9"/>
      <c r="G561" s="5"/>
      <c r="H561" s="16"/>
      <c r="I561" s="69"/>
      <c r="J561" s="70"/>
      <c r="K561" s="71"/>
      <c r="L561" s="71"/>
      <c r="M561" s="5"/>
    </row>
    <row r="562" spans="1:13" s="3" customFormat="1">
      <c r="A562" s="1"/>
      <c r="B562" s="8"/>
      <c r="C562" s="5"/>
      <c r="D562" s="12"/>
      <c r="E562" s="9"/>
      <c r="F562" s="9"/>
      <c r="G562" s="5"/>
      <c r="H562" s="16"/>
      <c r="I562" s="69"/>
      <c r="J562" s="70"/>
      <c r="K562" s="71"/>
      <c r="L562" s="71"/>
      <c r="M562" s="5"/>
    </row>
    <row r="563" spans="1:13" s="3" customFormat="1">
      <c r="A563" s="1"/>
      <c r="B563" s="8"/>
      <c r="C563" s="5"/>
      <c r="D563" s="12"/>
      <c r="E563" s="9"/>
      <c r="F563" s="9"/>
      <c r="G563" s="5"/>
      <c r="H563" s="16"/>
      <c r="I563" s="69"/>
      <c r="J563" s="70"/>
      <c r="K563" s="71"/>
      <c r="L563" s="71"/>
      <c r="M563" s="5"/>
    </row>
    <row r="564" spans="1:13" s="3" customFormat="1">
      <c r="A564" s="1"/>
      <c r="B564" s="8"/>
      <c r="C564" s="5"/>
      <c r="D564" s="12"/>
      <c r="E564" s="9"/>
      <c r="F564" s="9"/>
      <c r="G564" s="5"/>
      <c r="H564" s="16"/>
      <c r="I564" s="69"/>
      <c r="J564" s="70"/>
      <c r="K564" s="71"/>
      <c r="L564" s="71"/>
      <c r="M564" s="5"/>
    </row>
    <row r="565" spans="1:13" s="3" customFormat="1">
      <c r="A565" s="1"/>
      <c r="B565" s="8"/>
      <c r="C565" s="5"/>
      <c r="D565" s="12"/>
      <c r="E565" s="9"/>
      <c r="F565" s="9"/>
      <c r="G565" s="5"/>
      <c r="H565" s="16"/>
      <c r="I565" s="69"/>
      <c r="J565" s="70"/>
      <c r="K565" s="71"/>
      <c r="L565" s="71"/>
      <c r="M565" s="5"/>
    </row>
    <row r="566" spans="1:13" s="3" customFormat="1">
      <c r="A566" s="1"/>
      <c r="B566" s="8"/>
      <c r="C566" s="5"/>
      <c r="D566" s="12"/>
      <c r="E566" s="9"/>
      <c r="F566" s="9"/>
      <c r="G566" s="5"/>
      <c r="H566" s="16"/>
      <c r="I566" s="69"/>
      <c r="J566" s="70"/>
      <c r="K566" s="71"/>
      <c r="L566" s="71"/>
      <c r="M566" s="5"/>
    </row>
    <row r="567" spans="1:13" s="3" customFormat="1">
      <c r="A567" s="1"/>
      <c r="B567" s="8"/>
      <c r="C567" s="5"/>
      <c r="D567" s="12"/>
      <c r="E567" s="9"/>
      <c r="F567" s="9"/>
      <c r="G567" s="5"/>
      <c r="H567" s="16"/>
      <c r="I567" s="69"/>
      <c r="J567" s="70"/>
      <c r="K567" s="71"/>
      <c r="L567" s="71"/>
      <c r="M567" s="5"/>
    </row>
    <row r="568" spans="1:13" s="3" customFormat="1">
      <c r="A568" s="1"/>
      <c r="B568" s="8"/>
      <c r="C568" s="5"/>
      <c r="D568" s="12"/>
      <c r="E568" s="9"/>
      <c r="F568" s="9"/>
      <c r="G568" s="5"/>
      <c r="H568" s="16"/>
      <c r="I568" s="69"/>
      <c r="J568" s="70"/>
      <c r="K568" s="71"/>
      <c r="L568" s="71"/>
      <c r="M568" s="5"/>
    </row>
    <row r="569" spans="1:13" s="3" customFormat="1">
      <c r="A569" s="1"/>
      <c r="B569" s="8"/>
      <c r="C569" s="5"/>
      <c r="D569" s="12"/>
      <c r="E569" s="9"/>
      <c r="F569" s="9"/>
      <c r="G569" s="5"/>
      <c r="H569" s="16"/>
      <c r="I569" s="69"/>
      <c r="J569" s="70"/>
      <c r="K569" s="71"/>
      <c r="L569" s="71"/>
      <c r="M569" s="5"/>
    </row>
    <row r="570" spans="1:13" s="3" customFormat="1">
      <c r="A570" s="1"/>
      <c r="B570" s="8"/>
      <c r="C570" s="5"/>
      <c r="D570" s="12"/>
      <c r="E570" s="9"/>
      <c r="F570" s="9"/>
      <c r="G570" s="5"/>
      <c r="H570" s="16"/>
      <c r="I570" s="69"/>
      <c r="J570" s="70"/>
      <c r="K570" s="71"/>
      <c r="L570" s="71"/>
      <c r="M570" s="5"/>
    </row>
    <row r="571" spans="1:13" s="3" customFormat="1">
      <c r="A571" s="1"/>
      <c r="B571" s="8"/>
      <c r="C571" s="5"/>
      <c r="D571" s="12"/>
      <c r="E571" s="9"/>
      <c r="F571" s="9"/>
      <c r="G571" s="5"/>
      <c r="H571" s="16"/>
      <c r="I571" s="69"/>
      <c r="J571" s="70"/>
      <c r="K571" s="71"/>
      <c r="L571" s="71"/>
      <c r="M571" s="5"/>
    </row>
    <row r="572" spans="1:13" s="3" customFormat="1">
      <c r="A572" s="1"/>
      <c r="B572" s="8"/>
      <c r="C572" s="5"/>
      <c r="D572" s="12"/>
      <c r="E572" s="9"/>
      <c r="F572" s="9"/>
      <c r="G572" s="5"/>
      <c r="H572" s="16"/>
      <c r="I572" s="69"/>
      <c r="J572" s="70"/>
      <c r="K572" s="71"/>
      <c r="L572" s="71"/>
      <c r="M572" s="5"/>
    </row>
    <row r="573" spans="1:13" s="3" customFormat="1">
      <c r="A573" s="1"/>
      <c r="B573" s="8"/>
      <c r="C573" s="5"/>
      <c r="D573" s="12"/>
      <c r="E573" s="9"/>
      <c r="F573" s="9"/>
      <c r="G573" s="5"/>
      <c r="H573" s="16"/>
      <c r="I573" s="69"/>
      <c r="J573" s="70"/>
      <c r="K573" s="71"/>
      <c r="L573" s="71"/>
      <c r="M573" s="5"/>
    </row>
    <row r="574" spans="1:13" s="3" customFormat="1">
      <c r="A574" s="1"/>
      <c r="B574" s="8"/>
      <c r="C574" s="5"/>
      <c r="D574" s="12"/>
      <c r="E574" s="9"/>
      <c r="F574" s="9"/>
      <c r="G574" s="5"/>
      <c r="H574" s="16"/>
      <c r="I574" s="69"/>
      <c r="J574" s="70"/>
      <c r="K574" s="71"/>
      <c r="L574" s="71"/>
      <c r="M574" s="5"/>
    </row>
    <row r="575" spans="1:13" s="3" customFormat="1">
      <c r="A575" s="1"/>
      <c r="B575" s="8"/>
      <c r="C575" s="5"/>
      <c r="D575" s="12"/>
      <c r="E575" s="9"/>
      <c r="F575" s="9"/>
      <c r="G575" s="5"/>
      <c r="H575" s="16"/>
      <c r="I575" s="69"/>
      <c r="J575" s="70"/>
      <c r="K575" s="71"/>
      <c r="L575" s="71"/>
      <c r="M575" s="5"/>
    </row>
    <row r="576" spans="1:13" s="3" customFormat="1">
      <c r="A576" s="1"/>
      <c r="B576" s="8"/>
      <c r="C576" s="5"/>
      <c r="D576" s="12"/>
      <c r="E576" s="9"/>
      <c r="F576" s="9"/>
      <c r="G576" s="5"/>
      <c r="H576" s="16"/>
      <c r="I576" s="69"/>
      <c r="J576" s="70"/>
      <c r="K576" s="71"/>
      <c r="L576" s="71"/>
      <c r="M576" s="5"/>
    </row>
    <row r="577" spans="1:13" s="3" customFormat="1">
      <c r="A577" s="1"/>
      <c r="B577" s="8"/>
      <c r="C577" s="5"/>
      <c r="D577" s="12"/>
      <c r="E577" s="9"/>
      <c r="F577" s="9"/>
      <c r="G577" s="5"/>
      <c r="H577" s="16"/>
      <c r="I577" s="69"/>
      <c r="J577" s="70"/>
      <c r="K577" s="71"/>
      <c r="L577" s="71"/>
      <c r="M577" s="5"/>
    </row>
    <row r="578" spans="1:13" s="3" customFormat="1">
      <c r="A578" s="1"/>
      <c r="B578" s="8"/>
      <c r="C578" s="5"/>
      <c r="D578" s="12"/>
      <c r="E578" s="9"/>
      <c r="F578" s="9"/>
      <c r="G578" s="5"/>
      <c r="H578" s="16"/>
      <c r="I578" s="69"/>
      <c r="J578" s="70"/>
      <c r="K578" s="71"/>
      <c r="L578" s="71"/>
      <c r="M578" s="5"/>
    </row>
    <row r="579" spans="1:13" s="3" customFormat="1">
      <c r="A579" s="1"/>
      <c r="B579" s="8"/>
      <c r="C579" s="5"/>
      <c r="D579" s="12"/>
      <c r="E579" s="9"/>
      <c r="F579" s="9"/>
      <c r="G579" s="5"/>
      <c r="H579" s="16"/>
      <c r="I579" s="69"/>
      <c r="J579" s="70"/>
      <c r="K579" s="71"/>
      <c r="L579" s="71"/>
      <c r="M579" s="5"/>
    </row>
    <row r="580" spans="1:13" s="3" customFormat="1">
      <c r="A580" s="1"/>
      <c r="B580" s="8"/>
      <c r="C580" s="5"/>
      <c r="D580" s="12"/>
      <c r="E580" s="9"/>
      <c r="F580" s="9"/>
      <c r="G580" s="5"/>
      <c r="H580" s="16"/>
      <c r="I580" s="69"/>
      <c r="J580" s="70"/>
      <c r="K580" s="71"/>
      <c r="L580" s="71"/>
      <c r="M580" s="5"/>
    </row>
    <row r="581" spans="1:13" s="3" customFormat="1">
      <c r="A581" s="1"/>
      <c r="B581" s="8"/>
      <c r="C581" s="5"/>
      <c r="D581" s="12"/>
      <c r="E581" s="9"/>
      <c r="F581" s="9"/>
      <c r="G581" s="5"/>
      <c r="H581" s="16"/>
      <c r="I581" s="69"/>
      <c r="J581" s="70"/>
      <c r="K581" s="71"/>
      <c r="L581" s="71"/>
      <c r="M581" s="5"/>
    </row>
    <row r="582" spans="1:13" s="3" customFormat="1">
      <c r="A582" s="1"/>
      <c r="B582" s="8"/>
      <c r="C582" s="5"/>
      <c r="D582" s="12"/>
      <c r="E582" s="9"/>
      <c r="F582" s="9"/>
      <c r="G582" s="5"/>
      <c r="H582" s="16"/>
      <c r="I582" s="69"/>
      <c r="J582" s="70"/>
      <c r="K582" s="71"/>
      <c r="L582" s="71"/>
      <c r="M582" s="5"/>
    </row>
    <row r="583" spans="1:13" s="3" customFormat="1">
      <c r="A583" s="1"/>
      <c r="B583" s="8"/>
      <c r="C583" s="5"/>
      <c r="D583" s="12"/>
      <c r="E583" s="9"/>
      <c r="F583" s="9"/>
      <c r="G583" s="5"/>
      <c r="H583" s="16"/>
      <c r="I583" s="69"/>
      <c r="J583" s="70"/>
      <c r="K583" s="71"/>
      <c r="L583" s="71"/>
      <c r="M583" s="5"/>
    </row>
    <row r="584" spans="1:13" s="3" customFormat="1">
      <c r="A584" s="1"/>
      <c r="B584" s="8"/>
      <c r="C584" s="5"/>
      <c r="D584" s="12"/>
      <c r="E584" s="9"/>
      <c r="F584" s="9"/>
      <c r="G584" s="5"/>
      <c r="H584" s="16"/>
      <c r="I584" s="69"/>
      <c r="J584" s="70"/>
      <c r="K584" s="71"/>
      <c r="L584" s="71"/>
      <c r="M584" s="5"/>
    </row>
    <row r="585" spans="1:13" s="3" customFormat="1">
      <c r="A585" s="1"/>
      <c r="B585" s="8"/>
      <c r="C585" s="5"/>
      <c r="D585" s="12"/>
      <c r="E585" s="9"/>
      <c r="F585" s="9"/>
      <c r="G585" s="5"/>
      <c r="H585" s="16"/>
      <c r="I585" s="69"/>
      <c r="J585" s="70"/>
      <c r="K585" s="71"/>
      <c r="L585" s="71"/>
      <c r="M585" s="5"/>
    </row>
    <row r="586" spans="1:13" s="3" customFormat="1">
      <c r="A586" s="1"/>
      <c r="B586" s="8"/>
      <c r="C586" s="5"/>
      <c r="D586" s="12"/>
      <c r="E586" s="9"/>
      <c r="F586" s="9"/>
      <c r="G586" s="5"/>
      <c r="H586" s="16"/>
      <c r="I586" s="69"/>
      <c r="J586" s="70"/>
      <c r="K586" s="71"/>
      <c r="L586" s="71"/>
      <c r="M586" s="5"/>
    </row>
    <row r="587" spans="1:13" s="3" customFormat="1">
      <c r="A587" s="1"/>
      <c r="B587" s="8"/>
      <c r="C587" s="5"/>
      <c r="D587" s="12"/>
      <c r="E587" s="9"/>
      <c r="F587" s="9"/>
      <c r="G587" s="5"/>
      <c r="H587" s="16"/>
      <c r="I587" s="69"/>
      <c r="J587" s="70"/>
      <c r="K587" s="71"/>
      <c r="L587" s="71"/>
      <c r="M587" s="5"/>
    </row>
    <row r="588" spans="1:13" s="3" customFormat="1">
      <c r="A588" s="1"/>
      <c r="B588" s="8"/>
      <c r="C588" s="5"/>
      <c r="D588" s="12"/>
      <c r="E588" s="9"/>
      <c r="F588" s="9"/>
      <c r="G588" s="5"/>
      <c r="H588" s="16"/>
      <c r="I588" s="69"/>
      <c r="J588" s="70"/>
      <c r="K588" s="71"/>
      <c r="L588" s="71"/>
      <c r="M588" s="5"/>
    </row>
    <row r="589" spans="1:13" s="3" customFormat="1">
      <c r="A589" s="1"/>
      <c r="B589" s="8"/>
      <c r="C589" s="5"/>
      <c r="D589" s="12"/>
      <c r="E589" s="9"/>
      <c r="F589" s="9"/>
      <c r="G589" s="5"/>
      <c r="H589" s="16"/>
      <c r="I589" s="69"/>
      <c r="J589" s="70"/>
      <c r="K589" s="71"/>
      <c r="L589" s="71"/>
      <c r="M589" s="5"/>
    </row>
    <row r="590" spans="1:13" s="3" customFormat="1">
      <c r="A590" s="1"/>
      <c r="B590" s="8"/>
      <c r="C590" s="5"/>
      <c r="D590" s="12"/>
      <c r="E590" s="9"/>
      <c r="F590" s="9"/>
      <c r="G590" s="5"/>
      <c r="H590" s="16"/>
      <c r="I590" s="69"/>
      <c r="J590" s="70"/>
      <c r="K590" s="71"/>
      <c r="L590" s="71"/>
      <c r="M590" s="5"/>
    </row>
    <row r="591" spans="1:13" s="3" customFormat="1">
      <c r="A591" s="1"/>
      <c r="B591" s="8"/>
      <c r="C591" s="5"/>
      <c r="D591" s="12"/>
      <c r="E591" s="9"/>
      <c r="F591" s="9"/>
      <c r="G591" s="5"/>
      <c r="H591" s="16"/>
      <c r="I591" s="69"/>
      <c r="J591" s="70"/>
      <c r="K591" s="71"/>
      <c r="L591" s="71"/>
      <c r="M591" s="5"/>
    </row>
    <row r="592" spans="1:13" s="3" customFormat="1">
      <c r="A592" s="1"/>
      <c r="B592" s="8"/>
      <c r="C592" s="5"/>
      <c r="D592" s="12"/>
      <c r="E592" s="9"/>
      <c r="F592" s="9"/>
      <c r="G592" s="5"/>
      <c r="H592" s="16"/>
      <c r="I592" s="69"/>
      <c r="J592" s="70"/>
      <c r="K592" s="71"/>
      <c r="L592" s="71"/>
      <c r="M592" s="5"/>
    </row>
    <row r="593" spans="1:13" s="3" customFormat="1">
      <c r="A593" s="1"/>
      <c r="B593" s="8"/>
      <c r="C593" s="5"/>
      <c r="D593" s="12"/>
      <c r="E593" s="9"/>
      <c r="F593" s="9"/>
      <c r="G593" s="5"/>
      <c r="H593" s="16"/>
      <c r="I593" s="69"/>
      <c r="J593" s="70"/>
      <c r="K593" s="71"/>
      <c r="L593" s="71"/>
      <c r="M593" s="5"/>
    </row>
    <row r="594" spans="1:13" s="3" customFormat="1">
      <c r="A594" s="1"/>
      <c r="B594" s="8"/>
      <c r="C594" s="5"/>
      <c r="D594" s="12"/>
      <c r="E594" s="9"/>
      <c r="F594" s="9"/>
      <c r="G594" s="5"/>
      <c r="H594" s="16"/>
      <c r="I594" s="69"/>
      <c r="J594" s="70"/>
      <c r="K594" s="71"/>
      <c r="L594" s="71"/>
      <c r="M594" s="5"/>
    </row>
    <row r="595" spans="1:13" s="3" customFormat="1">
      <c r="A595" s="1"/>
      <c r="B595" s="8"/>
      <c r="C595" s="5"/>
      <c r="D595" s="12"/>
      <c r="E595" s="9"/>
      <c r="F595" s="9"/>
      <c r="G595" s="5"/>
      <c r="H595" s="16"/>
      <c r="I595" s="69"/>
      <c r="J595" s="70"/>
      <c r="K595" s="71"/>
      <c r="L595" s="71"/>
      <c r="M595" s="5"/>
    </row>
    <row r="596" spans="1:13" s="3" customFormat="1">
      <c r="A596" s="1"/>
      <c r="B596" s="8"/>
      <c r="C596" s="5"/>
      <c r="D596" s="12"/>
      <c r="E596" s="9"/>
      <c r="F596" s="9"/>
      <c r="G596" s="5"/>
      <c r="H596" s="16"/>
      <c r="I596" s="69"/>
      <c r="J596" s="70"/>
      <c r="K596" s="71"/>
      <c r="L596" s="71"/>
      <c r="M596" s="5"/>
    </row>
    <row r="597" spans="1:13" s="3" customFormat="1">
      <c r="A597" s="1"/>
      <c r="B597" s="8"/>
      <c r="C597" s="5"/>
      <c r="D597" s="12"/>
      <c r="E597" s="9"/>
      <c r="F597" s="9"/>
      <c r="G597" s="5"/>
      <c r="H597" s="16"/>
      <c r="I597" s="69"/>
      <c r="J597" s="70"/>
      <c r="K597" s="71"/>
      <c r="L597" s="71"/>
      <c r="M597" s="5"/>
    </row>
    <row r="598" spans="1:13" s="3" customFormat="1">
      <c r="A598" s="1"/>
      <c r="B598" s="8"/>
      <c r="C598" s="5"/>
      <c r="D598" s="12"/>
      <c r="E598" s="9"/>
      <c r="F598" s="9"/>
      <c r="G598" s="5"/>
      <c r="H598" s="16"/>
      <c r="I598" s="69"/>
      <c r="J598" s="70"/>
      <c r="K598" s="71"/>
      <c r="L598" s="71"/>
      <c r="M598" s="5"/>
    </row>
    <row r="599" spans="1:13" s="3" customFormat="1">
      <c r="A599" s="1"/>
      <c r="B599" s="8"/>
      <c r="C599" s="5"/>
      <c r="D599" s="12"/>
      <c r="E599" s="9"/>
      <c r="F599" s="9"/>
      <c r="G599" s="5"/>
      <c r="H599" s="16"/>
      <c r="I599" s="69"/>
      <c r="J599" s="70"/>
      <c r="K599" s="71"/>
      <c r="L599" s="71"/>
      <c r="M599" s="5"/>
    </row>
    <row r="600" spans="1:13" s="3" customFormat="1">
      <c r="A600" s="1"/>
      <c r="B600" s="8"/>
      <c r="C600" s="5"/>
      <c r="D600" s="12"/>
      <c r="E600" s="9"/>
      <c r="F600" s="9"/>
      <c r="G600" s="5"/>
      <c r="H600" s="16"/>
      <c r="I600" s="69"/>
      <c r="J600" s="70"/>
      <c r="K600" s="71"/>
      <c r="L600" s="71"/>
      <c r="M600" s="5"/>
    </row>
    <row r="601" spans="1:13" s="3" customFormat="1">
      <c r="A601" s="1"/>
      <c r="B601" s="8"/>
      <c r="C601" s="5"/>
      <c r="D601" s="12"/>
      <c r="E601" s="9"/>
      <c r="F601" s="9"/>
      <c r="G601" s="5"/>
      <c r="H601" s="16"/>
      <c r="I601" s="69"/>
      <c r="J601" s="70"/>
      <c r="K601" s="71"/>
      <c r="L601" s="71"/>
      <c r="M601" s="5"/>
    </row>
    <row r="602" spans="1:13" s="3" customFormat="1">
      <c r="A602" s="1"/>
      <c r="B602" s="8"/>
      <c r="C602" s="5"/>
      <c r="D602" s="12"/>
      <c r="E602" s="9"/>
      <c r="F602" s="9"/>
      <c r="G602" s="5"/>
      <c r="H602" s="16"/>
      <c r="I602" s="69"/>
      <c r="J602" s="70"/>
      <c r="K602" s="71"/>
      <c r="L602" s="71"/>
      <c r="M602" s="5"/>
    </row>
    <row r="603" spans="1:13" s="3" customFormat="1">
      <c r="A603" s="1"/>
      <c r="B603" s="8"/>
      <c r="C603" s="5"/>
      <c r="D603" s="12"/>
      <c r="E603" s="9"/>
      <c r="F603" s="9"/>
      <c r="G603" s="5"/>
      <c r="H603" s="16"/>
      <c r="I603" s="69"/>
      <c r="J603" s="70"/>
      <c r="K603" s="71"/>
      <c r="L603" s="71"/>
      <c r="M603" s="5"/>
    </row>
    <row r="604" spans="1:13" s="3" customFormat="1">
      <c r="A604" s="1"/>
      <c r="B604" s="8"/>
      <c r="C604" s="5"/>
      <c r="D604" s="12"/>
      <c r="E604" s="9"/>
      <c r="F604" s="9"/>
      <c r="G604" s="5"/>
      <c r="H604" s="16"/>
      <c r="I604" s="69"/>
      <c r="J604" s="70"/>
      <c r="K604" s="71"/>
      <c r="L604" s="71"/>
      <c r="M604" s="5"/>
    </row>
    <row r="605" spans="1:13" s="3" customFormat="1">
      <c r="A605" s="1"/>
      <c r="B605" s="8"/>
      <c r="C605" s="5"/>
      <c r="D605" s="12"/>
      <c r="E605" s="9"/>
      <c r="F605" s="9"/>
      <c r="G605" s="5"/>
      <c r="H605" s="16"/>
      <c r="I605" s="69"/>
      <c r="J605" s="70"/>
      <c r="K605" s="71"/>
      <c r="L605" s="71"/>
      <c r="M605" s="5"/>
    </row>
    <row r="606" spans="1:13" s="3" customFormat="1">
      <c r="A606" s="1"/>
      <c r="B606" s="8"/>
      <c r="C606" s="5"/>
      <c r="D606" s="12"/>
      <c r="E606" s="9"/>
      <c r="F606" s="9"/>
      <c r="G606" s="5"/>
      <c r="H606" s="16"/>
      <c r="I606" s="69"/>
      <c r="J606" s="70"/>
      <c r="K606" s="71"/>
      <c r="L606" s="71"/>
      <c r="M606" s="5"/>
    </row>
    <row r="607" spans="1:13" s="3" customFormat="1">
      <c r="A607" s="1"/>
      <c r="B607" s="8"/>
      <c r="C607" s="5"/>
      <c r="D607" s="12"/>
      <c r="E607" s="9"/>
      <c r="F607" s="9"/>
      <c r="G607" s="5"/>
      <c r="H607" s="16"/>
      <c r="I607" s="69"/>
      <c r="J607" s="70"/>
      <c r="K607" s="71"/>
      <c r="L607" s="71"/>
      <c r="M607" s="5"/>
    </row>
    <row r="608" spans="1:13" s="3" customFormat="1">
      <c r="A608" s="1"/>
      <c r="B608" s="8"/>
      <c r="C608" s="5"/>
      <c r="D608" s="12"/>
      <c r="E608" s="9"/>
      <c r="F608" s="9"/>
      <c r="G608" s="5"/>
      <c r="H608" s="16"/>
      <c r="I608" s="69"/>
      <c r="J608" s="70"/>
      <c r="K608" s="71"/>
      <c r="L608" s="71"/>
      <c r="M608" s="5"/>
    </row>
    <row r="609" spans="1:13" s="3" customFormat="1">
      <c r="A609" s="1"/>
      <c r="B609" s="8"/>
      <c r="C609" s="5"/>
      <c r="D609" s="12"/>
      <c r="E609" s="9"/>
      <c r="F609" s="9"/>
      <c r="G609" s="5"/>
      <c r="H609" s="16"/>
      <c r="I609" s="69"/>
      <c r="J609" s="70"/>
      <c r="K609" s="71"/>
      <c r="L609" s="71"/>
      <c r="M609" s="5"/>
    </row>
    <row r="610" spans="1:13" s="3" customFormat="1">
      <c r="A610" s="1"/>
      <c r="B610" s="8"/>
      <c r="C610" s="5"/>
      <c r="D610" s="12"/>
      <c r="E610" s="9"/>
      <c r="F610" s="9"/>
      <c r="G610" s="5"/>
      <c r="H610" s="16"/>
      <c r="I610" s="69"/>
      <c r="J610" s="70"/>
      <c r="K610" s="71"/>
      <c r="L610" s="71"/>
      <c r="M610" s="5"/>
    </row>
    <row r="611" spans="1:13" s="3" customFormat="1">
      <c r="A611" s="1"/>
      <c r="B611" s="8"/>
      <c r="C611" s="5"/>
      <c r="D611" s="12"/>
      <c r="E611" s="9"/>
      <c r="F611" s="9"/>
      <c r="G611" s="5"/>
      <c r="H611" s="16"/>
      <c r="I611" s="69"/>
      <c r="J611" s="70"/>
      <c r="K611" s="71"/>
      <c r="L611" s="71"/>
      <c r="M611" s="5"/>
    </row>
    <row r="612" spans="1:13" s="3" customFormat="1">
      <c r="A612" s="1"/>
      <c r="B612" s="8"/>
      <c r="C612" s="5"/>
      <c r="D612" s="12"/>
      <c r="E612" s="9"/>
      <c r="F612" s="9"/>
      <c r="G612" s="5"/>
      <c r="H612" s="16"/>
      <c r="I612" s="69"/>
      <c r="J612" s="70"/>
      <c r="K612" s="71"/>
      <c r="L612" s="71"/>
      <c r="M612" s="5"/>
    </row>
    <row r="613" spans="1:13" s="3" customFormat="1">
      <c r="A613" s="1"/>
      <c r="B613" s="8"/>
      <c r="C613" s="5"/>
      <c r="D613" s="12"/>
      <c r="E613" s="9"/>
      <c r="F613" s="9"/>
      <c r="G613" s="5"/>
      <c r="H613" s="16"/>
      <c r="I613" s="69"/>
      <c r="J613" s="70"/>
      <c r="K613" s="71"/>
      <c r="L613" s="71"/>
      <c r="M613" s="5"/>
    </row>
    <row r="614" spans="1:13" s="3" customFormat="1">
      <c r="A614" s="1"/>
      <c r="B614" s="8"/>
      <c r="C614" s="5"/>
      <c r="D614" s="12"/>
      <c r="E614" s="9"/>
      <c r="F614" s="9"/>
      <c r="G614" s="5"/>
      <c r="H614" s="16"/>
      <c r="I614" s="69"/>
      <c r="J614" s="70"/>
      <c r="K614" s="71"/>
      <c r="L614" s="71"/>
      <c r="M614" s="5"/>
    </row>
    <row r="615" spans="1:13" s="3" customFormat="1">
      <c r="A615" s="1"/>
      <c r="B615" s="8"/>
      <c r="C615" s="5"/>
      <c r="D615" s="12"/>
      <c r="E615" s="9"/>
      <c r="F615" s="9"/>
      <c r="G615" s="5"/>
      <c r="H615" s="16"/>
      <c r="I615" s="69"/>
      <c r="J615" s="70"/>
      <c r="K615" s="71"/>
      <c r="L615" s="71"/>
      <c r="M615" s="5"/>
    </row>
    <row r="616" spans="1:13" s="3" customFormat="1">
      <c r="A616" s="1"/>
      <c r="B616" s="8"/>
      <c r="C616" s="5"/>
      <c r="D616" s="12"/>
      <c r="E616" s="9"/>
      <c r="F616" s="9"/>
      <c r="G616" s="5"/>
      <c r="H616" s="16"/>
      <c r="I616" s="69"/>
      <c r="J616" s="70"/>
      <c r="K616" s="71"/>
      <c r="L616" s="71"/>
      <c r="M616" s="5"/>
    </row>
    <row r="617" spans="1:13" s="3" customFormat="1">
      <c r="A617" s="1"/>
      <c r="B617" s="8"/>
      <c r="C617" s="5"/>
      <c r="D617" s="12"/>
      <c r="E617" s="9"/>
      <c r="F617" s="9"/>
      <c r="G617" s="5"/>
      <c r="H617" s="16"/>
      <c r="I617" s="69"/>
      <c r="J617" s="70"/>
      <c r="K617" s="71"/>
      <c r="L617" s="71"/>
      <c r="M617" s="5"/>
    </row>
    <row r="618" spans="1:13" s="3" customFormat="1">
      <c r="A618" s="1"/>
      <c r="B618" s="8"/>
      <c r="C618" s="5"/>
      <c r="D618" s="12"/>
      <c r="E618" s="9"/>
      <c r="F618" s="9"/>
      <c r="G618" s="5"/>
      <c r="H618" s="16"/>
      <c r="I618" s="69"/>
      <c r="J618" s="70"/>
      <c r="K618" s="71"/>
      <c r="L618" s="71"/>
      <c r="M618" s="5"/>
    </row>
    <row r="619" spans="1:13" s="3" customFormat="1">
      <c r="A619" s="1"/>
      <c r="B619" s="8"/>
      <c r="C619" s="5"/>
      <c r="D619" s="12"/>
      <c r="E619" s="9"/>
      <c r="F619" s="9"/>
      <c r="G619" s="5"/>
      <c r="H619" s="16"/>
      <c r="I619" s="69"/>
      <c r="J619" s="70"/>
      <c r="K619" s="71"/>
      <c r="L619" s="71"/>
      <c r="M619" s="5"/>
    </row>
    <row r="620" spans="1:13" s="3" customFormat="1">
      <c r="A620" s="1"/>
      <c r="B620" s="8"/>
      <c r="C620" s="5"/>
      <c r="D620" s="12"/>
      <c r="E620" s="9"/>
      <c r="F620" s="9"/>
      <c r="G620" s="5"/>
      <c r="H620" s="16"/>
      <c r="I620" s="69"/>
      <c r="J620" s="70"/>
      <c r="K620" s="71"/>
      <c r="L620" s="71"/>
      <c r="M620" s="5"/>
    </row>
    <row r="621" spans="1:13" s="3" customFormat="1">
      <c r="A621" s="1"/>
      <c r="B621" s="8"/>
      <c r="C621" s="5"/>
      <c r="D621" s="12"/>
      <c r="E621" s="9"/>
      <c r="F621" s="9"/>
      <c r="G621" s="5"/>
      <c r="H621" s="16"/>
      <c r="I621" s="69"/>
      <c r="J621" s="70"/>
      <c r="K621" s="71"/>
      <c r="L621" s="71"/>
      <c r="M621" s="5"/>
    </row>
    <row r="622" spans="1:13" s="3" customFormat="1">
      <c r="A622" s="1"/>
      <c r="B622" s="8"/>
      <c r="C622" s="5"/>
      <c r="D622" s="12"/>
      <c r="E622" s="9"/>
      <c r="F622" s="9"/>
      <c r="G622" s="5"/>
      <c r="H622" s="16"/>
      <c r="I622" s="69"/>
      <c r="J622" s="70"/>
      <c r="K622" s="71"/>
      <c r="L622" s="71"/>
      <c r="M622" s="5"/>
    </row>
    <row r="623" spans="1:13" s="3" customFormat="1">
      <c r="A623" s="1"/>
      <c r="B623" s="8"/>
      <c r="C623" s="5"/>
      <c r="D623" s="12"/>
      <c r="E623" s="9"/>
      <c r="F623" s="9"/>
      <c r="G623" s="5"/>
      <c r="H623" s="16"/>
      <c r="I623" s="69"/>
      <c r="J623" s="70"/>
      <c r="K623" s="71"/>
      <c r="L623" s="71"/>
      <c r="M623" s="5"/>
    </row>
    <row r="624" spans="1:13" s="3" customFormat="1">
      <c r="A624" s="1"/>
      <c r="B624" s="8"/>
      <c r="C624" s="5"/>
      <c r="D624" s="12"/>
      <c r="E624" s="9"/>
      <c r="F624" s="9"/>
      <c r="G624" s="5"/>
      <c r="H624" s="16"/>
      <c r="I624" s="69"/>
      <c r="J624" s="70"/>
      <c r="K624" s="71"/>
      <c r="L624" s="71"/>
      <c r="M624" s="5"/>
    </row>
    <row r="625" spans="1:13" s="3" customFormat="1">
      <c r="A625" s="1"/>
      <c r="B625" s="8"/>
      <c r="C625" s="5"/>
      <c r="D625" s="12"/>
      <c r="E625" s="9"/>
      <c r="F625" s="9"/>
      <c r="G625" s="5"/>
      <c r="H625" s="16"/>
      <c r="I625" s="69"/>
      <c r="J625" s="70"/>
      <c r="K625" s="71"/>
      <c r="L625" s="71"/>
      <c r="M625" s="5"/>
    </row>
    <row r="626" spans="1:13" s="3" customFormat="1">
      <c r="A626" s="1"/>
      <c r="B626" s="8"/>
      <c r="C626" s="5"/>
      <c r="D626" s="12"/>
      <c r="E626" s="9"/>
      <c r="F626" s="9"/>
      <c r="G626" s="5"/>
      <c r="H626" s="16"/>
      <c r="I626" s="69"/>
      <c r="J626" s="70"/>
      <c r="K626" s="71"/>
      <c r="L626" s="71"/>
      <c r="M626" s="5"/>
    </row>
    <row r="627" spans="1:13" s="3" customFormat="1">
      <c r="A627" s="1"/>
      <c r="B627" s="8"/>
      <c r="C627" s="5"/>
      <c r="D627" s="12"/>
      <c r="E627" s="9"/>
      <c r="F627" s="9"/>
      <c r="G627" s="5"/>
      <c r="H627" s="16"/>
      <c r="I627" s="69"/>
      <c r="J627" s="70"/>
      <c r="K627" s="71"/>
      <c r="L627" s="71"/>
      <c r="M627" s="5"/>
    </row>
    <row r="628" spans="1:13" s="3" customFormat="1">
      <c r="A628" s="1"/>
      <c r="B628" s="8"/>
      <c r="C628" s="5"/>
      <c r="D628" s="12"/>
      <c r="E628" s="9"/>
      <c r="F628" s="9"/>
      <c r="G628" s="5"/>
      <c r="H628" s="16"/>
      <c r="I628" s="69"/>
      <c r="J628" s="70"/>
      <c r="K628" s="71"/>
      <c r="L628" s="71"/>
      <c r="M628" s="5"/>
    </row>
    <row r="629" spans="1:13" s="3" customFormat="1">
      <c r="A629" s="1"/>
      <c r="B629" s="8"/>
      <c r="C629" s="5"/>
      <c r="D629" s="12"/>
      <c r="E629" s="9"/>
      <c r="F629" s="9"/>
      <c r="G629" s="5"/>
      <c r="H629" s="16"/>
      <c r="I629" s="69"/>
      <c r="J629" s="70"/>
      <c r="K629" s="71"/>
      <c r="L629" s="71"/>
      <c r="M629" s="5"/>
    </row>
    <row r="630" spans="1:13" s="3" customFormat="1">
      <c r="A630" s="1"/>
      <c r="B630" s="8"/>
      <c r="C630" s="5"/>
      <c r="D630" s="12"/>
      <c r="E630" s="9"/>
      <c r="F630" s="9"/>
      <c r="G630" s="5"/>
      <c r="H630" s="16"/>
      <c r="I630" s="69"/>
      <c r="J630" s="70"/>
      <c r="K630" s="71"/>
      <c r="L630" s="71"/>
      <c r="M630" s="5"/>
    </row>
    <row r="631" spans="1:13" s="3" customFormat="1">
      <c r="A631" s="1"/>
      <c r="B631" s="8"/>
      <c r="C631" s="5"/>
      <c r="D631" s="12"/>
      <c r="E631" s="9"/>
      <c r="F631" s="9"/>
      <c r="G631" s="5"/>
      <c r="H631" s="16"/>
      <c r="I631" s="69"/>
      <c r="J631" s="70"/>
      <c r="K631" s="71"/>
      <c r="L631" s="71"/>
      <c r="M631" s="5"/>
    </row>
    <row r="632" spans="1:13" s="3" customFormat="1">
      <c r="A632" s="1"/>
      <c r="B632" s="8"/>
      <c r="C632" s="5"/>
      <c r="D632" s="12"/>
      <c r="E632" s="9"/>
      <c r="F632" s="9"/>
      <c r="G632" s="5"/>
      <c r="H632" s="16"/>
      <c r="I632" s="69"/>
      <c r="J632" s="70"/>
      <c r="K632" s="71"/>
      <c r="L632" s="71"/>
      <c r="M632" s="5"/>
    </row>
    <row r="633" spans="1:13" s="3" customFormat="1">
      <c r="A633" s="1"/>
      <c r="B633" s="8"/>
      <c r="C633" s="5"/>
      <c r="D633" s="12"/>
      <c r="E633" s="9"/>
      <c r="F633" s="9"/>
      <c r="G633" s="5"/>
      <c r="H633" s="16"/>
      <c r="I633" s="69"/>
      <c r="J633" s="70"/>
      <c r="K633" s="71"/>
      <c r="L633" s="71"/>
      <c r="M633" s="5"/>
    </row>
    <row r="634" spans="1:13" s="3" customFormat="1">
      <c r="A634" s="1"/>
      <c r="B634" s="8"/>
      <c r="C634" s="5"/>
      <c r="D634" s="12"/>
      <c r="E634" s="9"/>
      <c r="F634" s="9"/>
      <c r="G634" s="5"/>
      <c r="H634" s="16"/>
      <c r="I634" s="69"/>
      <c r="J634" s="70"/>
      <c r="K634" s="71"/>
      <c r="L634" s="71"/>
      <c r="M634" s="5"/>
    </row>
    <row r="635" spans="1:13" s="3" customFormat="1">
      <c r="A635" s="1"/>
      <c r="B635" s="8"/>
      <c r="C635" s="5"/>
      <c r="D635" s="12"/>
      <c r="E635" s="9"/>
      <c r="F635" s="9"/>
      <c r="G635" s="5"/>
      <c r="H635" s="16"/>
      <c r="I635" s="69"/>
      <c r="J635" s="70"/>
      <c r="K635" s="71"/>
      <c r="L635" s="71"/>
      <c r="M635" s="5"/>
    </row>
    <row r="636" spans="1:13" s="3" customFormat="1">
      <c r="A636" s="1"/>
      <c r="B636" s="8"/>
      <c r="C636" s="5"/>
      <c r="D636" s="12"/>
      <c r="E636" s="9"/>
      <c r="F636" s="9"/>
      <c r="G636" s="5"/>
      <c r="H636" s="16"/>
      <c r="I636" s="69"/>
      <c r="J636" s="70"/>
      <c r="K636" s="71"/>
      <c r="L636" s="71"/>
      <c r="M636" s="5"/>
    </row>
    <row r="637" spans="1:13" s="3" customFormat="1">
      <c r="A637" s="1"/>
      <c r="B637" s="8"/>
      <c r="C637" s="5"/>
      <c r="D637" s="12"/>
      <c r="E637" s="9"/>
      <c r="F637" s="9"/>
      <c r="G637" s="5"/>
      <c r="H637" s="16"/>
      <c r="I637" s="69"/>
      <c r="J637" s="70"/>
      <c r="K637" s="71"/>
      <c r="L637" s="71"/>
      <c r="M637" s="5"/>
    </row>
    <row r="638" spans="1:13" s="3" customFormat="1">
      <c r="A638" s="1"/>
      <c r="B638" s="8"/>
      <c r="C638" s="5"/>
      <c r="D638" s="12"/>
      <c r="E638" s="9"/>
      <c r="F638" s="9"/>
      <c r="G638" s="5"/>
      <c r="H638" s="16"/>
      <c r="I638" s="69"/>
      <c r="J638" s="70"/>
      <c r="K638" s="71"/>
      <c r="L638" s="71"/>
      <c r="M638" s="5"/>
    </row>
    <row r="639" spans="1:13" s="3" customFormat="1">
      <c r="A639" s="1"/>
      <c r="B639" s="8"/>
      <c r="C639" s="5"/>
      <c r="D639" s="12"/>
      <c r="E639" s="9"/>
      <c r="F639" s="9"/>
      <c r="G639" s="5"/>
      <c r="H639" s="16"/>
      <c r="I639" s="69"/>
      <c r="J639" s="70"/>
      <c r="K639" s="71"/>
      <c r="L639" s="71"/>
      <c r="M639" s="5"/>
    </row>
    <row r="640" spans="1:13" s="3" customFormat="1">
      <c r="A640" s="1"/>
      <c r="B640" s="8"/>
      <c r="C640" s="5"/>
      <c r="D640" s="12"/>
      <c r="E640" s="9"/>
      <c r="F640" s="9"/>
      <c r="G640" s="5"/>
      <c r="H640" s="16"/>
      <c r="I640" s="69"/>
      <c r="J640" s="70"/>
      <c r="K640" s="71"/>
      <c r="L640" s="71"/>
      <c r="M640" s="5"/>
    </row>
    <row r="641" spans="1:13" s="3" customFormat="1">
      <c r="A641" s="1"/>
      <c r="B641" s="8"/>
      <c r="C641" s="5"/>
      <c r="D641" s="12"/>
      <c r="E641" s="9"/>
      <c r="F641" s="9"/>
      <c r="G641" s="5"/>
      <c r="H641" s="16"/>
      <c r="I641" s="69"/>
      <c r="J641" s="70"/>
      <c r="K641" s="71"/>
      <c r="L641" s="71"/>
      <c r="M641" s="5"/>
    </row>
    <row r="642" spans="1:13" s="3" customFormat="1">
      <c r="A642" s="1"/>
      <c r="B642" s="8"/>
      <c r="C642" s="5"/>
      <c r="D642" s="12"/>
      <c r="E642" s="9"/>
      <c r="F642" s="9"/>
      <c r="G642" s="5"/>
      <c r="H642" s="16"/>
      <c r="I642" s="69"/>
      <c r="J642" s="70"/>
      <c r="K642" s="71"/>
      <c r="L642" s="71"/>
      <c r="M642" s="5"/>
    </row>
    <row r="643" spans="1:13" s="3" customFormat="1">
      <c r="A643" s="1"/>
      <c r="B643" s="8"/>
      <c r="C643" s="5"/>
      <c r="D643" s="12"/>
      <c r="E643" s="9"/>
      <c r="F643" s="9"/>
      <c r="G643" s="5"/>
      <c r="H643" s="16"/>
      <c r="I643" s="69"/>
      <c r="J643" s="70"/>
      <c r="K643" s="71"/>
      <c r="L643" s="71"/>
      <c r="M643" s="5"/>
    </row>
    <row r="644" spans="1:13" s="3" customFormat="1">
      <c r="A644" s="1"/>
      <c r="B644" s="8"/>
      <c r="C644" s="5"/>
      <c r="D644" s="12"/>
      <c r="E644" s="9"/>
      <c r="F644" s="9"/>
      <c r="G644" s="5"/>
      <c r="H644" s="16"/>
      <c r="I644" s="69"/>
      <c r="J644" s="70"/>
      <c r="K644" s="71"/>
      <c r="L644" s="71"/>
      <c r="M644" s="5"/>
    </row>
    <row r="645" spans="1:13" s="3" customFormat="1">
      <c r="A645" s="1"/>
      <c r="B645" s="8"/>
      <c r="C645" s="5"/>
      <c r="D645" s="12"/>
      <c r="E645" s="9"/>
      <c r="F645" s="9"/>
      <c r="G645" s="5"/>
      <c r="H645" s="16"/>
      <c r="I645" s="69"/>
      <c r="J645" s="70"/>
      <c r="K645" s="71"/>
      <c r="L645" s="71"/>
      <c r="M645" s="5"/>
    </row>
    <row r="646" spans="1:13" s="3" customFormat="1">
      <c r="A646" s="1"/>
      <c r="B646" s="8"/>
      <c r="C646" s="5"/>
      <c r="D646" s="12"/>
      <c r="E646" s="9"/>
      <c r="F646" s="9"/>
      <c r="G646" s="5"/>
      <c r="H646" s="16"/>
      <c r="I646" s="69"/>
      <c r="J646" s="70"/>
      <c r="K646" s="71"/>
      <c r="L646" s="71"/>
      <c r="M646" s="5"/>
    </row>
    <row r="647" spans="1:13" s="3" customFormat="1">
      <c r="A647" s="1"/>
      <c r="B647" s="8"/>
      <c r="C647" s="5"/>
      <c r="D647" s="12"/>
      <c r="E647" s="9"/>
      <c r="F647" s="9"/>
      <c r="G647" s="5"/>
      <c r="H647" s="16"/>
      <c r="I647" s="69"/>
      <c r="J647" s="70"/>
      <c r="K647" s="71"/>
      <c r="L647" s="71"/>
      <c r="M647" s="5"/>
    </row>
    <row r="648" spans="1:13" s="3" customFormat="1">
      <c r="A648" s="1"/>
      <c r="B648" s="8"/>
      <c r="C648" s="5"/>
      <c r="D648" s="12"/>
      <c r="E648" s="9"/>
      <c r="F648" s="9"/>
      <c r="G648" s="5"/>
      <c r="H648" s="16"/>
      <c r="I648" s="69"/>
      <c r="J648" s="70"/>
      <c r="K648" s="71"/>
      <c r="L648" s="71"/>
      <c r="M648" s="5"/>
    </row>
    <row r="649" spans="1:13" s="3" customFormat="1">
      <c r="A649" s="1"/>
      <c r="B649" s="8"/>
      <c r="C649" s="5"/>
      <c r="D649" s="12"/>
      <c r="E649" s="9"/>
      <c r="F649" s="9"/>
      <c r="G649" s="5"/>
      <c r="H649" s="16"/>
      <c r="I649" s="69"/>
      <c r="J649" s="70"/>
      <c r="K649" s="71"/>
      <c r="L649" s="71"/>
      <c r="M649" s="5"/>
    </row>
    <row r="650" spans="1:13" s="3" customFormat="1">
      <c r="A650" s="1"/>
      <c r="B650" s="8"/>
      <c r="C650" s="5"/>
      <c r="D650" s="12"/>
      <c r="E650" s="9"/>
      <c r="F650" s="9"/>
      <c r="G650" s="5"/>
      <c r="H650" s="16"/>
      <c r="I650" s="69"/>
      <c r="J650" s="70"/>
      <c r="K650" s="71"/>
      <c r="L650" s="71"/>
      <c r="M650" s="5"/>
    </row>
    <row r="651" spans="1:13" s="3" customFormat="1">
      <c r="A651" s="1"/>
      <c r="B651" s="8"/>
      <c r="C651" s="5"/>
      <c r="D651" s="12"/>
      <c r="E651" s="9"/>
      <c r="F651" s="9"/>
      <c r="G651" s="5"/>
      <c r="H651" s="16"/>
      <c r="I651" s="69"/>
      <c r="J651" s="70"/>
      <c r="K651" s="71"/>
      <c r="L651" s="71"/>
      <c r="M651" s="5"/>
    </row>
    <row r="652" spans="1:13" s="3" customFormat="1">
      <c r="A652" s="1"/>
      <c r="B652" s="8"/>
      <c r="C652" s="5"/>
      <c r="D652" s="12"/>
      <c r="E652" s="9"/>
      <c r="F652" s="9"/>
      <c r="G652" s="5"/>
      <c r="H652" s="16"/>
      <c r="I652" s="69"/>
      <c r="J652" s="70"/>
      <c r="K652" s="71"/>
      <c r="L652" s="71"/>
      <c r="M652" s="5"/>
    </row>
    <row r="653" spans="1:13" s="3" customFormat="1">
      <c r="A653" s="1"/>
      <c r="B653" s="8"/>
      <c r="C653" s="5"/>
      <c r="D653" s="12"/>
      <c r="E653" s="9"/>
      <c r="F653" s="9"/>
      <c r="G653" s="5"/>
      <c r="H653" s="16"/>
      <c r="I653" s="69"/>
      <c r="J653" s="70"/>
      <c r="K653" s="71"/>
      <c r="L653" s="71"/>
      <c r="M653" s="5"/>
    </row>
    <row r="654" spans="1:13" s="3" customFormat="1">
      <c r="A654" s="1"/>
      <c r="B654" s="8"/>
      <c r="C654" s="5"/>
      <c r="D654" s="12"/>
      <c r="E654" s="9"/>
      <c r="F654" s="9"/>
      <c r="G654" s="5"/>
      <c r="H654" s="16"/>
      <c r="I654" s="69"/>
      <c r="J654" s="70"/>
      <c r="K654" s="71"/>
      <c r="L654" s="71"/>
      <c r="M654" s="5"/>
    </row>
    <row r="655" spans="1:13" s="3" customFormat="1">
      <c r="A655" s="1"/>
      <c r="B655" s="8"/>
      <c r="C655" s="5"/>
      <c r="D655" s="12"/>
      <c r="E655" s="9"/>
      <c r="F655" s="9"/>
      <c r="G655" s="5"/>
      <c r="H655" s="16"/>
      <c r="I655" s="69"/>
      <c r="J655" s="70"/>
      <c r="K655" s="71"/>
      <c r="L655" s="71"/>
      <c r="M655" s="5"/>
    </row>
    <row r="656" spans="1:13" s="3" customFormat="1">
      <c r="A656" s="1"/>
      <c r="B656" s="8"/>
      <c r="C656" s="5"/>
      <c r="D656" s="12"/>
      <c r="E656" s="9"/>
      <c r="F656" s="9"/>
      <c r="G656" s="5"/>
      <c r="H656" s="16"/>
      <c r="I656" s="69"/>
      <c r="J656" s="70"/>
      <c r="K656" s="71"/>
      <c r="L656" s="71"/>
      <c r="M656" s="5"/>
    </row>
    <row r="657" spans="1:13" s="3" customFormat="1">
      <c r="A657" s="1"/>
      <c r="B657" s="8"/>
      <c r="C657" s="5"/>
      <c r="D657" s="12"/>
      <c r="E657" s="9"/>
      <c r="F657" s="9"/>
      <c r="G657" s="5"/>
      <c r="H657" s="16"/>
      <c r="I657" s="69"/>
      <c r="J657" s="70"/>
      <c r="K657" s="71"/>
      <c r="L657" s="71"/>
      <c r="M657" s="5"/>
    </row>
    <row r="658" spans="1:13" s="3" customFormat="1">
      <c r="A658" s="1"/>
      <c r="B658" s="8"/>
      <c r="C658" s="5"/>
      <c r="D658" s="12"/>
      <c r="E658" s="9"/>
      <c r="F658" s="9"/>
      <c r="G658" s="5"/>
      <c r="H658" s="16"/>
      <c r="I658" s="69"/>
      <c r="J658" s="70"/>
      <c r="K658" s="71"/>
      <c r="L658" s="71"/>
      <c r="M658" s="5"/>
    </row>
    <row r="659" spans="1:13" s="3" customFormat="1">
      <c r="A659" s="1"/>
      <c r="B659" s="8"/>
      <c r="C659" s="5"/>
      <c r="D659" s="12"/>
      <c r="E659" s="9"/>
      <c r="F659" s="9"/>
      <c r="G659" s="5"/>
      <c r="H659" s="16"/>
      <c r="I659" s="69"/>
      <c r="J659" s="70"/>
      <c r="K659" s="71"/>
      <c r="L659" s="71"/>
      <c r="M659" s="5"/>
    </row>
    <row r="660" spans="1:13" s="3" customFormat="1">
      <c r="A660" s="1"/>
      <c r="B660" s="8"/>
      <c r="C660" s="5"/>
      <c r="D660" s="12"/>
      <c r="E660" s="9"/>
      <c r="F660" s="9"/>
      <c r="G660" s="5"/>
      <c r="H660" s="16"/>
      <c r="I660" s="69"/>
      <c r="J660" s="70"/>
      <c r="K660" s="71"/>
      <c r="L660" s="71"/>
      <c r="M660" s="5"/>
    </row>
    <row r="661" spans="1:13" s="3" customFormat="1">
      <c r="A661" s="1"/>
      <c r="B661" s="8"/>
      <c r="C661" s="5"/>
      <c r="D661" s="12"/>
      <c r="E661" s="9"/>
      <c r="F661" s="9"/>
      <c r="G661" s="5"/>
      <c r="H661" s="16"/>
      <c r="I661" s="69"/>
      <c r="J661" s="70"/>
      <c r="K661" s="71"/>
      <c r="L661" s="71"/>
      <c r="M661" s="5"/>
    </row>
    <row r="662" spans="1:13" s="3" customFormat="1">
      <c r="A662" s="1"/>
      <c r="B662" s="8"/>
      <c r="C662" s="5"/>
      <c r="D662" s="12"/>
      <c r="E662" s="9"/>
      <c r="F662" s="9"/>
      <c r="G662" s="5"/>
      <c r="H662" s="16"/>
      <c r="I662" s="69"/>
      <c r="J662" s="70"/>
      <c r="K662" s="71"/>
      <c r="L662" s="71"/>
      <c r="M662" s="5"/>
    </row>
    <row r="663" spans="1:13" s="3" customFormat="1">
      <c r="A663" s="1"/>
      <c r="B663" s="8"/>
      <c r="C663" s="5"/>
      <c r="D663" s="12"/>
      <c r="E663" s="9"/>
      <c r="F663" s="9"/>
      <c r="G663" s="5"/>
      <c r="H663" s="16"/>
      <c r="I663" s="69"/>
      <c r="J663" s="70"/>
      <c r="K663" s="71"/>
      <c r="L663" s="71"/>
      <c r="M663" s="5"/>
    </row>
    <row r="664" spans="1:13" s="3" customFormat="1">
      <c r="A664" s="1"/>
      <c r="B664" s="8"/>
      <c r="C664" s="5"/>
      <c r="D664" s="12"/>
      <c r="E664" s="9"/>
      <c r="F664" s="9"/>
      <c r="G664" s="5"/>
      <c r="H664" s="16"/>
      <c r="I664" s="69"/>
      <c r="J664" s="70"/>
      <c r="K664" s="71"/>
      <c r="L664" s="71"/>
      <c r="M664" s="5"/>
    </row>
    <row r="665" spans="1:13" s="3" customFormat="1">
      <c r="A665" s="1"/>
      <c r="B665" s="8"/>
      <c r="C665" s="5"/>
      <c r="D665" s="12"/>
      <c r="E665" s="9"/>
      <c r="F665" s="9"/>
      <c r="G665" s="5"/>
      <c r="H665" s="16"/>
      <c r="I665" s="69"/>
      <c r="J665" s="70"/>
      <c r="K665" s="71"/>
      <c r="L665" s="71"/>
      <c r="M665" s="5"/>
    </row>
    <row r="666" spans="1:13" s="3" customFormat="1">
      <c r="A666" s="1"/>
      <c r="B666" s="8"/>
      <c r="C666" s="5"/>
      <c r="D666" s="12"/>
      <c r="E666" s="9"/>
      <c r="F666" s="9"/>
      <c r="G666" s="5"/>
      <c r="H666" s="16"/>
      <c r="I666" s="69"/>
      <c r="J666" s="70"/>
      <c r="K666" s="71"/>
      <c r="L666" s="71"/>
      <c r="M666" s="5"/>
    </row>
    <row r="667" spans="1:13" s="3" customFormat="1">
      <c r="A667" s="1"/>
      <c r="B667" s="8"/>
      <c r="C667" s="5"/>
      <c r="D667" s="12"/>
      <c r="E667" s="9"/>
      <c r="F667" s="9"/>
      <c r="G667" s="5"/>
      <c r="H667" s="16"/>
      <c r="I667" s="69"/>
      <c r="J667" s="70"/>
      <c r="K667" s="71"/>
      <c r="L667" s="71"/>
      <c r="M667" s="5"/>
    </row>
    <row r="668" spans="1:13" s="3" customFormat="1">
      <c r="A668" s="1"/>
      <c r="B668" s="8"/>
      <c r="C668" s="5"/>
      <c r="D668" s="12"/>
      <c r="E668" s="9"/>
      <c r="F668" s="9"/>
      <c r="G668" s="5"/>
      <c r="H668" s="16"/>
      <c r="I668" s="69"/>
      <c r="J668" s="70"/>
      <c r="K668" s="71"/>
      <c r="L668" s="71"/>
      <c r="M668" s="5"/>
    </row>
    <row r="669" spans="1:13" s="3" customFormat="1">
      <c r="A669" s="1"/>
      <c r="B669" s="8"/>
      <c r="C669" s="5"/>
      <c r="D669" s="12"/>
      <c r="E669" s="9"/>
      <c r="F669" s="9"/>
      <c r="G669" s="5"/>
      <c r="H669" s="16"/>
      <c r="I669" s="69"/>
      <c r="J669" s="70"/>
      <c r="K669" s="71"/>
      <c r="L669" s="71"/>
      <c r="M669" s="5"/>
    </row>
    <row r="670" spans="1:13" s="3" customFormat="1">
      <c r="A670" s="1"/>
      <c r="B670" s="8"/>
      <c r="C670" s="5"/>
      <c r="D670" s="12"/>
      <c r="E670" s="9"/>
      <c r="F670" s="9"/>
      <c r="G670" s="5"/>
      <c r="H670" s="16"/>
      <c r="I670" s="69"/>
      <c r="J670" s="70"/>
      <c r="K670" s="71"/>
      <c r="L670" s="71"/>
      <c r="M670" s="5"/>
    </row>
    <row r="671" spans="1:13" s="3" customFormat="1">
      <c r="A671" s="1"/>
      <c r="B671" s="8"/>
      <c r="C671" s="5"/>
      <c r="D671" s="12"/>
      <c r="E671" s="9"/>
      <c r="F671" s="9"/>
      <c r="G671" s="5"/>
      <c r="H671" s="16"/>
      <c r="I671" s="69"/>
      <c r="J671" s="70"/>
      <c r="K671" s="71"/>
      <c r="L671" s="71"/>
      <c r="M671" s="5"/>
    </row>
    <row r="672" spans="1:13" s="3" customFormat="1">
      <c r="A672" s="1"/>
      <c r="B672" s="8"/>
      <c r="C672" s="5"/>
      <c r="D672" s="12"/>
      <c r="E672" s="9"/>
      <c r="F672" s="9"/>
      <c r="G672" s="5"/>
      <c r="H672" s="16"/>
      <c r="I672" s="69"/>
      <c r="J672" s="70"/>
      <c r="K672" s="71"/>
      <c r="L672" s="71"/>
      <c r="M672" s="5"/>
    </row>
    <row r="673" spans="1:13" s="3" customFormat="1">
      <c r="A673" s="1"/>
      <c r="B673" s="8"/>
      <c r="C673" s="5"/>
      <c r="D673" s="12"/>
      <c r="E673" s="9"/>
      <c r="F673" s="9"/>
      <c r="G673" s="5"/>
      <c r="H673" s="16"/>
      <c r="I673" s="69"/>
      <c r="J673" s="70"/>
      <c r="K673" s="71"/>
      <c r="L673" s="71"/>
      <c r="M673" s="5"/>
    </row>
    <row r="674" spans="1:13" s="3" customFormat="1">
      <c r="A674" s="1"/>
      <c r="B674" s="8"/>
      <c r="C674" s="5"/>
      <c r="D674" s="12"/>
      <c r="E674" s="9"/>
      <c r="F674" s="9"/>
      <c r="G674" s="5"/>
      <c r="H674" s="16"/>
      <c r="I674" s="69"/>
      <c r="J674" s="70"/>
      <c r="K674" s="71"/>
      <c r="L674" s="71"/>
      <c r="M674" s="5"/>
    </row>
    <row r="675" spans="1:13" s="3" customFormat="1">
      <c r="A675" s="1"/>
      <c r="B675" s="8"/>
      <c r="C675" s="5"/>
      <c r="D675" s="12"/>
      <c r="E675" s="9"/>
      <c r="F675" s="9"/>
      <c r="G675" s="5"/>
      <c r="H675" s="16"/>
      <c r="I675" s="69"/>
      <c r="J675" s="70"/>
      <c r="K675" s="71"/>
      <c r="L675" s="71"/>
      <c r="M675" s="5"/>
    </row>
    <row r="676" spans="1:13" s="3" customFormat="1">
      <c r="A676" s="1"/>
      <c r="B676" s="8"/>
      <c r="C676" s="5"/>
      <c r="D676" s="12"/>
      <c r="E676" s="9"/>
      <c r="F676" s="9"/>
      <c r="G676" s="5"/>
      <c r="H676" s="16"/>
      <c r="I676" s="69"/>
      <c r="J676" s="70"/>
      <c r="K676" s="71"/>
      <c r="L676" s="71"/>
      <c r="M676" s="5"/>
    </row>
    <row r="677" spans="1:13" s="3" customFormat="1">
      <c r="A677" s="1"/>
      <c r="B677" s="8"/>
      <c r="C677" s="5"/>
      <c r="D677" s="12"/>
      <c r="E677" s="9"/>
      <c r="F677" s="9"/>
      <c r="G677" s="5"/>
      <c r="H677" s="16"/>
      <c r="I677" s="69"/>
      <c r="J677" s="70"/>
      <c r="K677" s="71"/>
      <c r="L677" s="71"/>
      <c r="M677" s="5"/>
    </row>
    <row r="678" spans="1:13" s="3" customFormat="1">
      <c r="A678" s="1"/>
      <c r="B678" s="8"/>
      <c r="C678" s="5"/>
      <c r="D678" s="12"/>
      <c r="E678" s="9"/>
      <c r="F678" s="9"/>
      <c r="G678" s="5"/>
      <c r="H678" s="16"/>
      <c r="I678" s="69"/>
      <c r="J678" s="70"/>
      <c r="K678" s="71"/>
      <c r="L678" s="71"/>
      <c r="M678" s="5"/>
    </row>
    <row r="679" spans="1:13" s="3" customFormat="1">
      <c r="A679" s="1"/>
      <c r="B679" s="8"/>
      <c r="C679" s="5"/>
      <c r="D679" s="12"/>
      <c r="E679" s="9"/>
      <c r="F679" s="9"/>
      <c r="G679" s="5"/>
      <c r="H679" s="16"/>
      <c r="I679" s="69"/>
      <c r="J679" s="70"/>
      <c r="K679" s="71"/>
      <c r="L679" s="71"/>
      <c r="M679" s="5"/>
    </row>
    <row r="680" spans="1:13" s="3" customFormat="1">
      <c r="A680" s="1"/>
      <c r="B680" s="8"/>
      <c r="C680" s="5"/>
      <c r="D680" s="12"/>
      <c r="E680" s="9"/>
      <c r="F680" s="9"/>
      <c r="G680" s="5"/>
      <c r="H680" s="16"/>
      <c r="I680" s="69"/>
      <c r="J680" s="70"/>
      <c r="K680" s="71"/>
      <c r="L680" s="71"/>
      <c r="M680" s="5"/>
    </row>
    <row r="681" spans="1:13" s="3" customFormat="1">
      <c r="A681" s="1"/>
      <c r="B681" s="8"/>
      <c r="C681" s="5"/>
      <c r="D681" s="12"/>
      <c r="E681" s="9"/>
      <c r="F681" s="9"/>
      <c r="G681" s="5"/>
      <c r="H681" s="16"/>
      <c r="I681" s="69"/>
      <c r="J681" s="70"/>
      <c r="K681" s="71"/>
      <c r="L681" s="71"/>
      <c r="M681" s="5"/>
    </row>
    <row r="682" spans="1:13" s="3" customFormat="1">
      <c r="A682" s="1"/>
      <c r="B682" s="8"/>
      <c r="C682" s="5"/>
      <c r="D682" s="12"/>
      <c r="E682" s="9"/>
      <c r="F682" s="9"/>
      <c r="G682" s="5"/>
      <c r="H682" s="16"/>
      <c r="I682" s="69"/>
      <c r="J682" s="70"/>
      <c r="K682" s="71"/>
      <c r="L682" s="71"/>
      <c r="M682" s="5"/>
    </row>
    <row r="683" spans="1:13" s="3" customFormat="1">
      <c r="A683" s="1"/>
      <c r="B683" s="8"/>
      <c r="C683" s="5"/>
      <c r="D683" s="12"/>
      <c r="E683" s="9"/>
      <c r="F683" s="9"/>
      <c r="G683" s="5"/>
      <c r="H683" s="16"/>
      <c r="I683" s="69"/>
      <c r="J683" s="70"/>
      <c r="K683" s="71"/>
      <c r="L683" s="71"/>
      <c r="M683" s="5"/>
    </row>
    <row r="684" spans="1:13" s="3" customFormat="1">
      <c r="A684" s="1"/>
      <c r="B684" s="8"/>
      <c r="C684" s="5"/>
      <c r="D684" s="12"/>
      <c r="E684" s="9"/>
      <c r="F684" s="9"/>
      <c r="G684" s="5"/>
      <c r="H684" s="16"/>
      <c r="I684" s="69"/>
      <c r="J684" s="70"/>
      <c r="K684" s="71"/>
      <c r="L684" s="71"/>
      <c r="M684" s="5"/>
    </row>
    <row r="685" spans="1:13" s="3" customFormat="1">
      <c r="A685" s="1"/>
      <c r="B685" s="8"/>
      <c r="C685" s="5"/>
      <c r="D685" s="12"/>
      <c r="E685" s="9"/>
      <c r="F685" s="9"/>
      <c r="G685" s="5"/>
      <c r="H685" s="16"/>
      <c r="I685" s="69"/>
      <c r="J685" s="70"/>
      <c r="K685" s="71"/>
      <c r="L685" s="71"/>
      <c r="M685" s="5"/>
    </row>
    <row r="686" spans="1:13" s="3" customFormat="1">
      <c r="A686" s="1"/>
      <c r="B686" s="8"/>
      <c r="C686" s="5"/>
      <c r="D686" s="12"/>
      <c r="E686" s="9"/>
      <c r="F686" s="9"/>
      <c r="G686" s="5"/>
      <c r="H686" s="16"/>
      <c r="I686" s="69"/>
      <c r="J686" s="70"/>
      <c r="K686" s="71"/>
      <c r="L686" s="71"/>
      <c r="M686" s="5"/>
    </row>
    <row r="687" spans="1:13" s="3" customFormat="1">
      <c r="A687" s="1"/>
      <c r="B687" s="8"/>
      <c r="C687" s="5"/>
      <c r="D687" s="12"/>
      <c r="E687" s="9"/>
      <c r="F687" s="9"/>
      <c r="G687" s="5"/>
      <c r="H687" s="16"/>
      <c r="I687" s="69"/>
      <c r="J687" s="70"/>
      <c r="K687" s="71"/>
      <c r="L687" s="71"/>
      <c r="M687" s="5"/>
    </row>
    <row r="688" spans="1:13" s="3" customFormat="1">
      <c r="A688" s="1"/>
      <c r="B688" s="8"/>
      <c r="C688" s="5"/>
      <c r="D688" s="12"/>
      <c r="E688" s="9"/>
      <c r="F688" s="9"/>
      <c r="G688" s="5"/>
      <c r="H688" s="16"/>
      <c r="I688" s="69"/>
      <c r="J688" s="70"/>
      <c r="K688" s="71"/>
      <c r="L688" s="71"/>
      <c r="M688" s="5"/>
    </row>
    <row r="689" spans="1:13" s="3" customFormat="1">
      <c r="A689" s="1"/>
      <c r="B689" s="8"/>
      <c r="C689" s="5"/>
      <c r="D689" s="12"/>
      <c r="E689" s="9"/>
      <c r="F689" s="9"/>
      <c r="G689" s="5"/>
      <c r="H689" s="16"/>
      <c r="I689" s="69"/>
      <c r="J689" s="70"/>
      <c r="K689" s="71"/>
      <c r="L689" s="71"/>
      <c r="M689" s="5"/>
    </row>
    <row r="690" spans="1:13" s="3" customFormat="1">
      <c r="A690" s="1"/>
      <c r="B690" s="8"/>
      <c r="C690" s="5"/>
      <c r="D690" s="12"/>
      <c r="E690" s="9"/>
      <c r="F690" s="9"/>
      <c r="G690" s="5"/>
      <c r="H690" s="16"/>
      <c r="I690" s="69"/>
      <c r="J690" s="70"/>
      <c r="K690" s="71"/>
      <c r="L690" s="71"/>
      <c r="M690" s="5"/>
    </row>
    <row r="691" spans="1:13" s="3" customFormat="1">
      <c r="A691" s="1"/>
      <c r="B691" s="8"/>
      <c r="C691" s="5"/>
      <c r="D691" s="12"/>
      <c r="E691" s="9"/>
      <c r="F691" s="9"/>
      <c r="G691" s="5"/>
      <c r="H691" s="16"/>
      <c r="I691" s="69"/>
      <c r="J691" s="70"/>
      <c r="K691" s="71"/>
      <c r="L691" s="71"/>
      <c r="M691" s="5"/>
    </row>
    <row r="692" spans="1:13" s="3" customFormat="1">
      <c r="A692" s="1"/>
      <c r="B692" s="8"/>
      <c r="C692" s="5"/>
      <c r="D692" s="12"/>
      <c r="E692" s="9"/>
      <c r="F692" s="9"/>
      <c r="G692" s="5"/>
      <c r="H692" s="16"/>
      <c r="I692" s="69"/>
      <c r="J692" s="70"/>
      <c r="K692" s="71"/>
      <c r="L692" s="71"/>
      <c r="M692" s="5"/>
    </row>
    <row r="693" spans="1:13" s="3" customFormat="1">
      <c r="A693" s="1"/>
      <c r="B693" s="8"/>
      <c r="C693" s="5"/>
      <c r="D693" s="12"/>
      <c r="E693" s="9"/>
      <c r="F693" s="9"/>
      <c r="G693" s="5"/>
      <c r="H693" s="16"/>
      <c r="I693" s="69"/>
      <c r="J693" s="70"/>
      <c r="K693" s="71"/>
      <c r="L693" s="71"/>
      <c r="M693" s="5"/>
    </row>
    <row r="694" spans="1:13" s="3" customFormat="1">
      <c r="A694" s="1"/>
      <c r="B694" s="8"/>
      <c r="C694" s="5"/>
      <c r="D694" s="12"/>
      <c r="E694" s="9"/>
      <c r="F694" s="9"/>
      <c r="G694" s="5"/>
      <c r="H694" s="16"/>
      <c r="I694" s="69"/>
      <c r="J694" s="70"/>
      <c r="K694" s="71"/>
      <c r="L694" s="71"/>
      <c r="M694" s="5"/>
    </row>
    <row r="695" spans="1:13" s="3" customFormat="1">
      <c r="A695" s="1"/>
      <c r="B695" s="8"/>
      <c r="C695" s="5"/>
      <c r="D695" s="12"/>
      <c r="E695" s="9"/>
      <c r="F695" s="9"/>
      <c r="G695" s="5"/>
      <c r="H695" s="16"/>
      <c r="I695" s="69"/>
      <c r="J695" s="70"/>
      <c r="K695" s="71"/>
      <c r="L695" s="71"/>
      <c r="M695" s="5"/>
    </row>
    <row r="696" spans="1:13" s="3" customFormat="1">
      <c r="A696" s="1"/>
      <c r="B696" s="8"/>
      <c r="C696" s="5"/>
      <c r="D696" s="12"/>
      <c r="E696" s="9"/>
      <c r="F696" s="9"/>
      <c r="G696" s="5"/>
      <c r="H696" s="16"/>
      <c r="I696" s="69"/>
      <c r="J696" s="70"/>
      <c r="K696" s="71"/>
      <c r="L696" s="71"/>
      <c r="M696" s="5"/>
    </row>
    <row r="697" spans="1:13" s="3" customFormat="1">
      <c r="A697" s="1"/>
      <c r="B697" s="8"/>
      <c r="C697" s="5"/>
      <c r="D697" s="12"/>
      <c r="E697" s="9"/>
      <c r="F697" s="9"/>
      <c r="G697" s="5"/>
      <c r="H697" s="16"/>
      <c r="I697" s="69"/>
      <c r="J697" s="70"/>
      <c r="K697" s="71"/>
      <c r="L697" s="71"/>
      <c r="M697" s="5"/>
    </row>
    <row r="698" spans="1:13" s="3" customFormat="1">
      <c r="A698" s="1"/>
      <c r="B698" s="8"/>
      <c r="C698" s="5"/>
      <c r="D698" s="12"/>
      <c r="E698" s="9"/>
      <c r="F698" s="9"/>
      <c r="G698" s="5"/>
      <c r="H698" s="16"/>
      <c r="I698" s="69"/>
      <c r="J698" s="70"/>
      <c r="K698" s="71"/>
      <c r="L698" s="71"/>
      <c r="M698" s="5"/>
    </row>
    <row r="699" spans="1:13" s="3" customFormat="1">
      <c r="A699" s="1"/>
      <c r="B699" s="8"/>
      <c r="C699" s="5"/>
      <c r="D699" s="12"/>
      <c r="E699" s="9"/>
      <c r="F699" s="9"/>
      <c r="G699" s="5"/>
      <c r="H699" s="16"/>
      <c r="I699" s="69"/>
      <c r="J699" s="70"/>
      <c r="K699" s="71"/>
      <c r="L699" s="71"/>
      <c r="M699" s="5"/>
    </row>
    <row r="700" spans="1:13" s="3" customFormat="1">
      <c r="A700" s="1"/>
      <c r="B700" s="8"/>
      <c r="C700" s="5"/>
      <c r="D700" s="12"/>
      <c r="E700" s="9"/>
      <c r="F700" s="9"/>
      <c r="G700" s="5"/>
      <c r="H700" s="16"/>
      <c r="I700" s="69"/>
      <c r="J700" s="70"/>
      <c r="K700" s="71"/>
      <c r="L700" s="71"/>
      <c r="M700" s="5"/>
    </row>
    <row r="701" spans="1:13" s="3" customFormat="1">
      <c r="A701" s="1"/>
      <c r="B701" s="8"/>
      <c r="C701" s="5"/>
      <c r="D701" s="12"/>
      <c r="E701" s="9"/>
      <c r="F701" s="9"/>
      <c r="G701" s="5"/>
      <c r="H701" s="16"/>
      <c r="I701" s="69"/>
      <c r="J701" s="70"/>
      <c r="K701" s="71"/>
      <c r="L701" s="71"/>
      <c r="M701" s="5"/>
    </row>
    <row r="702" spans="1:13" s="3" customFormat="1">
      <c r="A702" s="1"/>
      <c r="B702" s="8"/>
      <c r="C702" s="5"/>
      <c r="D702" s="12"/>
      <c r="E702" s="9"/>
      <c r="F702" s="9"/>
      <c r="G702" s="5"/>
      <c r="H702" s="16"/>
      <c r="I702" s="69"/>
      <c r="J702" s="70"/>
      <c r="K702" s="71"/>
      <c r="L702" s="71"/>
      <c r="M702" s="5"/>
    </row>
    <row r="703" spans="1:13" s="3" customFormat="1">
      <c r="A703" s="1"/>
      <c r="B703" s="8"/>
      <c r="C703" s="5"/>
      <c r="D703" s="12"/>
      <c r="E703" s="9"/>
      <c r="F703" s="9"/>
      <c r="G703" s="5"/>
      <c r="H703" s="16"/>
      <c r="I703" s="69"/>
      <c r="J703" s="70"/>
      <c r="K703" s="71"/>
      <c r="L703" s="71"/>
      <c r="M703" s="5"/>
    </row>
    <row r="704" spans="1:13" s="3" customFormat="1">
      <c r="A704" s="1"/>
      <c r="B704" s="8"/>
      <c r="C704" s="5"/>
      <c r="D704" s="12"/>
      <c r="E704" s="9"/>
      <c r="F704" s="9"/>
      <c r="G704" s="5"/>
      <c r="H704" s="16"/>
      <c r="I704" s="69"/>
      <c r="J704" s="70"/>
      <c r="K704" s="71"/>
      <c r="L704" s="71"/>
      <c r="M704" s="5"/>
    </row>
    <row r="705" spans="1:13" s="3" customFormat="1">
      <c r="A705" s="1"/>
      <c r="B705" s="8"/>
      <c r="C705" s="5"/>
      <c r="D705" s="12"/>
      <c r="E705" s="9"/>
      <c r="F705" s="9"/>
      <c r="G705" s="5"/>
      <c r="H705" s="16"/>
      <c r="I705" s="69"/>
      <c r="J705" s="70"/>
      <c r="K705" s="71"/>
      <c r="L705" s="71"/>
      <c r="M705" s="5"/>
    </row>
    <row r="706" spans="1:13" s="3" customFormat="1">
      <c r="A706" s="1"/>
      <c r="B706" s="8"/>
      <c r="C706" s="5"/>
      <c r="D706" s="12"/>
      <c r="E706" s="9"/>
      <c r="F706" s="9"/>
      <c r="G706" s="5"/>
      <c r="H706" s="16"/>
      <c r="I706" s="69"/>
      <c r="J706" s="70"/>
      <c r="K706" s="71"/>
      <c r="L706" s="71"/>
      <c r="M706" s="5"/>
    </row>
    <row r="707" spans="1:13" s="3" customFormat="1">
      <c r="A707" s="1"/>
      <c r="B707" s="8"/>
      <c r="C707" s="5"/>
      <c r="D707" s="12"/>
      <c r="E707" s="9"/>
      <c r="F707" s="9"/>
      <c r="G707" s="5"/>
      <c r="H707" s="16"/>
      <c r="I707" s="69"/>
      <c r="J707" s="70"/>
      <c r="K707" s="71"/>
      <c r="L707" s="71"/>
      <c r="M707" s="5"/>
    </row>
    <row r="708" spans="1:13" s="3" customFormat="1">
      <c r="A708" s="1"/>
      <c r="B708" s="8"/>
      <c r="C708" s="5"/>
      <c r="D708" s="12"/>
      <c r="E708" s="9"/>
      <c r="F708" s="9"/>
      <c r="G708" s="5"/>
      <c r="H708" s="16"/>
      <c r="I708" s="69"/>
      <c r="J708" s="70"/>
      <c r="K708" s="71"/>
      <c r="L708" s="71"/>
      <c r="M708" s="5"/>
    </row>
    <row r="709" spans="1:13" s="3" customFormat="1">
      <c r="A709" s="1"/>
      <c r="B709" s="8"/>
      <c r="C709" s="5"/>
      <c r="D709" s="12"/>
      <c r="E709" s="9"/>
      <c r="F709" s="9"/>
      <c r="G709" s="5"/>
      <c r="H709" s="16"/>
      <c r="I709" s="69"/>
      <c r="J709" s="70"/>
      <c r="K709" s="71"/>
      <c r="L709" s="71"/>
      <c r="M709" s="5"/>
    </row>
    <row r="710" spans="1:13" s="3" customFormat="1">
      <c r="A710" s="1"/>
      <c r="B710" s="8"/>
      <c r="C710" s="5"/>
      <c r="D710" s="12"/>
      <c r="E710" s="9"/>
      <c r="F710" s="9"/>
      <c r="G710" s="5"/>
      <c r="H710" s="16"/>
      <c r="I710" s="69"/>
      <c r="J710" s="70"/>
      <c r="K710" s="71"/>
      <c r="L710" s="71"/>
      <c r="M710" s="5"/>
    </row>
    <row r="711" spans="1:13" s="3" customFormat="1">
      <c r="A711" s="1"/>
      <c r="B711" s="8"/>
      <c r="C711" s="5"/>
      <c r="D711" s="12"/>
      <c r="E711" s="9"/>
      <c r="F711" s="9"/>
      <c r="G711" s="5"/>
      <c r="H711" s="16"/>
      <c r="I711" s="69"/>
      <c r="J711" s="70"/>
      <c r="K711" s="71"/>
      <c r="L711" s="71"/>
      <c r="M711" s="5"/>
    </row>
    <row r="712" spans="1:13" s="3" customFormat="1">
      <c r="A712" s="1"/>
      <c r="B712" s="8"/>
      <c r="C712" s="5"/>
      <c r="D712" s="12"/>
      <c r="E712" s="9"/>
      <c r="F712" s="9"/>
      <c r="G712" s="5"/>
      <c r="H712" s="16"/>
      <c r="I712" s="69"/>
      <c r="J712" s="70"/>
      <c r="K712" s="71"/>
      <c r="L712" s="71"/>
      <c r="M712" s="5"/>
    </row>
    <row r="713" spans="1:13" s="3" customFormat="1">
      <c r="A713" s="1"/>
      <c r="B713" s="8"/>
      <c r="C713" s="5"/>
      <c r="D713" s="12"/>
      <c r="E713" s="9"/>
      <c r="F713" s="9"/>
      <c r="G713" s="5"/>
      <c r="H713" s="16"/>
      <c r="I713" s="69"/>
      <c r="J713" s="70"/>
      <c r="K713" s="71"/>
      <c r="L713" s="71"/>
      <c r="M713" s="5"/>
    </row>
    <row r="714" spans="1:13" s="3" customFormat="1">
      <c r="A714" s="1"/>
      <c r="B714" s="8"/>
      <c r="C714" s="5"/>
      <c r="D714" s="12"/>
      <c r="E714" s="9"/>
      <c r="F714" s="9"/>
      <c r="G714" s="5"/>
      <c r="H714" s="16"/>
      <c r="I714" s="69"/>
      <c r="J714" s="70"/>
      <c r="K714" s="71"/>
      <c r="L714" s="71"/>
      <c r="M714" s="5"/>
    </row>
    <row r="715" spans="1:13" s="3" customFormat="1">
      <c r="A715" s="1"/>
      <c r="B715" s="8"/>
      <c r="C715" s="5"/>
      <c r="D715" s="12"/>
      <c r="E715" s="9"/>
      <c r="F715" s="9"/>
      <c r="G715" s="5"/>
      <c r="H715" s="16"/>
      <c r="I715" s="69"/>
      <c r="J715" s="70"/>
      <c r="K715" s="71"/>
      <c r="L715" s="71"/>
      <c r="M715" s="5"/>
    </row>
    <row r="716" spans="1:13" s="3" customFormat="1">
      <c r="A716" s="1"/>
      <c r="B716" s="8"/>
      <c r="C716" s="5"/>
      <c r="D716" s="12"/>
      <c r="E716" s="9"/>
      <c r="F716" s="9"/>
      <c r="G716" s="5"/>
      <c r="H716" s="16"/>
      <c r="I716" s="69"/>
      <c r="J716" s="70"/>
      <c r="K716" s="71"/>
      <c r="L716" s="71"/>
      <c r="M716" s="5"/>
    </row>
    <row r="717" spans="1:13" s="3" customFormat="1">
      <c r="A717" s="1"/>
      <c r="B717" s="8"/>
      <c r="C717" s="5"/>
      <c r="D717" s="12"/>
      <c r="E717" s="9"/>
      <c r="F717" s="9"/>
      <c r="G717" s="5"/>
      <c r="H717" s="16"/>
      <c r="I717" s="69"/>
      <c r="J717" s="70"/>
      <c r="K717" s="71"/>
      <c r="L717" s="71"/>
      <c r="M717" s="5"/>
    </row>
    <row r="718" spans="1:13" s="3" customFormat="1">
      <c r="A718" s="1"/>
      <c r="B718" s="8"/>
      <c r="C718" s="5"/>
      <c r="D718" s="12"/>
      <c r="E718" s="9"/>
      <c r="F718" s="9"/>
      <c r="G718" s="5"/>
      <c r="H718" s="16"/>
      <c r="I718" s="69"/>
      <c r="J718" s="70"/>
      <c r="K718" s="71"/>
      <c r="L718" s="71"/>
      <c r="M718" s="5"/>
    </row>
    <row r="719" spans="1:13" s="3" customFormat="1">
      <c r="A719" s="1"/>
      <c r="B719" s="8"/>
      <c r="C719" s="5"/>
      <c r="D719" s="12"/>
      <c r="E719" s="9"/>
      <c r="F719" s="9"/>
      <c r="G719" s="5"/>
      <c r="H719" s="16"/>
      <c r="I719" s="69"/>
      <c r="J719" s="70"/>
      <c r="K719" s="71"/>
      <c r="L719" s="71"/>
      <c r="M719" s="5"/>
    </row>
    <row r="720" spans="1:13" s="3" customFormat="1">
      <c r="A720" s="1"/>
      <c r="B720" s="8"/>
      <c r="C720" s="5"/>
      <c r="D720" s="12"/>
      <c r="E720" s="9"/>
      <c r="F720" s="9"/>
      <c r="G720" s="5"/>
      <c r="H720" s="16"/>
      <c r="I720" s="69"/>
      <c r="J720" s="70"/>
      <c r="K720" s="71"/>
      <c r="L720" s="71"/>
      <c r="M720" s="5"/>
    </row>
    <row r="721" spans="1:13" s="3" customFormat="1">
      <c r="A721" s="1"/>
      <c r="B721" s="8"/>
      <c r="C721" s="5"/>
      <c r="D721" s="12"/>
      <c r="E721" s="9"/>
      <c r="F721" s="9"/>
      <c r="G721" s="5"/>
      <c r="H721" s="16"/>
      <c r="I721" s="69"/>
      <c r="J721" s="70"/>
      <c r="K721" s="71"/>
      <c r="L721" s="71"/>
      <c r="M721" s="5"/>
    </row>
    <row r="722" spans="1:13" s="3" customFormat="1">
      <c r="A722" s="1"/>
      <c r="B722" s="8"/>
      <c r="C722" s="5"/>
      <c r="D722" s="12"/>
      <c r="E722" s="9"/>
      <c r="F722" s="9"/>
      <c r="G722" s="5"/>
      <c r="H722" s="16"/>
      <c r="I722" s="69"/>
      <c r="J722" s="70"/>
      <c r="K722" s="71"/>
      <c r="L722" s="71"/>
      <c r="M722" s="5"/>
    </row>
    <row r="723" spans="1:13" s="3" customFormat="1">
      <c r="A723" s="1"/>
      <c r="B723" s="8"/>
      <c r="C723" s="5"/>
      <c r="D723" s="12"/>
      <c r="E723" s="9"/>
      <c r="F723" s="9"/>
      <c r="G723" s="5"/>
      <c r="H723" s="16"/>
      <c r="I723" s="69"/>
      <c r="J723" s="70"/>
      <c r="K723" s="71"/>
      <c r="L723" s="71"/>
      <c r="M723" s="5"/>
    </row>
    <row r="724" spans="1:13" s="3" customFormat="1">
      <c r="A724" s="1"/>
      <c r="B724" s="8"/>
      <c r="C724" s="5"/>
      <c r="D724" s="12"/>
      <c r="E724" s="9"/>
      <c r="F724" s="9"/>
      <c r="G724" s="5"/>
      <c r="H724" s="16"/>
      <c r="I724" s="69"/>
      <c r="J724" s="70"/>
      <c r="K724" s="71"/>
      <c r="L724" s="71"/>
      <c r="M724" s="5"/>
    </row>
    <row r="725" spans="1:13" s="3" customFormat="1">
      <c r="A725" s="1"/>
      <c r="B725" s="8"/>
      <c r="C725" s="5"/>
      <c r="D725" s="12"/>
      <c r="E725" s="9"/>
      <c r="F725" s="9"/>
      <c r="G725" s="5"/>
      <c r="H725" s="16"/>
      <c r="I725" s="69"/>
      <c r="J725" s="70"/>
      <c r="K725" s="71"/>
      <c r="L725" s="71"/>
      <c r="M725" s="5"/>
    </row>
    <row r="726" spans="1:13" s="3" customFormat="1">
      <c r="A726" s="1"/>
      <c r="B726" s="8"/>
      <c r="C726" s="5"/>
      <c r="D726" s="12"/>
      <c r="E726" s="9"/>
      <c r="F726" s="9"/>
      <c r="G726" s="5"/>
      <c r="H726" s="16"/>
      <c r="I726" s="69"/>
      <c r="J726" s="70"/>
      <c r="K726" s="71"/>
      <c r="L726" s="71"/>
      <c r="M726" s="5"/>
    </row>
    <row r="727" spans="1:13" s="3" customFormat="1">
      <c r="A727" s="1"/>
      <c r="B727" s="8"/>
      <c r="C727" s="5"/>
      <c r="D727" s="12"/>
      <c r="E727" s="9"/>
      <c r="F727" s="9"/>
      <c r="G727" s="5"/>
      <c r="H727" s="16"/>
      <c r="I727" s="69"/>
      <c r="J727" s="70"/>
      <c r="K727" s="71"/>
      <c r="L727" s="71"/>
      <c r="M727" s="5"/>
    </row>
    <row r="728" spans="1:13" s="3" customFormat="1">
      <c r="A728" s="1"/>
      <c r="B728" s="8"/>
      <c r="C728" s="5"/>
      <c r="D728" s="12"/>
      <c r="E728" s="9"/>
      <c r="F728" s="9"/>
      <c r="G728" s="5"/>
      <c r="H728" s="16"/>
      <c r="I728" s="69"/>
      <c r="J728" s="70"/>
      <c r="K728" s="71"/>
      <c r="L728" s="71"/>
      <c r="M728" s="5"/>
    </row>
    <row r="729" spans="1:13" s="3" customFormat="1">
      <c r="A729" s="1"/>
      <c r="B729" s="8"/>
      <c r="C729" s="5"/>
      <c r="D729" s="12"/>
      <c r="E729" s="9"/>
      <c r="F729" s="9"/>
      <c r="G729" s="5"/>
      <c r="H729" s="16"/>
      <c r="I729" s="69"/>
      <c r="J729" s="70"/>
      <c r="K729" s="71"/>
      <c r="L729" s="71"/>
      <c r="M729" s="5"/>
    </row>
    <row r="730" spans="1:13" s="3" customFormat="1">
      <c r="A730" s="1"/>
      <c r="B730" s="8"/>
      <c r="C730" s="5"/>
      <c r="D730" s="12"/>
      <c r="E730" s="9"/>
      <c r="F730" s="9"/>
      <c r="G730" s="5"/>
      <c r="H730" s="16"/>
      <c r="I730" s="69"/>
      <c r="J730" s="70"/>
      <c r="K730" s="71"/>
      <c r="L730" s="71"/>
      <c r="M730" s="5"/>
    </row>
    <row r="731" spans="1:13" s="3" customFormat="1">
      <c r="A731" s="1"/>
      <c r="B731" s="8"/>
      <c r="C731" s="5"/>
      <c r="D731" s="12"/>
      <c r="E731" s="9"/>
      <c r="F731" s="9"/>
      <c r="G731" s="5"/>
      <c r="H731" s="16"/>
      <c r="I731" s="69"/>
      <c r="J731" s="70"/>
      <c r="K731" s="71"/>
      <c r="L731" s="71"/>
      <c r="M731" s="5"/>
    </row>
    <row r="732" spans="1:13" s="3" customFormat="1">
      <c r="A732" s="1"/>
      <c r="B732" s="8"/>
      <c r="C732" s="5"/>
      <c r="D732" s="12"/>
      <c r="E732" s="9"/>
      <c r="F732" s="9"/>
      <c r="G732" s="5"/>
      <c r="H732" s="16"/>
      <c r="I732" s="69"/>
      <c r="J732" s="70"/>
      <c r="K732" s="71"/>
      <c r="L732" s="71"/>
      <c r="M732" s="5"/>
    </row>
    <row r="733" spans="1:13" s="3" customFormat="1">
      <c r="A733" s="1"/>
      <c r="B733" s="8"/>
      <c r="C733" s="5"/>
      <c r="D733" s="12"/>
      <c r="E733" s="9"/>
      <c r="F733" s="9"/>
      <c r="G733" s="5"/>
      <c r="H733" s="16"/>
      <c r="I733" s="69"/>
      <c r="J733" s="70"/>
      <c r="K733" s="71"/>
      <c r="L733" s="71"/>
      <c r="M733" s="5"/>
    </row>
    <row r="734" spans="1:13" s="3" customFormat="1">
      <c r="A734" s="1"/>
      <c r="B734" s="8"/>
      <c r="C734" s="5"/>
      <c r="D734" s="12"/>
      <c r="E734" s="9"/>
      <c r="F734" s="9"/>
      <c r="G734" s="5"/>
      <c r="H734" s="16"/>
      <c r="I734" s="69"/>
      <c r="J734" s="70"/>
      <c r="K734" s="71"/>
      <c r="L734" s="71"/>
      <c r="M734" s="5"/>
    </row>
    <row r="735" spans="1:13" s="3" customFormat="1">
      <c r="A735" s="1"/>
      <c r="B735" s="8"/>
      <c r="C735" s="5"/>
      <c r="D735" s="12"/>
      <c r="E735" s="9"/>
      <c r="F735" s="9"/>
      <c r="G735" s="5"/>
      <c r="H735" s="16"/>
      <c r="I735" s="69"/>
      <c r="J735" s="70"/>
      <c r="K735" s="71"/>
      <c r="L735" s="71"/>
      <c r="M735" s="5"/>
    </row>
    <row r="736" spans="1:13" s="3" customFormat="1">
      <c r="A736" s="1"/>
      <c r="B736" s="8"/>
      <c r="C736" s="5"/>
      <c r="D736" s="12"/>
      <c r="E736" s="9"/>
      <c r="F736" s="9"/>
      <c r="G736" s="5"/>
      <c r="H736" s="16"/>
      <c r="I736" s="69"/>
      <c r="J736" s="70"/>
      <c r="K736" s="71"/>
      <c r="L736" s="71"/>
      <c r="M736" s="5"/>
    </row>
    <row r="737" spans="1:13" s="3" customFormat="1">
      <c r="A737" s="1"/>
      <c r="B737" s="8"/>
      <c r="C737" s="5"/>
      <c r="D737" s="12"/>
      <c r="E737" s="9"/>
      <c r="F737" s="9"/>
      <c r="G737" s="5"/>
      <c r="H737" s="16"/>
      <c r="I737" s="69"/>
      <c r="J737" s="70"/>
      <c r="K737" s="71"/>
      <c r="L737" s="71"/>
      <c r="M737" s="5"/>
    </row>
    <row r="738" spans="1:13" s="3" customFormat="1">
      <c r="A738" s="1"/>
      <c r="B738" s="8"/>
      <c r="C738" s="5"/>
      <c r="D738" s="12"/>
      <c r="E738" s="9"/>
      <c r="F738" s="9"/>
      <c r="G738" s="5"/>
      <c r="H738" s="16"/>
      <c r="I738" s="69"/>
      <c r="J738" s="70"/>
      <c r="K738" s="71"/>
      <c r="L738" s="71"/>
      <c r="M738" s="5"/>
    </row>
    <row r="739" spans="1:13" s="3" customFormat="1">
      <c r="A739" s="1"/>
      <c r="B739" s="8"/>
      <c r="C739" s="5"/>
      <c r="D739" s="12"/>
      <c r="E739" s="9"/>
      <c r="F739" s="9"/>
      <c r="G739" s="5"/>
      <c r="H739" s="16"/>
      <c r="I739" s="69"/>
      <c r="J739" s="70"/>
      <c r="K739" s="71"/>
      <c r="L739" s="71"/>
      <c r="M739" s="5"/>
    </row>
    <row r="740" spans="1:13" s="3" customFormat="1">
      <c r="A740" s="1"/>
      <c r="B740" s="8"/>
      <c r="C740" s="5"/>
      <c r="D740" s="12"/>
      <c r="E740" s="9"/>
      <c r="F740" s="9"/>
      <c r="G740" s="5"/>
      <c r="H740" s="16"/>
      <c r="I740" s="69"/>
      <c r="J740" s="70"/>
      <c r="K740" s="71"/>
      <c r="L740" s="71"/>
      <c r="M740" s="5"/>
    </row>
    <row r="741" spans="1:13" s="3" customFormat="1">
      <c r="A741" s="1"/>
      <c r="B741" s="8"/>
      <c r="C741" s="5"/>
      <c r="D741" s="12"/>
      <c r="E741" s="9"/>
      <c r="F741" s="9"/>
      <c r="G741" s="5"/>
      <c r="H741" s="16"/>
      <c r="I741" s="69"/>
      <c r="J741" s="70"/>
      <c r="K741" s="71"/>
      <c r="L741" s="71"/>
      <c r="M741" s="5"/>
    </row>
    <row r="742" spans="1:13" s="3" customFormat="1">
      <c r="A742" s="1"/>
      <c r="B742" s="8"/>
      <c r="C742" s="5"/>
      <c r="D742" s="12"/>
      <c r="E742" s="9"/>
      <c r="F742" s="9"/>
      <c r="G742" s="5"/>
      <c r="H742" s="16"/>
      <c r="I742" s="69"/>
      <c r="J742" s="70"/>
      <c r="K742" s="71"/>
      <c r="L742" s="71"/>
      <c r="M742" s="5"/>
    </row>
    <row r="743" spans="1:13" s="3" customFormat="1">
      <c r="A743" s="1"/>
      <c r="B743" s="8"/>
      <c r="C743" s="5"/>
      <c r="D743" s="12"/>
      <c r="E743" s="9"/>
      <c r="F743" s="9"/>
      <c r="G743" s="5"/>
      <c r="H743" s="16"/>
      <c r="I743" s="69"/>
      <c r="J743" s="70"/>
      <c r="K743" s="71"/>
      <c r="L743" s="71"/>
      <c r="M743" s="5"/>
    </row>
    <row r="744" spans="1:13" s="3" customFormat="1">
      <c r="A744" s="1"/>
      <c r="B744" s="8"/>
      <c r="C744" s="5"/>
      <c r="D744" s="12"/>
      <c r="E744" s="9"/>
      <c r="F744" s="9"/>
      <c r="G744" s="5"/>
      <c r="H744" s="16"/>
      <c r="I744" s="69"/>
      <c r="J744" s="70"/>
      <c r="K744" s="71"/>
      <c r="L744" s="71"/>
      <c r="M744" s="5"/>
    </row>
    <row r="745" spans="1:13" s="3" customFormat="1">
      <c r="A745" s="1"/>
      <c r="B745" s="8"/>
      <c r="C745" s="5"/>
      <c r="D745" s="12"/>
      <c r="E745" s="9"/>
      <c r="F745" s="9"/>
      <c r="G745" s="5"/>
      <c r="H745" s="16"/>
      <c r="I745" s="69"/>
      <c r="J745" s="70"/>
      <c r="K745" s="71"/>
      <c r="L745" s="71"/>
      <c r="M745" s="5"/>
    </row>
    <row r="746" spans="1:13" s="3" customFormat="1">
      <c r="A746" s="1"/>
      <c r="B746" s="8"/>
      <c r="C746" s="5"/>
      <c r="D746" s="12"/>
      <c r="E746" s="9"/>
      <c r="F746" s="9"/>
      <c r="G746" s="5"/>
      <c r="H746" s="16"/>
      <c r="I746" s="69"/>
      <c r="J746" s="70"/>
      <c r="K746" s="71"/>
      <c r="L746" s="71"/>
      <c r="M746" s="5"/>
    </row>
    <row r="747" spans="1:13" s="3" customFormat="1">
      <c r="A747" s="1"/>
      <c r="B747" s="8"/>
      <c r="C747" s="5"/>
      <c r="D747" s="12"/>
      <c r="E747" s="9"/>
      <c r="F747" s="9"/>
      <c r="G747" s="5"/>
      <c r="H747" s="16"/>
      <c r="I747" s="69"/>
      <c r="J747" s="70"/>
      <c r="K747" s="71"/>
      <c r="L747" s="71"/>
      <c r="M747" s="5"/>
    </row>
    <row r="748" spans="1:13" s="3" customFormat="1">
      <c r="A748" s="1"/>
      <c r="B748" s="8"/>
      <c r="C748" s="5"/>
      <c r="D748" s="12"/>
      <c r="E748" s="9"/>
      <c r="F748" s="9"/>
      <c r="G748" s="5"/>
      <c r="H748" s="16"/>
      <c r="I748" s="69"/>
      <c r="J748" s="70"/>
      <c r="K748" s="71"/>
      <c r="L748" s="71"/>
      <c r="M748" s="5"/>
    </row>
    <row r="749" spans="1:13" s="3" customFormat="1">
      <c r="A749" s="1"/>
      <c r="B749" s="8"/>
      <c r="C749" s="5"/>
      <c r="D749" s="12"/>
      <c r="E749" s="9"/>
      <c r="F749" s="9"/>
      <c r="G749" s="5"/>
      <c r="H749" s="16"/>
      <c r="I749" s="69"/>
      <c r="J749" s="70"/>
      <c r="K749" s="71"/>
      <c r="L749" s="71"/>
      <c r="M749" s="5"/>
    </row>
    <row r="750" spans="1:13" s="3" customFormat="1">
      <c r="A750" s="1"/>
      <c r="B750" s="8"/>
      <c r="C750" s="5"/>
      <c r="D750" s="12"/>
      <c r="E750" s="9"/>
      <c r="F750" s="9"/>
      <c r="G750" s="5"/>
      <c r="H750" s="16"/>
      <c r="I750" s="69"/>
      <c r="J750" s="70"/>
      <c r="K750" s="71"/>
      <c r="L750" s="71"/>
      <c r="M750" s="5"/>
    </row>
    <row r="751" spans="1:13" s="3" customFormat="1">
      <c r="A751" s="1"/>
      <c r="B751" s="8"/>
      <c r="C751" s="5"/>
      <c r="D751" s="12"/>
      <c r="E751" s="9"/>
      <c r="F751" s="9"/>
      <c r="G751" s="5"/>
      <c r="H751" s="16"/>
      <c r="I751" s="69"/>
      <c r="J751" s="70"/>
      <c r="K751" s="71"/>
      <c r="L751" s="71"/>
      <c r="M751" s="5"/>
    </row>
    <row r="752" spans="1:13" s="3" customFormat="1">
      <c r="A752" s="1"/>
      <c r="B752" s="8"/>
      <c r="C752" s="5"/>
      <c r="D752" s="12"/>
      <c r="E752" s="9"/>
      <c r="F752" s="9"/>
      <c r="G752" s="5"/>
      <c r="H752" s="16"/>
      <c r="I752" s="69"/>
      <c r="J752" s="70"/>
      <c r="K752" s="71"/>
      <c r="L752" s="71"/>
      <c r="M752" s="5"/>
    </row>
    <row r="753" spans="1:13" s="3" customFormat="1">
      <c r="A753" s="1"/>
      <c r="B753" s="8"/>
      <c r="C753" s="5"/>
      <c r="D753" s="12"/>
      <c r="E753" s="9"/>
      <c r="F753" s="9"/>
      <c r="G753" s="5"/>
      <c r="H753" s="16"/>
      <c r="I753" s="69"/>
      <c r="J753" s="70"/>
      <c r="K753" s="71"/>
      <c r="L753" s="71"/>
      <c r="M753" s="5"/>
    </row>
    <row r="754" spans="1:13" s="3" customFormat="1">
      <c r="A754" s="1"/>
      <c r="B754" s="8"/>
      <c r="C754" s="5"/>
      <c r="D754" s="12"/>
      <c r="E754" s="9"/>
      <c r="F754" s="9"/>
      <c r="G754" s="5"/>
      <c r="H754" s="16"/>
      <c r="I754" s="69"/>
      <c r="J754" s="70"/>
      <c r="K754" s="71"/>
      <c r="L754" s="71"/>
      <c r="M754" s="5"/>
    </row>
    <row r="755" spans="1:13" s="3" customFormat="1">
      <c r="A755" s="1"/>
      <c r="B755" s="8"/>
      <c r="C755" s="5"/>
      <c r="D755" s="12"/>
      <c r="E755" s="9"/>
      <c r="F755" s="9"/>
      <c r="G755" s="5"/>
      <c r="H755" s="16"/>
      <c r="I755" s="69"/>
      <c r="J755" s="70"/>
      <c r="K755" s="71"/>
      <c r="L755" s="71"/>
      <c r="M755" s="5"/>
    </row>
    <row r="756" spans="1:13" s="3" customFormat="1">
      <c r="A756" s="1"/>
      <c r="B756" s="8"/>
      <c r="C756" s="5"/>
      <c r="D756" s="12"/>
      <c r="E756" s="9"/>
      <c r="F756" s="9"/>
      <c r="G756" s="5"/>
      <c r="H756" s="16"/>
      <c r="I756" s="69"/>
      <c r="J756" s="70"/>
      <c r="K756" s="71"/>
      <c r="L756" s="71"/>
      <c r="M756" s="5"/>
    </row>
    <row r="757" spans="1:13" s="3" customFormat="1">
      <c r="A757" s="1"/>
      <c r="B757" s="8"/>
      <c r="C757" s="5"/>
      <c r="D757" s="12"/>
      <c r="E757" s="9"/>
      <c r="F757" s="9"/>
      <c r="G757" s="5"/>
      <c r="H757" s="16"/>
      <c r="I757" s="69"/>
      <c r="J757" s="70"/>
      <c r="K757" s="71"/>
      <c r="L757" s="71"/>
      <c r="M757" s="5"/>
    </row>
    <row r="758" spans="1:13" s="3" customFormat="1">
      <c r="A758" s="1"/>
      <c r="B758" s="8"/>
      <c r="C758" s="5"/>
      <c r="D758" s="12"/>
      <c r="E758" s="9"/>
      <c r="F758" s="9"/>
      <c r="G758" s="5"/>
      <c r="H758" s="16"/>
      <c r="I758" s="69"/>
      <c r="J758" s="70"/>
      <c r="K758" s="71"/>
      <c r="L758" s="71"/>
      <c r="M758" s="5"/>
    </row>
    <row r="759" spans="1:13" s="3" customFormat="1">
      <c r="A759" s="1"/>
      <c r="B759" s="8"/>
      <c r="C759" s="5"/>
      <c r="D759" s="12"/>
      <c r="E759" s="9"/>
      <c r="F759" s="9"/>
      <c r="G759" s="5"/>
      <c r="H759" s="16"/>
      <c r="I759" s="69"/>
      <c r="J759" s="70"/>
      <c r="K759" s="71"/>
      <c r="L759" s="71"/>
      <c r="M759" s="5"/>
    </row>
    <row r="760" spans="1:13" s="3" customFormat="1">
      <c r="A760" s="1"/>
      <c r="B760" s="8"/>
      <c r="C760" s="5"/>
      <c r="D760" s="12"/>
      <c r="E760" s="9"/>
      <c r="F760" s="9"/>
      <c r="G760" s="5"/>
      <c r="H760" s="16"/>
      <c r="I760" s="69"/>
      <c r="J760" s="70"/>
      <c r="K760" s="71"/>
      <c r="L760" s="71"/>
      <c r="M760" s="5"/>
    </row>
    <row r="761" spans="1:13" s="3" customFormat="1">
      <c r="A761" s="1"/>
      <c r="B761" s="8"/>
      <c r="C761" s="5"/>
      <c r="D761" s="12"/>
      <c r="E761" s="9"/>
      <c r="F761" s="9"/>
      <c r="G761" s="5"/>
      <c r="H761" s="16"/>
      <c r="I761" s="69"/>
      <c r="J761" s="70"/>
      <c r="K761" s="71"/>
      <c r="L761" s="71"/>
      <c r="M761" s="5"/>
    </row>
    <row r="762" spans="1:13" s="3" customFormat="1">
      <c r="A762" s="1"/>
      <c r="B762" s="8"/>
      <c r="C762" s="5"/>
      <c r="D762" s="12"/>
      <c r="E762" s="9"/>
      <c r="F762" s="9"/>
      <c r="G762" s="5"/>
      <c r="H762" s="16"/>
      <c r="I762" s="69"/>
      <c r="J762" s="70"/>
      <c r="K762" s="71"/>
      <c r="L762" s="71"/>
      <c r="M762" s="5"/>
    </row>
    <row r="763" spans="1:13" s="3" customFormat="1">
      <c r="A763" s="1"/>
      <c r="B763" s="8"/>
      <c r="C763" s="5"/>
      <c r="D763" s="12"/>
      <c r="E763" s="9"/>
      <c r="F763" s="9"/>
      <c r="G763" s="5"/>
      <c r="H763" s="16"/>
      <c r="I763" s="69"/>
      <c r="J763" s="70"/>
      <c r="K763" s="71"/>
      <c r="L763" s="71"/>
      <c r="M763" s="5"/>
    </row>
    <row r="764" spans="1:13" s="3" customFormat="1">
      <c r="A764" s="1"/>
      <c r="B764" s="8"/>
      <c r="C764" s="5"/>
      <c r="D764" s="12"/>
      <c r="E764" s="9"/>
      <c r="F764" s="9"/>
      <c r="G764" s="5"/>
      <c r="H764" s="16"/>
      <c r="I764" s="69"/>
      <c r="J764" s="70"/>
      <c r="K764" s="71"/>
      <c r="L764" s="71"/>
      <c r="M764" s="5"/>
    </row>
    <row r="765" spans="1:13" s="3" customFormat="1">
      <c r="A765" s="1"/>
      <c r="B765" s="8"/>
      <c r="C765" s="5"/>
      <c r="D765" s="12"/>
      <c r="E765" s="9"/>
      <c r="F765" s="9"/>
      <c r="G765" s="5"/>
      <c r="H765" s="16"/>
      <c r="I765" s="69"/>
      <c r="J765" s="70"/>
      <c r="K765" s="71"/>
      <c r="L765" s="71"/>
      <c r="M765" s="5"/>
    </row>
    <row r="766" spans="1:13" s="3" customFormat="1">
      <c r="A766" s="1"/>
      <c r="B766" s="8"/>
      <c r="C766" s="5"/>
      <c r="D766" s="12"/>
      <c r="E766" s="9"/>
      <c r="F766" s="9"/>
      <c r="G766" s="5"/>
      <c r="H766" s="16"/>
      <c r="I766" s="69"/>
      <c r="J766" s="70"/>
      <c r="K766" s="71"/>
      <c r="L766" s="71"/>
      <c r="M766" s="5"/>
    </row>
    <row r="767" spans="1:13" s="3" customFormat="1">
      <c r="A767" s="1"/>
      <c r="B767" s="8"/>
      <c r="C767" s="5"/>
      <c r="D767" s="12"/>
      <c r="E767" s="9"/>
      <c r="F767" s="9"/>
      <c r="G767" s="5"/>
      <c r="H767" s="16"/>
      <c r="I767" s="69"/>
      <c r="J767" s="70"/>
      <c r="K767" s="71"/>
      <c r="L767" s="71"/>
      <c r="M767" s="5"/>
    </row>
    <row r="768" spans="1:13" s="3" customFormat="1">
      <c r="A768" s="1"/>
      <c r="B768" s="8"/>
      <c r="C768" s="5"/>
      <c r="D768" s="12"/>
      <c r="E768" s="9"/>
      <c r="F768" s="9"/>
      <c r="G768" s="5"/>
      <c r="H768" s="16"/>
      <c r="I768" s="69"/>
      <c r="J768" s="70"/>
      <c r="K768" s="71"/>
      <c r="L768" s="71"/>
      <c r="M768" s="5"/>
    </row>
    <row r="769" spans="1:13" s="3" customFormat="1">
      <c r="A769" s="1"/>
      <c r="B769" s="8"/>
      <c r="C769" s="5"/>
      <c r="D769" s="12"/>
      <c r="E769" s="9"/>
      <c r="F769" s="9"/>
      <c r="G769" s="5"/>
      <c r="H769" s="16"/>
      <c r="I769" s="69"/>
      <c r="J769" s="70"/>
      <c r="K769" s="71"/>
      <c r="L769" s="71"/>
      <c r="M769" s="5"/>
    </row>
    <row r="770" spans="1:13" s="3" customFormat="1">
      <c r="A770" s="1"/>
      <c r="B770" s="8"/>
      <c r="C770" s="5"/>
      <c r="D770" s="12"/>
      <c r="E770" s="9"/>
      <c r="F770" s="9"/>
      <c r="G770" s="5"/>
      <c r="H770" s="16"/>
      <c r="I770" s="69"/>
      <c r="J770" s="70"/>
      <c r="K770" s="71"/>
      <c r="L770" s="71"/>
      <c r="M770" s="5"/>
    </row>
    <row r="771" spans="1:13" s="3" customFormat="1">
      <c r="A771" s="1"/>
      <c r="B771" s="8"/>
      <c r="C771" s="5"/>
      <c r="D771" s="12"/>
      <c r="E771" s="9"/>
      <c r="F771" s="9"/>
      <c r="G771" s="5"/>
      <c r="H771" s="16"/>
      <c r="I771" s="69"/>
      <c r="J771" s="70"/>
      <c r="K771" s="71"/>
      <c r="L771" s="71"/>
      <c r="M771" s="5"/>
    </row>
    <row r="772" spans="1:13" s="3" customFormat="1">
      <c r="A772" s="1"/>
      <c r="B772" s="8"/>
      <c r="C772" s="5"/>
      <c r="D772" s="12"/>
      <c r="E772" s="9"/>
      <c r="F772" s="9"/>
      <c r="G772" s="5"/>
      <c r="H772" s="16"/>
      <c r="I772" s="69"/>
      <c r="J772" s="70"/>
      <c r="K772" s="71"/>
      <c r="L772" s="71"/>
      <c r="M772" s="5"/>
    </row>
    <row r="773" spans="1:13" s="3" customFormat="1">
      <c r="A773" s="1"/>
      <c r="B773" s="8"/>
      <c r="C773" s="5"/>
      <c r="D773" s="12"/>
      <c r="E773" s="9"/>
      <c r="F773" s="9"/>
      <c r="G773" s="5"/>
      <c r="H773" s="16"/>
      <c r="I773" s="69"/>
      <c r="J773" s="70"/>
      <c r="K773" s="71"/>
      <c r="L773" s="71"/>
      <c r="M773" s="5"/>
    </row>
    <row r="774" spans="1:13" s="3" customFormat="1">
      <c r="A774" s="1"/>
      <c r="B774" s="8"/>
      <c r="C774" s="5"/>
      <c r="D774" s="12"/>
      <c r="E774" s="9"/>
      <c r="F774" s="9"/>
      <c r="G774" s="5"/>
      <c r="H774" s="16"/>
      <c r="I774" s="69"/>
      <c r="J774" s="70"/>
      <c r="K774" s="71"/>
      <c r="L774" s="71"/>
      <c r="M774" s="5"/>
    </row>
    <row r="775" spans="1:13" s="3" customFormat="1">
      <c r="A775" s="1"/>
      <c r="B775" s="8"/>
      <c r="C775" s="5"/>
      <c r="D775" s="12"/>
      <c r="E775" s="9"/>
      <c r="F775" s="9"/>
      <c r="G775" s="5"/>
      <c r="H775" s="16"/>
      <c r="I775" s="69"/>
      <c r="J775" s="70"/>
      <c r="K775" s="71"/>
      <c r="L775" s="71"/>
      <c r="M775" s="5"/>
    </row>
    <row r="776" spans="1:13" s="3" customFormat="1">
      <c r="A776" s="1"/>
      <c r="B776" s="8"/>
      <c r="C776" s="5"/>
      <c r="D776" s="12"/>
      <c r="E776" s="9"/>
      <c r="F776" s="9"/>
      <c r="G776" s="5"/>
      <c r="H776" s="16"/>
      <c r="I776" s="69"/>
      <c r="J776" s="70"/>
      <c r="K776" s="71"/>
      <c r="L776" s="71"/>
      <c r="M776" s="5"/>
    </row>
    <row r="777" spans="1:13" s="3" customFormat="1">
      <c r="A777" s="1"/>
      <c r="B777" s="8"/>
      <c r="C777" s="5"/>
      <c r="D777" s="12"/>
      <c r="E777" s="9"/>
      <c r="F777" s="9"/>
      <c r="G777" s="5"/>
      <c r="H777" s="16"/>
      <c r="I777" s="69"/>
      <c r="J777" s="70"/>
      <c r="K777" s="71"/>
      <c r="L777" s="71"/>
      <c r="M777" s="5"/>
    </row>
    <row r="778" spans="1:13" s="3" customFormat="1">
      <c r="A778" s="1"/>
      <c r="B778" s="8"/>
      <c r="C778" s="5"/>
      <c r="D778" s="12"/>
      <c r="E778" s="9"/>
      <c r="F778" s="9"/>
      <c r="G778" s="5"/>
      <c r="H778" s="16"/>
      <c r="I778" s="69"/>
      <c r="J778" s="70"/>
      <c r="K778" s="71"/>
      <c r="L778" s="71"/>
      <c r="M778" s="5"/>
    </row>
    <row r="779" spans="1:13" s="3" customFormat="1">
      <c r="A779" s="1"/>
      <c r="B779" s="8"/>
      <c r="C779" s="5"/>
      <c r="D779" s="12"/>
      <c r="E779" s="9"/>
      <c r="F779" s="9"/>
      <c r="G779" s="5"/>
      <c r="H779" s="16"/>
      <c r="I779" s="69"/>
      <c r="J779" s="70"/>
      <c r="K779" s="71"/>
      <c r="L779" s="71"/>
      <c r="M779" s="5"/>
    </row>
    <row r="780" spans="1:13" s="3" customFormat="1">
      <c r="A780" s="1"/>
      <c r="B780" s="8"/>
      <c r="C780" s="5"/>
      <c r="D780" s="12"/>
      <c r="E780" s="9"/>
      <c r="F780" s="9"/>
      <c r="G780" s="5"/>
      <c r="H780" s="16"/>
      <c r="I780" s="69"/>
      <c r="J780" s="70"/>
      <c r="K780" s="71"/>
      <c r="L780" s="71"/>
      <c r="M780" s="5"/>
    </row>
    <row r="781" spans="1:13" s="3" customFormat="1">
      <c r="A781" s="1"/>
      <c r="B781" s="8"/>
      <c r="C781" s="5"/>
      <c r="D781" s="12"/>
      <c r="E781" s="9"/>
      <c r="F781" s="9"/>
      <c r="G781" s="5"/>
      <c r="H781" s="16"/>
      <c r="I781" s="69"/>
      <c r="J781" s="70"/>
      <c r="K781" s="71"/>
      <c r="L781" s="71"/>
      <c r="M781" s="5"/>
    </row>
    <row r="782" spans="1:13" s="3" customFormat="1">
      <c r="A782" s="1"/>
      <c r="B782" s="8"/>
      <c r="C782" s="5"/>
      <c r="D782" s="12"/>
      <c r="E782" s="9"/>
      <c r="F782" s="9"/>
      <c r="G782" s="5"/>
      <c r="H782" s="16"/>
      <c r="I782" s="69"/>
      <c r="J782" s="70"/>
      <c r="K782" s="71"/>
      <c r="L782" s="71"/>
      <c r="M782" s="5"/>
    </row>
    <row r="783" spans="1:13" s="3" customFormat="1">
      <c r="A783" s="1"/>
      <c r="B783" s="8"/>
      <c r="C783" s="5"/>
      <c r="D783" s="12"/>
      <c r="E783" s="9"/>
      <c r="F783" s="9"/>
      <c r="G783" s="5"/>
      <c r="H783" s="16"/>
      <c r="I783" s="69"/>
      <c r="J783" s="70"/>
      <c r="K783" s="71"/>
      <c r="L783" s="71"/>
      <c r="M783" s="5"/>
    </row>
    <row r="784" spans="1:13" s="3" customFormat="1">
      <c r="A784" s="1"/>
      <c r="B784" s="8"/>
      <c r="C784" s="5"/>
      <c r="D784" s="12"/>
      <c r="E784" s="9"/>
      <c r="F784" s="9"/>
      <c r="G784" s="5"/>
      <c r="H784" s="16"/>
      <c r="I784" s="69"/>
      <c r="J784" s="70"/>
      <c r="K784" s="71"/>
      <c r="L784" s="71"/>
      <c r="M784" s="5"/>
    </row>
    <row r="785" spans="1:13" s="3" customFormat="1">
      <c r="A785" s="1"/>
      <c r="B785" s="8"/>
      <c r="C785" s="5"/>
      <c r="D785" s="12"/>
      <c r="E785" s="9"/>
      <c r="F785" s="9"/>
      <c r="G785" s="5"/>
      <c r="H785" s="16"/>
      <c r="I785" s="69"/>
      <c r="J785" s="70"/>
      <c r="K785" s="71"/>
      <c r="L785" s="71"/>
      <c r="M785" s="5"/>
    </row>
    <row r="786" spans="1:13" s="3" customFormat="1">
      <c r="A786" s="1"/>
      <c r="B786" s="8"/>
      <c r="C786" s="5"/>
      <c r="D786" s="12"/>
      <c r="E786" s="9"/>
      <c r="F786" s="9"/>
      <c r="G786" s="5"/>
      <c r="H786" s="16"/>
      <c r="I786" s="69"/>
      <c r="J786" s="70"/>
      <c r="K786" s="71"/>
      <c r="L786" s="71"/>
      <c r="M786" s="5"/>
    </row>
    <row r="787" spans="1:13" s="3" customFormat="1">
      <c r="A787" s="1"/>
      <c r="B787" s="8"/>
      <c r="C787" s="5"/>
      <c r="D787" s="12"/>
      <c r="E787" s="9"/>
      <c r="F787" s="9"/>
      <c r="G787" s="5"/>
      <c r="H787" s="16"/>
      <c r="I787" s="69"/>
      <c r="J787" s="70"/>
      <c r="K787" s="71"/>
      <c r="L787" s="71"/>
      <c r="M787" s="5"/>
    </row>
    <row r="788" spans="1:13" s="3" customFormat="1">
      <c r="A788" s="1"/>
      <c r="B788" s="8"/>
      <c r="C788" s="5"/>
      <c r="D788" s="12"/>
      <c r="E788" s="9"/>
      <c r="F788" s="9"/>
      <c r="G788" s="5"/>
      <c r="H788" s="16"/>
      <c r="I788" s="69"/>
      <c r="J788" s="70"/>
      <c r="K788" s="71"/>
      <c r="L788" s="71"/>
      <c r="M788" s="5"/>
    </row>
    <row r="789" spans="1:13" s="3" customFormat="1">
      <c r="A789" s="1"/>
      <c r="B789" s="8"/>
      <c r="C789" s="5"/>
      <c r="D789" s="12"/>
      <c r="E789" s="9"/>
      <c r="F789" s="9"/>
      <c r="G789" s="5"/>
      <c r="H789" s="16"/>
      <c r="I789" s="69"/>
      <c r="J789" s="70"/>
      <c r="K789" s="71"/>
      <c r="L789" s="71"/>
      <c r="M789" s="5"/>
    </row>
    <row r="790" spans="1:13" s="3" customFormat="1">
      <c r="A790" s="1"/>
      <c r="B790" s="8"/>
      <c r="C790" s="5"/>
      <c r="D790" s="12"/>
      <c r="E790" s="9"/>
      <c r="F790" s="9"/>
      <c r="G790" s="5"/>
      <c r="H790" s="16"/>
      <c r="I790" s="69"/>
      <c r="J790" s="70"/>
      <c r="K790" s="71"/>
      <c r="L790" s="71"/>
      <c r="M790" s="5"/>
    </row>
    <row r="791" spans="1:13" s="3" customFormat="1">
      <c r="A791" s="1"/>
      <c r="B791" s="8"/>
      <c r="C791" s="5"/>
      <c r="D791" s="12"/>
      <c r="E791" s="9"/>
      <c r="F791" s="9"/>
      <c r="G791" s="5"/>
      <c r="H791" s="16"/>
      <c r="I791" s="69"/>
      <c r="J791" s="70"/>
      <c r="K791" s="71"/>
      <c r="L791" s="71"/>
      <c r="M791" s="5"/>
    </row>
    <row r="792" spans="1:13" s="3" customFormat="1">
      <c r="A792" s="1"/>
      <c r="B792" s="8"/>
      <c r="C792" s="5"/>
      <c r="D792" s="12"/>
      <c r="E792" s="9"/>
      <c r="F792" s="9"/>
      <c r="G792" s="5"/>
      <c r="H792" s="16"/>
      <c r="I792" s="69"/>
      <c r="J792" s="70"/>
      <c r="K792" s="71"/>
      <c r="L792" s="71"/>
      <c r="M792" s="5"/>
    </row>
    <row r="793" spans="1:13" s="3" customFormat="1">
      <c r="A793" s="1"/>
      <c r="B793" s="8"/>
      <c r="C793" s="5"/>
      <c r="D793" s="12"/>
      <c r="E793" s="9"/>
      <c r="F793" s="9"/>
      <c r="G793" s="5"/>
      <c r="H793" s="16"/>
      <c r="I793" s="69"/>
      <c r="J793" s="70"/>
      <c r="K793" s="71"/>
      <c r="L793" s="71"/>
      <c r="M793" s="5"/>
    </row>
    <row r="794" spans="1:13" s="3" customFormat="1">
      <c r="A794" s="1"/>
      <c r="B794" s="8"/>
      <c r="C794" s="5"/>
      <c r="D794" s="12"/>
      <c r="E794" s="9"/>
      <c r="F794" s="9"/>
      <c r="G794" s="5"/>
      <c r="H794" s="16"/>
      <c r="I794" s="69"/>
      <c r="J794" s="70"/>
      <c r="K794" s="71"/>
      <c r="L794" s="71"/>
      <c r="M794" s="5"/>
    </row>
    <row r="795" spans="1:13" s="3" customFormat="1">
      <c r="A795" s="1"/>
      <c r="B795" s="8"/>
      <c r="C795" s="5"/>
      <c r="D795" s="12"/>
      <c r="E795" s="9"/>
      <c r="F795" s="9"/>
      <c r="G795" s="5"/>
      <c r="H795" s="16"/>
      <c r="I795" s="69"/>
      <c r="J795" s="70"/>
      <c r="K795" s="71"/>
      <c r="L795" s="71"/>
      <c r="M795" s="5"/>
    </row>
    <row r="796" spans="1:13" s="3" customFormat="1">
      <c r="A796" s="1"/>
      <c r="B796" s="8"/>
      <c r="C796" s="5"/>
      <c r="D796" s="12"/>
      <c r="E796" s="9"/>
      <c r="F796" s="9"/>
      <c r="G796" s="5"/>
      <c r="H796" s="16"/>
      <c r="I796" s="69"/>
      <c r="J796" s="70"/>
      <c r="K796" s="71"/>
      <c r="L796" s="71"/>
      <c r="M796" s="5"/>
    </row>
    <row r="797" spans="1:13" s="3" customFormat="1">
      <c r="A797" s="1"/>
      <c r="B797" s="8"/>
      <c r="C797" s="5"/>
      <c r="D797" s="12"/>
      <c r="E797" s="9"/>
      <c r="F797" s="9"/>
      <c r="G797" s="5"/>
      <c r="H797" s="16"/>
      <c r="I797" s="69"/>
      <c r="J797" s="70"/>
      <c r="K797" s="71"/>
      <c r="L797" s="71"/>
      <c r="M797" s="5"/>
    </row>
    <row r="798" spans="1:13" s="3" customFormat="1">
      <c r="A798" s="1"/>
      <c r="B798" s="8"/>
      <c r="C798" s="5"/>
      <c r="D798" s="12"/>
      <c r="E798" s="9"/>
      <c r="F798" s="9"/>
      <c r="G798" s="5"/>
      <c r="H798" s="16"/>
      <c r="I798" s="69"/>
      <c r="J798" s="70"/>
      <c r="K798" s="71"/>
      <c r="L798" s="71"/>
      <c r="M798" s="5"/>
    </row>
    <row r="799" spans="1:13" s="3" customFormat="1">
      <c r="A799" s="1"/>
      <c r="B799" s="8"/>
      <c r="C799" s="5"/>
      <c r="D799" s="12"/>
      <c r="E799" s="9"/>
      <c r="F799" s="9"/>
      <c r="G799" s="5"/>
      <c r="H799" s="16"/>
      <c r="I799" s="69"/>
      <c r="J799" s="70"/>
      <c r="K799" s="71"/>
      <c r="L799" s="71"/>
      <c r="M799" s="5"/>
    </row>
    <row r="800" spans="1:13" s="3" customFormat="1">
      <c r="A800" s="1"/>
      <c r="B800" s="8"/>
      <c r="C800" s="5"/>
      <c r="D800" s="12"/>
      <c r="E800" s="9"/>
      <c r="F800" s="9"/>
      <c r="G800" s="5"/>
      <c r="H800" s="16"/>
      <c r="I800" s="69"/>
      <c r="J800" s="70"/>
      <c r="K800" s="71"/>
      <c r="L800" s="71"/>
      <c r="M800" s="5"/>
    </row>
    <row r="801" spans="1:13" s="3" customFormat="1">
      <c r="A801" s="1"/>
      <c r="B801" s="8"/>
      <c r="C801" s="5"/>
      <c r="D801" s="12"/>
      <c r="E801" s="9"/>
      <c r="F801" s="9"/>
      <c r="G801" s="5"/>
      <c r="H801" s="16"/>
      <c r="I801" s="69"/>
      <c r="J801" s="70"/>
      <c r="K801" s="71"/>
      <c r="L801" s="71"/>
      <c r="M801" s="5"/>
    </row>
    <row r="802" spans="1:13" s="3" customFormat="1">
      <c r="A802" s="1"/>
      <c r="B802" s="8"/>
      <c r="C802" s="5"/>
      <c r="D802" s="12"/>
      <c r="E802" s="9"/>
      <c r="F802" s="9"/>
      <c r="G802" s="5"/>
      <c r="H802" s="16"/>
      <c r="I802" s="69"/>
      <c r="J802" s="70"/>
      <c r="K802" s="71"/>
      <c r="L802" s="71"/>
      <c r="M802" s="5"/>
    </row>
    <row r="803" spans="1:13" s="3" customFormat="1">
      <c r="A803" s="1"/>
      <c r="B803" s="8"/>
      <c r="C803" s="5"/>
      <c r="D803" s="12"/>
      <c r="E803" s="9"/>
      <c r="F803" s="9"/>
      <c r="G803" s="5"/>
      <c r="H803" s="16"/>
      <c r="I803" s="69"/>
      <c r="J803" s="70"/>
      <c r="K803" s="71"/>
      <c r="L803" s="71"/>
      <c r="M803" s="5"/>
    </row>
    <row r="804" spans="1:13" s="3" customFormat="1">
      <c r="A804" s="1"/>
      <c r="B804" s="8"/>
      <c r="C804" s="5"/>
      <c r="D804" s="12"/>
      <c r="E804" s="9"/>
      <c r="F804" s="9"/>
      <c r="G804" s="5"/>
      <c r="H804" s="16"/>
      <c r="I804" s="69"/>
      <c r="J804" s="70"/>
      <c r="K804" s="71"/>
      <c r="L804" s="71"/>
      <c r="M804" s="5"/>
    </row>
    <row r="805" spans="1:13" s="3" customFormat="1">
      <c r="A805" s="1"/>
      <c r="B805" s="8"/>
      <c r="C805" s="5"/>
      <c r="D805" s="12"/>
      <c r="E805" s="9"/>
      <c r="F805" s="9"/>
      <c r="G805" s="5"/>
      <c r="H805" s="16"/>
      <c r="I805" s="69"/>
      <c r="J805" s="70"/>
      <c r="K805" s="71"/>
      <c r="L805" s="71"/>
      <c r="M805" s="5"/>
    </row>
    <row r="806" spans="1:13" s="3" customFormat="1">
      <c r="A806" s="1"/>
      <c r="B806" s="8"/>
      <c r="C806" s="5"/>
      <c r="D806" s="12"/>
      <c r="E806" s="9"/>
      <c r="F806" s="9"/>
      <c r="G806" s="5"/>
      <c r="H806" s="16"/>
      <c r="I806" s="69"/>
      <c r="J806" s="70"/>
      <c r="K806" s="71"/>
      <c r="L806" s="71"/>
      <c r="M806" s="5"/>
    </row>
    <row r="807" spans="1:13" s="3" customFormat="1">
      <c r="A807" s="1"/>
      <c r="B807" s="8"/>
      <c r="C807" s="5"/>
      <c r="D807" s="12"/>
      <c r="E807" s="9"/>
      <c r="F807" s="9"/>
      <c r="G807" s="5"/>
      <c r="H807" s="16"/>
      <c r="I807" s="69"/>
      <c r="J807" s="70"/>
      <c r="K807" s="71"/>
      <c r="L807" s="71"/>
      <c r="M807" s="5"/>
    </row>
    <row r="808" spans="1:13" s="3" customFormat="1">
      <c r="A808" s="1"/>
      <c r="B808" s="8"/>
      <c r="C808" s="5"/>
      <c r="D808" s="12"/>
      <c r="E808" s="9"/>
      <c r="F808" s="9"/>
      <c r="G808" s="5"/>
      <c r="H808" s="16"/>
      <c r="I808" s="69"/>
      <c r="J808" s="70"/>
      <c r="K808" s="71"/>
      <c r="L808" s="71"/>
      <c r="M808" s="5"/>
    </row>
    <row r="809" spans="1:13" s="3" customFormat="1">
      <c r="A809" s="1"/>
      <c r="B809" s="8"/>
      <c r="C809" s="5"/>
      <c r="D809" s="12"/>
      <c r="E809" s="9"/>
      <c r="F809" s="9"/>
      <c r="G809" s="5"/>
      <c r="H809" s="16"/>
      <c r="I809" s="69"/>
      <c r="J809" s="70"/>
      <c r="K809" s="71"/>
      <c r="L809" s="71"/>
      <c r="M809" s="5"/>
    </row>
    <row r="810" spans="1:13" s="3" customFormat="1">
      <c r="A810" s="1"/>
      <c r="B810" s="8"/>
      <c r="C810" s="5"/>
      <c r="D810" s="12"/>
      <c r="E810" s="9"/>
      <c r="F810" s="9"/>
      <c r="G810" s="5"/>
      <c r="H810" s="16"/>
      <c r="I810" s="69"/>
      <c r="J810" s="70"/>
      <c r="K810" s="71"/>
      <c r="L810" s="71"/>
      <c r="M810" s="5"/>
    </row>
    <row r="811" spans="1:13" s="3" customFormat="1">
      <c r="A811" s="1"/>
      <c r="B811" s="8"/>
      <c r="C811" s="5"/>
      <c r="D811" s="12"/>
      <c r="E811" s="9"/>
      <c r="F811" s="9"/>
      <c r="G811" s="5"/>
      <c r="H811" s="16"/>
      <c r="I811" s="69"/>
      <c r="J811" s="70"/>
      <c r="K811" s="71"/>
      <c r="L811" s="71"/>
      <c r="M811" s="5"/>
    </row>
    <row r="812" spans="1:13" s="3" customFormat="1">
      <c r="A812" s="1"/>
      <c r="B812" s="8"/>
      <c r="C812" s="5"/>
      <c r="D812" s="12"/>
      <c r="E812" s="9"/>
      <c r="F812" s="9"/>
      <c r="G812" s="5"/>
      <c r="H812" s="16"/>
      <c r="I812" s="69"/>
      <c r="J812" s="70"/>
      <c r="K812" s="71"/>
      <c r="L812" s="71"/>
      <c r="M812" s="5"/>
    </row>
    <row r="813" spans="1:13" s="3" customFormat="1">
      <c r="A813" s="1"/>
      <c r="B813" s="8"/>
      <c r="C813" s="5"/>
      <c r="D813" s="12"/>
      <c r="E813" s="9"/>
      <c r="F813" s="9"/>
      <c r="G813" s="5"/>
      <c r="H813" s="16"/>
      <c r="I813" s="69"/>
      <c r="J813" s="70"/>
      <c r="K813" s="71"/>
      <c r="L813" s="71"/>
      <c r="M813" s="5"/>
    </row>
    <row r="814" spans="1:13" s="3" customFormat="1">
      <c r="A814" s="1"/>
      <c r="B814" s="8"/>
      <c r="C814" s="5"/>
      <c r="D814" s="12"/>
      <c r="E814" s="9"/>
      <c r="F814" s="9"/>
      <c r="G814" s="5"/>
      <c r="H814" s="16"/>
      <c r="I814" s="69"/>
      <c r="J814" s="70"/>
      <c r="K814" s="71"/>
      <c r="L814" s="71"/>
      <c r="M814" s="5"/>
    </row>
    <row r="815" spans="1:13" s="3" customFormat="1">
      <c r="A815" s="1"/>
      <c r="B815" s="8"/>
      <c r="C815" s="5"/>
      <c r="D815" s="12"/>
      <c r="E815" s="9"/>
      <c r="F815" s="9"/>
      <c r="G815" s="5"/>
      <c r="H815" s="16"/>
      <c r="I815" s="69"/>
      <c r="J815" s="70"/>
      <c r="K815" s="71"/>
      <c r="L815" s="71"/>
      <c r="M815" s="5"/>
    </row>
    <row r="816" spans="1:13" s="3" customFormat="1">
      <c r="A816" s="1"/>
      <c r="B816" s="8"/>
      <c r="C816" s="5"/>
      <c r="D816" s="12"/>
      <c r="E816" s="9"/>
      <c r="F816" s="9"/>
      <c r="G816" s="5"/>
      <c r="H816" s="16"/>
      <c r="I816" s="69"/>
      <c r="J816" s="70"/>
      <c r="K816" s="71"/>
      <c r="L816" s="71"/>
      <c r="M816" s="5"/>
    </row>
    <row r="817" spans="1:13" s="3" customFormat="1">
      <c r="A817" s="1"/>
      <c r="B817" s="8"/>
      <c r="C817" s="5"/>
      <c r="D817" s="12"/>
      <c r="E817" s="9"/>
      <c r="F817" s="9"/>
      <c r="G817" s="5"/>
      <c r="H817" s="16"/>
      <c r="I817" s="69"/>
      <c r="J817" s="70"/>
      <c r="K817" s="71"/>
      <c r="L817" s="71"/>
      <c r="M817" s="5"/>
    </row>
    <row r="818" spans="1:13" s="3" customFormat="1">
      <c r="A818" s="1"/>
      <c r="B818" s="8"/>
      <c r="C818" s="5"/>
      <c r="D818" s="12"/>
      <c r="E818" s="9"/>
      <c r="F818" s="9"/>
      <c r="G818" s="5"/>
      <c r="H818" s="16"/>
      <c r="I818" s="69"/>
      <c r="J818" s="70"/>
      <c r="K818" s="71"/>
      <c r="L818" s="71"/>
      <c r="M818" s="5"/>
    </row>
    <row r="819" spans="1:13" s="3" customFormat="1">
      <c r="A819" s="1"/>
      <c r="B819" s="8"/>
      <c r="C819" s="5"/>
      <c r="D819" s="12"/>
      <c r="E819" s="9"/>
      <c r="F819" s="9"/>
      <c r="G819" s="5"/>
      <c r="H819" s="16"/>
      <c r="I819" s="69"/>
      <c r="J819" s="70"/>
      <c r="K819" s="71"/>
      <c r="L819" s="71"/>
      <c r="M819" s="5"/>
    </row>
    <row r="820" spans="1:13" s="3" customFormat="1">
      <c r="A820" s="1"/>
      <c r="B820" s="8"/>
      <c r="C820" s="5"/>
      <c r="D820" s="12"/>
      <c r="E820" s="9"/>
      <c r="F820" s="9"/>
      <c r="G820" s="5"/>
      <c r="H820" s="16"/>
      <c r="I820" s="69"/>
      <c r="J820" s="70"/>
      <c r="K820" s="71"/>
      <c r="L820" s="71"/>
      <c r="M820" s="5"/>
    </row>
    <row r="821" spans="1:13" s="3" customFormat="1">
      <c r="A821" s="1"/>
      <c r="B821" s="8"/>
      <c r="C821" s="5"/>
      <c r="D821" s="12"/>
      <c r="E821" s="9"/>
      <c r="F821" s="9"/>
      <c r="G821" s="5"/>
      <c r="H821" s="16"/>
      <c r="I821" s="69"/>
      <c r="J821" s="70"/>
      <c r="K821" s="71"/>
      <c r="L821" s="71"/>
      <c r="M821" s="5"/>
    </row>
    <row r="822" spans="1:13" s="3" customFormat="1">
      <c r="A822" s="1"/>
      <c r="B822" s="8"/>
      <c r="C822" s="5"/>
      <c r="D822" s="12"/>
      <c r="E822" s="9"/>
      <c r="F822" s="9"/>
      <c r="G822" s="5"/>
      <c r="H822" s="16"/>
      <c r="I822" s="69"/>
      <c r="J822" s="70"/>
      <c r="K822" s="71"/>
      <c r="L822" s="71"/>
      <c r="M822" s="5"/>
    </row>
    <row r="823" spans="1:13" s="3" customFormat="1">
      <c r="A823" s="1"/>
      <c r="B823" s="8"/>
      <c r="C823" s="5"/>
      <c r="D823" s="12"/>
      <c r="E823" s="9"/>
      <c r="F823" s="9"/>
      <c r="G823" s="5"/>
      <c r="H823" s="16"/>
      <c r="I823" s="69"/>
      <c r="J823" s="70"/>
      <c r="K823" s="71"/>
      <c r="L823" s="71"/>
      <c r="M823" s="5"/>
    </row>
    <row r="824" spans="1:13" s="3" customFormat="1">
      <c r="A824" s="1"/>
      <c r="B824" s="8"/>
      <c r="C824" s="5"/>
      <c r="D824" s="12"/>
      <c r="E824" s="9"/>
      <c r="F824" s="9"/>
      <c r="G824" s="5"/>
      <c r="H824" s="16"/>
      <c r="I824" s="69"/>
      <c r="J824" s="70"/>
      <c r="K824" s="71"/>
      <c r="L824" s="71"/>
      <c r="M824" s="5"/>
    </row>
    <row r="825" spans="1:13" s="3" customFormat="1">
      <c r="A825" s="1"/>
      <c r="B825" s="8"/>
      <c r="C825" s="5"/>
      <c r="D825" s="12"/>
      <c r="E825" s="9"/>
      <c r="F825" s="9"/>
      <c r="G825" s="5"/>
      <c r="H825" s="16"/>
      <c r="I825" s="69"/>
      <c r="J825" s="70"/>
      <c r="K825" s="71"/>
      <c r="L825" s="71"/>
      <c r="M825" s="5"/>
    </row>
    <row r="826" spans="1:13" s="3" customFormat="1">
      <c r="A826" s="1"/>
      <c r="B826" s="8"/>
      <c r="C826" s="5"/>
      <c r="D826" s="12"/>
      <c r="E826" s="9"/>
      <c r="F826" s="9"/>
      <c r="G826" s="5"/>
      <c r="H826" s="16"/>
      <c r="I826" s="69"/>
      <c r="J826" s="70"/>
      <c r="K826" s="71"/>
      <c r="L826" s="71"/>
      <c r="M826" s="5"/>
    </row>
    <row r="827" spans="1:13" s="3" customFormat="1">
      <c r="A827" s="1"/>
      <c r="B827" s="8"/>
      <c r="C827" s="5"/>
      <c r="D827" s="12"/>
      <c r="E827" s="9"/>
      <c r="F827" s="9"/>
      <c r="G827" s="5"/>
      <c r="H827" s="16"/>
      <c r="I827" s="69"/>
      <c r="J827" s="70"/>
      <c r="K827" s="71"/>
      <c r="L827" s="71"/>
      <c r="M827" s="5"/>
    </row>
    <row r="828" spans="1:13" s="3" customFormat="1">
      <c r="A828" s="1"/>
      <c r="B828" s="8"/>
      <c r="C828" s="5"/>
      <c r="D828" s="12"/>
      <c r="E828" s="9"/>
      <c r="F828" s="9"/>
      <c r="G828" s="5"/>
      <c r="H828" s="16"/>
      <c r="I828" s="69"/>
      <c r="J828" s="70"/>
      <c r="K828" s="71"/>
      <c r="L828" s="71"/>
      <c r="M828" s="5"/>
    </row>
    <row r="829" spans="1:13" s="3" customFormat="1">
      <c r="A829" s="1"/>
      <c r="B829" s="8"/>
      <c r="C829" s="5"/>
      <c r="D829" s="12"/>
      <c r="E829" s="9"/>
      <c r="F829" s="9"/>
      <c r="G829" s="5"/>
      <c r="H829" s="16"/>
      <c r="I829" s="69"/>
      <c r="J829" s="70"/>
      <c r="K829" s="71"/>
      <c r="L829" s="71"/>
      <c r="M829" s="5"/>
    </row>
    <row r="830" spans="1:13" s="3" customFormat="1">
      <c r="A830" s="1"/>
      <c r="B830" s="8"/>
      <c r="C830" s="5"/>
      <c r="D830" s="12"/>
      <c r="E830" s="9"/>
      <c r="F830" s="9"/>
      <c r="G830" s="5"/>
      <c r="H830" s="16"/>
      <c r="I830" s="69"/>
      <c r="J830" s="70"/>
      <c r="K830" s="71"/>
      <c r="L830" s="71"/>
      <c r="M830" s="5"/>
    </row>
    <row r="831" spans="1:13" s="3" customFormat="1">
      <c r="A831" s="1"/>
      <c r="B831" s="8"/>
      <c r="C831" s="5"/>
      <c r="D831" s="12"/>
      <c r="E831" s="9"/>
      <c r="F831" s="9"/>
      <c r="G831" s="5"/>
      <c r="H831" s="16"/>
      <c r="I831" s="69"/>
      <c r="J831" s="70"/>
      <c r="K831" s="71"/>
      <c r="L831" s="71"/>
      <c r="M831" s="5"/>
    </row>
    <row r="832" spans="1:13" s="3" customFormat="1">
      <c r="A832" s="1"/>
      <c r="B832" s="8"/>
      <c r="C832" s="5"/>
      <c r="D832" s="12"/>
      <c r="E832" s="9"/>
      <c r="F832" s="9"/>
      <c r="G832" s="5"/>
      <c r="H832" s="16"/>
      <c r="I832" s="69"/>
      <c r="J832" s="70"/>
      <c r="K832" s="71"/>
      <c r="L832" s="71"/>
      <c r="M832" s="5"/>
    </row>
    <row r="833" spans="1:13" s="3" customFormat="1">
      <c r="A833" s="1"/>
      <c r="B833" s="8"/>
      <c r="C833" s="5"/>
      <c r="D833" s="12"/>
      <c r="E833" s="9"/>
      <c r="F833" s="9"/>
      <c r="G833" s="5"/>
      <c r="H833" s="16"/>
      <c r="I833" s="69"/>
      <c r="J833" s="70"/>
      <c r="K833" s="71"/>
      <c r="L833" s="71"/>
      <c r="M833" s="5"/>
    </row>
    <row r="834" spans="1:13" s="3" customFormat="1">
      <c r="A834" s="1"/>
      <c r="B834" s="8"/>
      <c r="C834" s="5"/>
      <c r="D834" s="12"/>
      <c r="E834" s="9"/>
      <c r="F834" s="9"/>
      <c r="G834" s="5"/>
      <c r="H834" s="16"/>
      <c r="I834" s="69"/>
      <c r="J834" s="70"/>
      <c r="K834" s="71"/>
      <c r="L834" s="71"/>
      <c r="M834" s="5"/>
    </row>
    <row r="835" spans="1:13" s="3" customFormat="1">
      <c r="A835" s="1"/>
      <c r="B835" s="8"/>
      <c r="C835" s="5"/>
      <c r="D835" s="12"/>
      <c r="E835" s="9"/>
      <c r="F835" s="9"/>
      <c r="G835" s="5"/>
      <c r="H835" s="16"/>
      <c r="I835" s="69"/>
      <c r="J835" s="70"/>
      <c r="K835" s="71"/>
      <c r="L835" s="71"/>
      <c r="M835" s="5"/>
    </row>
    <row r="836" spans="1:13" s="3" customFormat="1">
      <c r="A836" s="1"/>
      <c r="B836" s="8"/>
      <c r="C836" s="5"/>
      <c r="D836" s="12"/>
      <c r="E836" s="9"/>
      <c r="F836" s="9"/>
      <c r="G836" s="5"/>
      <c r="H836" s="16"/>
      <c r="I836" s="69"/>
      <c r="J836" s="70"/>
      <c r="K836" s="71"/>
      <c r="L836" s="71"/>
      <c r="M836" s="5"/>
    </row>
    <row r="837" spans="1:13" s="3" customFormat="1">
      <c r="A837" s="1"/>
      <c r="B837" s="8"/>
      <c r="C837" s="5"/>
      <c r="D837" s="12"/>
      <c r="E837" s="9"/>
      <c r="F837" s="9"/>
      <c r="G837" s="5"/>
      <c r="H837" s="16"/>
      <c r="I837" s="69"/>
      <c r="J837" s="70"/>
      <c r="K837" s="71"/>
      <c r="L837" s="71"/>
      <c r="M837" s="5"/>
    </row>
    <row r="838" spans="1:13" s="3" customFormat="1">
      <c r="A838" s="1"/>
      <c r="B838" s="8"/>
      <c r="C838" s="5"/>
      <c r="D838" s="12"/>
      <c r="E838" s="9"/>
      <c r="F838" s="9"/>
      <c r="G838" s="5"/>
      <c r="H838" s="16"/>
      <c r="I838" s="69"/>
      <c r="J838" s="70"/>
      <c r="K838" s="71"/>
      <c r="L838" s="71"/>
      <c r="M838" s="5"/>
    </row>
    <row r="839" spans="1:13" s="3" customFormat="1">
      <c r="A839" s="1"/>
      <c r="B839" s="8"/>
      <c r="C839" s="5"/>
      <c r="D839" s="12"/>
      <c r="E839" s="9"/>
      <c r="F839" s="9"/>
      <c r="G839" s="5"/>
      <c r="H839" s="16"/>
      <c r="I839" s="69"/>
      <c r="J839" s="70"/>
      <c r="K839" s="71"/>
      <c r="L839" s="71"/>
      <c r="M839" s="5"/>
    </row>
    <row r="840" spans="1:13" s="3" customFormat="1">
      <c r="A840" s="1"/>
      <c r="B840" s="8"/>
      <c r="C840" s="5"/>
      <c r="D840" s="12"/>
      <c r="E840" s="9"/>
      <c r="F840" s="9"/>
      <c r="G840" s="5"/>
      <c r="H840" s="16"/>
      <c r="I840" s="69"/>
      <c r="J840" s="70"/>
      <c r="K840" s="71"/>
      <c r="L840" s="71"/>
      <c r="M840" s="5"/>
    </row>
    <row r="841" spans="1:13" s="3" customFormat="1">
      <c r="A841" s="1"/>
      <c r="B841" s="8"/>
      <c r="C841" s="5"/>
      <c r="D841" s="12"/>
      <c r="E841" s="9"/>
      <c r="F841" s="9"/>
      <c r="G841" s="5"/>
      <c r="H841" s="16"/>
      <c r="I841" s="69"/>
      <c r="J841" s="70"/>
      <c r="K841" s="71"/>
      <c r="L841" s="71"/>
      <c r="M841" s="5"/>
    </row>
    <row r="842" spans="1:13" s="3" customFormat="1">
      <c r="A842" s="1"/>
      <c r="B842" s="8"/>
      <c r="C842" s="5"/>
      <c r="D842" s="12"/>
      <c r="E842" s="9"/>
      <c r="F842" s="9"/>
      <c r="G842" s="5"/>
      <c r="H842" s="16"/>
      <c r="I842" s="69"/>
      <c r="J842" s="70"/>
      <c r="K842" s="71"/>
      <c r="L842" s="71"/>
      <c r="M842" s="5"/>
    </row>
    <row r="843" spans="1:13" s="3" customFormat="1">
      <c r="A843" s="1"/>
      <c r="B843" s="8"/>
      <c r="C843" s="5"/>
      <c r="D843" s="12"/>
      <c r="E843" s="9"/>
      <c r="F843" s="9"/>
      <c r="G843" s="5"/>
      <c r="H843" s="16"/>
      <c r="I843" s="69"/>
      <c r="J843" s="70"/>
      <c r="K843" s="71"/>
      <c r="L843" s="71"/>
      <c r="M843" s="5"/>
    </row>
    <row r="844" spans="1:13" s="3" customFormat="1">
      <c r="A844" s="1"/>
      <c r="B844" s="8"/>
      <c r="C844" s="5"/>
      <c r="D844" s="12"/>
      <c r="E844" s="9"/>
      <c r="F844" s="9"/>
      <c r="G844" s="5"/>
      <c r="H844" s="16"/>
      <c r="I844" s="69"/>
      <c r="J844" s="70"/>
      <c r="K844" s="71"/>
      <c r="L844" s="71"/>
      <c r="M844" s="5"/>
    </row>
    <row r="845" spans="1:13" s="3" customFormat="1">
      <c r="A845" s="1"/>
      <c r="B845" s="8"/>
      <c r="C845" s="5"/>
      <c r="D845" s="12"/>
      <c r="E845" s="9"/>
      <c r="F845" s="9"/>
      <c r="G845" s="5"/>
      <c r="H845" s="16"/>
      <c r="I845" s="69"/>
      <c r="J845" s="70"/>
      <c r="K845" s="71"/>
      <c r="L845" s="71"/>
      <c r="M845" s="5"/>
    </row>
    <row r="846" spans="1:13" s="3" customFormat="1">
      <c r="A846" s="1"/>
      <c r="B846" s="8"/>
      <c r="C846" s="5"/>
      <c r="D846" s="12"/>
      <c r="E846" s="9"/>
      <c r="F846" s="9"/>
      <c r="G846" s="5"/>
      <c r="H846" s="16"/>
      <c r="I846" s="69"/>
      <c r="J846" s="70"/>
      <c r="K846" s="71"/>
      <c r="L846" s="71"/>
      <c r="M846" s="5"/>
    </row>
    <row r="847" spans="1:13" s="3" customFormat="1">
      <c r="A847" s="1"/>
      <c r="B847" s="8"/>
      <c r="C847" s="5"/>
      <c r="D847" s="12"/>
      <c r="E847" s="9"/>
      <c r="F847" s="9"/>
      <c r="G847" s="5"/>
      <c r="H847" s="16"/>
      <c r="I847" s="69"/>
      <c r="J847" s="70"/>
      <c r="K847" s="71"/>
      <c r="L847" s="71"/>
      <c r="M847" s="5"/>
    </row>
    <row r="848" spans="1:13" s="3" customFormat="1">
      <c r="A848" s="1"/>
      <c r="B848" s="8"/>
      <c r="C848" s="5"/>
      <c r="D848" s="12"/>
      <c r="E848" s="9"/>
      <c r="F848" s="9"/>
      <c r="G848" s="5"/>
      <c r="H848" s="16"/>
      <c r="I848" s="69"/>
      <c r="J848" s="70"/>
      <c r="K848" s="71"/>
      <c r="L848" s="71"/>
      <c r="M848" s="5"/>
    </row>
    <row r="849" spans="1:13" s="3" customFormat="1">
      <c r="A849" s="1"/>
      <c r="B849" s="8"/>
      <c r="C849" s="5"/>
      <c r="D849" s="12"/>
      <c r="E849" s="9"/>
      <c r="F849" s="9"/>
      <c r="G849" s="5"/>
      <c r="H849" s="16"/>
      <c r="I849" s="69"/>
      <c r="J849" s="70"/>
      <c r="K849" s="71"/>
      <c r="L849" s="71"/>
      <c r="M849" s="5"/>
    </row>
    <row r="850" spans="1:13" s="3" customFormat="1">
      <c r="A850" s="1"/>
      <c r="B850" s="8"/>
      <c r="C850" s="5"/>
      <c r="D850" s="12"/>
      <c r="E850" s="9"/>
      <c r="F850" s="9"/>
      <c r="G850" s="5"/>
      <c r="H850" s="16"/>
      <c r="I850" s="69"/>
      <c r="J850" s="70"/>
      <c r="K850" s="71"/>
      <c r="L850" s="71"/>
      <c r="M850" s="5"/>
    </row>
    <row r="851" spans="1:13" s="3" customFormat="1">
      <c r="A851" s="1"/>
      <c r="B851" s="8"/>
      <c r="C851" s="5"/>
      <c r="D851" s="12"/>
      <c r="E851" s="9"/>
      <c r="F851" s="9"/>
      <c r="G851" s="5"/>
      <c r="H851" s="16"/>
      <c r="I851" s="69"/>
      <c r="J851" s="70"/>
      <c r="K851" s="71"/>
      <c r="L851" s="71"/>
      <c r="M851" s="5"/>
    </row>
    <row r="852" spans="1:13" s="3" customFormat="1">
      <c r="A852" s="1"/>
      <c r="B852" s="8"/>
      <c r="C852" s="5"/>
      <c r="D852" s="12"/>
      <c r="E852" s="9"/>
      <c r="F852" s="9"/>
      <c r="G852" s="5"/>
      <c r="H852" s="16"/>
      <c r="I852" s="69"/>
      <c r="J852" s="70"/>
      <c r="K852" s="71"/>
      <c r="L852" s="71"/>
      <c r="M852" s="5"/>
    </row>
    <row r="853" spans="1:13" s="3" customFormat="1">
      <c r="A853" s="1"/>
      <c r="B853" s="8"/>
      <c r="C853" s="5"/>
      <c r="D853" s="12"/>
      <c r="E853" s="9"/>
      <c r="F853" s="9"/>
      <c r="G853" s="5"/>
      <c r="H853" s="16"/>
      <c r="I853" s="69"/>
      <c r="J853" s="70"/>
      <c r="K853" s="71"/>
      <c r="L853" s="71"/>
      <c r="M853" s="5"/>
    </row>
    <row r="854" spans="1:13" s="3" customFormat="1">
      <c r="A854" s="1"/>
      <c r="B854" s="8"/>
      <c r="C854" s="5"/>
      <c r="D854" s="12"/>
      <c r="E854" s="9"/>
      <c r="F854" s="9"/>
      <c r="G854" s="5"/>
      <c r="H854" s="16"/>
      <c r="I854" s="69"/>
      <c r="J854" s="70"/>
      <c r="K854" s="71"/>
      <c r="L854" s="71"/>
      <c r="M854" s="5"/>
    </row>
    <row r="855" spans="1:13" s="3" customFormat="1">
      <c r="A855" s="1"/>
      <c r="B855" s="8"/>
      <c r="C855" s="5"/>
      <c r="D855" s="12"/>
      <c r="E855" s="9"/>
      <c r="F855" s="9"/>
      <c r="G855" s="5"/>
      <c r="H855" s="16"/>
      <c r="I855" s="69"/>
      <c r="J855" s="70"/>
      <c r="K855" s="71"/>
      <c r="L855" s="71"/>
      <c r="M855" s="5"/>
    </row>
    <row r="856" spans="1:13" s="3" customFormat="1">
      <c r="A856" s="1"/>
      <c r="B856" s="8"/>
      <c r="C856" s="5"/>
      <c r="D856" s="12"/>
      <c r="E856" s="9"/>
      <c r="F856" s="9"/>
      <c r="G856" s="5"/>
      <c r="H856" s="16"/>
      <c r="I856" s="69"/>
      <c r="J856" s="70"/>
      <c r="K856" s="71"/>
      <c r="L856" s="71"/>
      <c r="M856" s="5"/>
    </row>
    <row r="857" spans="1:13" s="3" customFormat="1">
      <c r="A857" s="1"/>
      <c r="B857" s="8"/>
      <c r="C857" s="5"/>
      <c r="D857" s="12"/>
      <c r="E857" s="9"/>
      <c r="F857" s="9"/>
      <c r="G857" s="5"/>
      <c r="H857" s="16"/>
      <c r="I857" s="69"/>
      <c r="J857" s="70"/>
      <c r="K857" s="71"/>
      <c r="L857" s="71"/>
      <c r="M857" s="5"/>
    </row>
    <row r="858" spans="1:13" s="3" customFormat="1">
      <c r="A858" s="1"/>
      <c r="B858" s="8"/>
      <c r="C858" s="5"/>
      <c r="D858" s="12"/>
      <c r="E858" s="9"/>
      <c r="F858" s="9"/>
      <c r="G858" s="5"/>
      <c r="H858" s="16"/>
      <c r="I858" s="69"/>
      <c r="J858" s="70"/>
      <c r="K858" s="71"/>
      <c r="L858" s="71"/>
      <c r="M858" s="5"/>
    </row>
    <row r="859" spans="1:13" s="3" customFormat="1">
      <c r="A859" s="1"/>
      <c r="B859" s="8"/>
      <c r="C859" s="5"/>
      <c r="D859" s="12"/>
      <c r="E859" s="9"/>
      <c r="F859" s="9"/>
      <c r="G859" s="5"/>
      <c r="H859" s="16"/>
      <c r="I859" s="69"/>
      <c r="J859" s="70"/>
      <c r="K859" s="71"/>
      <c r="L859" s="71"/>
      <c r="M859" s="5"/>
    </row>
    <row r="860" spans="1:13" s="3" customFormat="1">
      <c r="A860" s="1"/>
      <c r="B860" s="8"/>
      <c r="C860" s="5"/>
      <c r="D860" s="12"/>
      <c r="E860" s="9"/>
      <c r="F860" s="9"/>
      <c r="G860" s="5"/>
      <c r="H860" s="16"/>
      <c r="I860" s="69"/>
      <c r="J860" s="70"/>
      <c r="K860" s="71"/>
      <c r="L860" s="71"/>
      <c r="M860" s="5"/>
    </row>
    <row r="861" spans="1:13" s="3" customFormat="1">
      <c r="A861" s="1"/>
      <c r="B861" s="8"/>
      <c r="C861" s="5"/>
      <c r="D861" s="12"/>
      <c r="E861" s="9"/>
      <c r="F861" s="9"/>
      <c r="G861" s="5"/>
      <c r="H861" s="16"/>
      <c r="I861" s="69"/>
      <c r="J861" s="70"/>
      <c r="K861" s="71"/>
      <c r="L861" s="71"/>
      <c r="M861" s="5"/>
    </row>
    <row r="862" spans="1:13" s="3" customFormat="1">
      <c r="A862" s="1"/>
      <c r="B862" s="8"/>
      <c r="C862" s="5"/>
      <c r="D862" s="12"/>
      <c r="E862" s="9"/>
      <c r="F862" s="9"/>
      <c r="G862" s="5"/>
      <c r="H862" s="16"/>
      <c r="I862" s="69"/>
      <c r="J862" s="70"/>
      <c r="K862" s="71"/>
      <c r="L862" s="71"/>
      <c r="M862" s="5"/>
    </row>
    <row r="863" spans="1:13" s="3" customFormat="1">
      <c r="A863" s="1"/>
      <c r="B863" s="8"/>
      <c r="C863" s="5"/>
      <c r="D863" s="12"/>
      <c r="E863" s="9"/>
      <c r="F863" s="9"/>
      <c r="G863" s="5"/>
      <c r="H863" s="16"/>
      <c r="I863" s="69"/>
      <c r="J863" s="70"/>
      <c r="K863" s="71"/>
      <c r="L863" s="71"/>
      <c r="M863" s="5"/>
    </row>
    <row r="864" spans="1:13" s="3" customFormat="1">
      <c r="A864" s="1"/>
      <c r="B864" s="8"/>
      <c r="C864" s="5"/>
      <c r="D864" s="12"/>
      <c r="E864" s="9"/>
      <c r="F864" s="9"/>
      <c r="G864" s="5"/>
      <c r="H864" s="16"/>
      <c r="I864" s="69"/>
      <c r="J864" s="70"/>
      <c r="K864" s="71"/>
      <c r="L864" s="71"/>
      <c r="M864" s="5"/>
    </row>
    <row r="865" spans="1:13" s="3" customFormat="1">
      <c r="A865" s="1"/>
      <c r="B865" s="8"/>
      <c r="C865" s="5"/>
      <c r="D865" s="12"/>
      <c r="E865" s="9"/>
      <c r="F865" s="9"/>
      <c r="G865" s="5"/>
      <c r="H865" s="16"/>
      <c r="I865" s="69"/>
      <c r="J865" s="70"/>
      <c r="K865" s="71"/>
      <c r="L865" s="71"/>
      <c r="M865" s="5"/>
    </row>
    <row r="866" spans="1:13" s="3" customFormat="1">
      <c r="A866" s="1"/>
      <c r="B866" s="8"/>
      <c r="C866" s="5"/>
      <c r="D866" s="12"/>
      <c r="E866" s="9"/>
      <c r="F866" s="9"/>
      <c r="G866" s="5"/>
      <c r="H866" s="16"/>
      <c r="I866" s="69"/>
      <c r="J866" s="70"/>
      <c r="K866" s="71"/>
      <c r="L866" s="71"/>
      <c r="M866" s="5"/>
    </row>
    <row r="867" spans="1:13" s="3" customFormat="1">
      <c r="A867" s="1"/>
      <c r="B867" s="8"/>
      <c r="C867" s="5"/>
      <c r="D867" s="12"/>
      <c r="E867" s="9"/>
      <c r="F867" s="9"/>
      <c r="G867" s="5"/>
      <c r="H867" s="16"/>
      <c r="I867" s="69"/>
      <c r="J867" s="70"/>
      <c r="K867" s="71"/>
      <c r="L867" s="71"/>
      <c r="M867" s="5"/>
    </row>
    <row r="868" spans="1:13" s="3" customFormat="1">
      <c r="A868" s="1"/>
      <c r="B868" s="8"/>
      <c r="C868" s="5"/>
      <c r="D868" s="12"/>
      <c r="E868" s="9"/>
      <c r="F868" s="9"/>
      <c r="G868" s="5"/>
      <c r="H868" s="16"/>
      <c r="I868" s="69"/>
      <c r="J868" s="70"/>
      <c r="K868" s="71"/>
      <c r="L868" s="71"/>
      <c r="M868" s="5"/>
    </row>
    <row r="869" spans="1:13" s="3" customFormat="1">
      <c r="A869" s="1"/>
      <c r="B869" s="8"/>
      <c r="C869" s="5"/>
      <c r="D869" s="12"/>
      <c r="E869" s="9"/>
      <c r="F869" s="9"/>
      <c r="G869" s="5"/>
      <c r="H869" s="16"/>
      <c r="I869" s="69"/>
      <c r="J869" s="70"/>
      <c r="K869" s="71"/>
      <c r="L869" s="71"/>
      <c r="M869" s="5"/>
    </row>
    <row r="870" spans="1:13" s="3" customFormat="1">
      <c r="A870" s="1"/>
      <c r="B870" s="8"/>
      <c r="C870" s="5"/>
      <c r="D870" s="12"/>
      <c r="E870" s="9"/>
      <c r="F870" s="9"/>
      <c r="G870" s="5"/>
      <c r="H870" s="16"/>
      <c r="I870" s="69"/>
      <c r="J870" s="70"/>
      <c r="K870" s="71"/>
      <c r="L870" s="71"/>
      <c r="M870" s="5"/>
    </row>
    <row r="871" spans="1:13" s="3" customFormat="1">
      <c r="A871" s="1"/>
      <c r="B871" s="8"/>
      <c r="C871" s="5"/>
      <c r="D871" s="12"/>
      <c r="E871" s="9"/>
      <c r="F871" s="9"/>
      <c r="G871" s="5"/>
      <c r="H871" s="16"/>
      <c r="I871" s="69"/>
      <c r="J871" s="70"/>
      <c r="K871" s="71"/>
      <c r="L871" s="71"/>
      <c r="M871" s="5"/>
    </row>
    <row r="872" spans="1:13" s="3" customFormat="1">
      <c r="A872" s="1"/>
      <c r="B872" s="8"/>
      <c r="C872" s="5"/>
      <c r="D872" s="12"/>
      <c r="E872" s="9"/>
      <c r="F872" s="9"/>
      <c r="G872" s="5"/>
      <c r="H872" s="16"/>
      <c r="I872" s="69"/>
      <c r="J872" s="70"/>
      <c r="K872" s="71"/>
      <c r="L872" s="71"/>
      <c r="M872" s="5"/>
    </row>
    <row r="873" spans="1:13" s="3" customFormat="1">
      <c r="A873" s="1"/>
      <c r="B873" s="8"/>
      <c r="C873" s="5"/>
      <c r="D873" s="12"/>
      <c r="E873" s="9"/>
      <c r="F873" s="9"/>
      <c r="G873" s="5"/>
      <c r="H873" s="16"/>
      <c r="I873" s="69"/>
      <c r="J873" s="70"/>
      <c r="K873" s="71"/>
      <c r="L873" s="71"/>
      <c r="M873" s="5"/>
    </row>
    <row r="874" spans="1:13" s="3" customFormat="1">
      <c r="A874" s="1"/>
      <c r="B874" s="8"/>
      <c r="C874" s="5"/>
      <c r="D874" s="12"/>
      <c r="E874" s="9"/>
      <c r="F874" s="9"/>
      <c r="G874" s="5"/>
      <c r="H874" s="16"/>
      <c r="I874" s="69"/>
      <c r="J874" s="70"/>
      <c r="K874" s="71"/>
      <c r="L874" s="71"/>
      <c r="M874" s="5"/>
    </row>
    <row r="875" spans="1:13" s="3" customFormat="1">
      <c r="A875" s="1"/>
      <c r="B875" s="8"/>
      <c r="C875" s="5"/>
      <c r="D875" s="12"/>
      <c r="E875" s="9"/>
      <c r="F875" s="9"/>
      <c r="G875" s="5"/>
      <c r="H875" s="16"/>
      <c r="I875" s="69"/>
      <c r="J875" s="70"/>
      <c r="K875" s="71"/>
      <c r="L875" s="71"/>
      <c r="M875" s="5"/>
    </row>
    <row r="876" spans="1:13" s="3" customFormat="1">
      <c r="A876" s="1"/>
      <c r="B876" s="8"/>
      <c r="C876" s="5"/>
      <c r="D876" s="12"/>
      <c r="E876" s="9"/>
      <c r="F876" s="9"/>
      <c r="G876" s="5"/>
      <c r="H876" s="16"/>
      <c r="I876" s="69"/>
      <c r="J876" s="70"/>
      <c r="K876" s="71"/>
      <c r="L876" s="71"/>
      <c r="M876" s="5"/>
    </row>
    <row r="877" spans="1:13" s="3" customFormat="1">
      <c r="A877" s="1"/>
      <c r="B877" s="8"/>
      <c r="C877" s="5"/>
      <c r="D877" s="12"/>
      <c r="E877" s="9"/>
      <c r="F877" s="9"/>
      <c r="G877" s="5"/>
      <c r="H877" s="16"/>
      <c r="I877" s="69"/>
      <c r="J877" s="70"/>
      <c r="K877" s="71"/>
      <c r="L877" s="71"/>
      <c r="M877" s="5"/>
    </row>
    <row r="878" spans="1:13" s="3" customFormat="1">
      <c r="A878" s="1"/>
      <c r="B878" s="8"/>
      <c r="C878" s="5"/>
      <c r="D878" s="12"/>
      <c r="E878" s="9"/>
      <c r="F878" s="9"/>
      <c r="G878" s="5"/>
      <c r="H878" s="16"/>
      <c r="I878" s="69"/>
      <c r="J878" s="70"/>
      <c r="K878" s="71"/>
      <c r="L878" s="71"/>
      <c r="M878" s="5"/>
    </row>
    <row r="879" spans="1:13" s="3" customFormat="1">
      <c r="A879" s="1"/>
      <c r="B879" s="8"/>
      <c r="C879" s="5"/>
      <c r="D879" s="12"/>
      <c r="E879" s="9"/>
      <c r="F879" s="9"/>
      <c r="G879" s="5"/>
      <c r="H879" s="16"/>
      <c r="I879" s="69"/>
      <c r="J879" s="70"/>
      <c r="K879" s="71"/>
      <c r="L879" s="71"/>
      <c r="M879" s="5"/>
    </row>
    <row r="880" spans="1:13" s="3" customFormat="1">
      <c r="A880" s="1"/>
      <c r="B880" s="8"/>
      <c r="C880" s="5"/>
      <c r="D880" s="12"/>
      <c r="E880" s="9"/>
      <c r="F880" s="9"/>
      <c r="G880" s="5"/>
      <c r="H880" s="16"/>
      <c r="I880" s="69"/>
      <c r="J880" s="70"/>
      <c r="K880" s="71"/>
      <c r="L880" s="71"/>
      <c r="M880" s="5"/>
    </row>
    <row r="881" spans="1:13" s="3" customFormat="1">
      <c r="A881" s="1"/>
      <c r="B881" s="8"/>
      <c r="C881" s="5"/>
      <c r="D881" s="12"/>
      <c r="E881" s="9"/>
      <c r="F881" s="9"/>
      <c r="G881" s="5"/>
      <c r="H881" s="16"/>
      <c r="I881" s="69"/>
      <c r="J881" s="70"/>
      <c r="K881" s="71"/>
      <c r="L881" s="71"/>
      <c r="M881" s="5"/>
    </row>
    <row r="882" spans="1:13" s="3" customFormat="1">
      <c r="A882" s="1"/>
      <c r="B882" s="8"/>
      <c r="C882" s="5"/>
      <c r="D882" s="12"/>
      <c r="E882" s="9"/>
      <c r="F882" s="9"/>
      <c r="G882" s="5"/>
      <c r="H882" s="16"/>
      <c r="I882" s="69"/>
      <c r="J882" s="70"/>
      <c r="K882" s="71"/>
      <c r="L882" s="71"/>
      <c r="M882" s="5"/>
    </row>
    <row r="883" spans="1:13" s="3" customFormat="1">
      <c r="A883" s="1"/>
      <c r="B883" s="8"/>
      <c r="C883" s="5"/>
      <c r="D883" s="12"/>
      <c r="E883" s="9"/>
      <c r="F883" s="9"/>
      <c r="G883" s="5"/>
      <c r="H883" s="16"/>
      <c r="I883" s="69"/>
      <c r="J883" s="70"/>
      <c r="K883" s="71"/>
      <c r="L883" s="71"/>
      <c r="M883" s="5"/>
    </row>
    <row r="884" spans="1:13" s="3" customFormat="1">
      <c r="A884" s="1"/>
      <c r="B884" s="8"/>
      <c r="C884" s="5"/>
      <c r="D884" s="12"/>
      <c r="E884" s="9"/>
      <c r="F884" s="9"/>
      <c r="G884" s="5"/>
      <c r="H884" s="16"/>
      <c r="I884" s="69"/>
      <c r="J884" s="70"/>
      <c r="K884" s="71"/>
      <c r="L884" s="71"/>
      <c r="M884" s="5"/>
    </row>
    <row r="885" spans="1:13" s="3" customFormat="1">
      <c r="A885" s="1"/>
      <c r="B885" s="8"/>
      <c r="C885" s="5"/>
      <c r="D885" s="12"/>
      <c r="E885" s="9"/>
      <c r="F885" s="9"/>
      <c r="G885" s="5"/>
      <c r="H885" s="16"/>
      <c r="I885" s="69"/>
      <c r="J885" s="70"/>
      <c r="K885" s="71"/>
      <c r="L885" s="71"/>
      <c r="M885" s="5"/>
    </row>
    <row r="886" spans="1:13" s="3" customFormat="1">
      <c r="A886" s="1"/>
      <c r="B886" s="8"/>
      <c r="C886" s="5"/>
      <c r="D886" s="12"/>
      <c r="E886" s="9"/>
      <c r="F886" s="9"/>
      <c r="G886" s="5"/>
      <c r="H886" s="16"/>
      <c r="I886" s="69"/>
      <c r="J886" s="70"/>
      <c r="K886" s="71"/>
      <c r="L886" s="71"/>
      <c r="M886" s="5"/>
    </row>
    <row r="887" spans="1:13" s="3" customFormat="1">
      <c r="A887" s="1"/>
      <c r="B887" s="8"/>
      <c r="C887" s="5"/>
      <c r="D887" s="12"/>
      <c r="E887" s="9"/>
      <c r="F887" s="9"/>
      <c r="G887" s="5"/>
      <c r="H887" s="16"/>
      <c r="I887" s="69"/>
      <c r="J887" s="70"/>
      <c r="K887" s="71"/>
      <c r="L887" s="71"/>
      <c r="M887" s="5"/>
    </row>
    <row r="888" spans="1:13" s="3" customFormat="1">
      <c r="A888" s="1"/>
      <c r="B888" s="8"/>
      <c r="C888" s="5"/>
      <c r="D888" s="12"/>
      <c r="E888" s="9"/>
      <c r="F888" s="9"/>
      <c r="G888" s="5"/>
      <c r="H888" s="16"/>
      <c r="I888" s="69"/>
      <c r="J888" s="70"/>
      <c r="K888" s="71"/>
      <c r="L888" s="71"/>
      <c r="M888" s="5"/>
    </row>
    <row r="889" spans="1:13" s="3" customFormat="1">
      <c r="A889" s="1"/>
      <c r="B889" s="8"/>
      <c r="C889" s="5"/>
      <c r="D889" s="12"/>
      <c r="E889" s="9"/>
      <c r="F889" s="9"/>
      <c r="G889" s="5"/>
      <c r="H889" s="16"/>
      <c r="I889" s="69"/>
      <c r="J889" s="70"/>
      <c r="K889" s="71"/>
      <c r="L889" s="71"/>
      <c r="M889" s="5"/>
    </row>
    <row r="890" spans="1:13" s="3" customFormat="1">
      <c r="A890" s="1"/>
      <c r="B890" s="8"/>
      <c r="C890" s="5"/>
      <c r="D890" s="12"/>
      <c r="E890" s="9"/>
      <c r="F890" s="9"/>
      <c r="G890" s="5"/>
      <c r="H890" s="16"/>
      <c r="I890" s="69"/>
      <c r="J890" s="70"/>
      <c r="K890" s="71"/>
      <c r="L890" s="71"/>
      <c r="M890" s="5"/>
    </row>
    <row r="891" spans="1:13" s="3" customFormat="1">
      <c r="A891" s="1"/>
      <c r="B891" s="8"/>
      <c r="C891" s="5"/>
      <c r="D891" s="12"/>
      <c r="E891" s="9"/>
      <c r="F891" s="9"/>
      <c r="G891" s="5"/>
      <c r="H891" s="16"/>
      <c r="I891" s="69"/>
      <c r="J891" s="70"/>
      <c r="K891" s="71"/>
      <c r="L891" s="71"/>
      <c r="M891" s="5"/>
    </row>
    <row r="892" spans="1:13" s="3" customFormat="1">
      <c r="A892" s="1"/>
      <c r="B892" s="8"/>
      <c r="C892" s="5"/>
      <c r="D892" s="12"/>
      <c r="E892" s="9"/>
      <c r="F892" s="9"/>
      <c r="G892" s="5"/>
      <c r="H892" s="16"/>
      <c r="I892" s="69"/>
      <c r="J892" s="70"/>
      <c r="K892" s="71"/>
      <c r="L892" s="71"/>
      <c r="M892" s="5"/>
    </row>
    <row r="893" spans="1:13" s="3" customFormat="1">
      <c r="A893" s="1"/>
      <c r="B893" s="8"/>
      <c r="C893" s="5"/>
      <c r="D893" s="12"/>
      <c r="E893" s="9"/>
      <c r="F893" s="9"/>
      <c r="G893" s="5"/>
      <c r="H893" s="16"/>
      <c r="I893" s="69"/>
      <c r="J893" s="70"/>
      <c r="K893" s="71"/>
      <c r="L893" s="71"/>
      <c r="M893" s="5"/>
    </row>
    <row r="894" spans="1:13" s="3" customFormat="1">
      <c r="A894" s="1"/>
      <c r="B894" s="8"/>
      <c r="C894" s="5"/>
      <c r="D894" s="12"/>
      <c r="E894" s="9"/>
      <c r="F894" s="9"/>
      <c r="G894" s="5"/>
      <c r="H894" s="16"/>
      <c r="I894" s="69"/>
      <c r="J894" s="70"/>
      <c r="K894" s="71"/>
      <c r="L894" s="71"/>
      <c r="M894" s="5"/>
    </row>
    <row r="895" spans="1:13" s="3" customFormat="1">
      <c r="A895" s="1"/>
      <c r="B895" s="8"/>
      <c r="C895" s="5"/>
      <c r="D895" s="12"/>
      <c r="E895" s="9"/>
      <c r="F895" s="9"/>
      <c r="G895" s="5"/>
      <c r="H895" s="16"/>
      <c r="I895" s="69"/>
      <c r="J895" s="70"/>
      <c r="K895" s="71"/>
      <c r="L895" s="71"/>
      <c r="M895" s="5"/>
    </row>
    <row r="896" spans="1:13" s="3" customFormat="1">
      <c r="A896" s="1"/>
      <c r="B896" s="8"/>
      <c r="C896" s="5"/>
      <c r="D896" s="12"/>
      <c r="E896" s="9"/>
      <c r="F896" s="9"/>
      <c r="G896" s="5"/>
      <c r="H896" s="16"/>
      <c r="I896" s="69"/>
      <c r="J896" s="70"/>
      <c r="K896" s="71"/>
      <c r="L896" s="71"/>
      <c r="M896" s="5"/>
    </row>
    <row r="897" spans="1:13" s="3" customFormat="1">
      <c r="A897" s="1"/>
      <c r="B897" s="8"/>
      <c r="C897" s="5"/>
      <c r="D897" s="12"/>
      <c r="E897" s="9"/>
      <c r="F897" s="9"/>
      <c r="G897" s="5"/>
      <c r="H897" s="16"/>
      <c r="I897" s="69"/>
      <c r="J897" s="70"/>
      <c r="K897" s="71"/>
      <c r="L897" s="71"/>
      <c r="M897" s="5"/>
    </row>
    <row r="898" spans="1:13" s="3" customFormat="1">
      <c r="A898" s="1"/>
      <c r="B898" s="8"/>
      <c r="C898" s="5"/>
      <c r="D898" s="12"/>
      <c r="E898" s="9"/>
      <c r="F898" s="9"/>
      <c r="G898" s="5"/>
      <c r="H898" s="16"/>
      <c r="I898" s="69"/>
      <c r="J898" s="70"/>
      <c r="K898" s="71"/>
      <c r="L898" s="71"/>
      <c r="M898" s="5"/>
    </row>
    <row r="899" spans="1:13" s="3" customFormat="1">
      <c r="A899" s="1"/>
      <c r="B899" s="8"/>
      <c r="C899" s="5"/>
      <c r="D899" s="12"/>
      <c r="E899" s="9"/>
      <c r="F899" s="9"/>
      <c r="G899" s="5"/>
      <c r="H899" s="16"/>
      <c r="I899" s="69"/>
      <c r="J899" s="70"/>
      <c r="K899" s="71"/>
      <c r="L899" s="71"/>
      <c r="M899" s="5"/>
    </row>
    <row r="900" spans="1:13" s="3" customFormat="1">
      <c r="A900" s="1"/>
      <c r="B900" s="8"/>
      <c r="C900" s="5"/>
      <c r="D900" s="12"/>
      <c r="E900" s="9"/>
      <c r="F900" s="9"/>
      <c r="G900" s="5"/>
      <c r="H900" s="16"/>
      <c r="I900" s="69"/>
      <c r="J900" s="70"/>
      <c r="K900" s="71"/>
      <c r="L900" s="71"/>
      <c r="M900" s="5"/>
    </row>
    <row r="901" spans="1:13" s="3" customFormat="1">
      <c r="A901" s="1"/>
      <c r="B901" s="8"/>
      <c r="C901" s="5"/>
      <c r="D901" s="12"/>
      <c r="E901" s="9"/>
      <c r="F901" s="9"/>
      <c r="G901" s="5"/>
      <c r="H901" s="16"/>
      <c r="I901" s="69"/>
      <c r="J901" s="70"/>
      <c r="K901" s="71"/>
      <c r="L901" s="71"/>
      <c r="M901" s="5"/>
    </row>
    <row r="902" spans="1:13" s="3" customFormat="1">
      <c r="A902" s="1"/>
      <c r="B902" s="8"/>
      <c r="C902" s="5"/>
      <c r="D902" s="12"/>
      <c r="E902" s="9"/>
      <c r="F902" s="9"/>
      <c r="G902" s="5"/>
      <c r="H902" s="16"/>
      <c r="I902" s="69"/>
      <c r="J902" s="70"/>
      <c r="K902" s="71"/>
      <c r="L902" s="71"/>
      <c r="M902" s="5"/>
    </row>
    <row r="903" spans="1:13" s="3" customFormat="1">
      <c r="A903" s="1"/>
      <c r="B903" s="8"/>
      <c r="C903" s="5"/>
      <c r="D903" s="12"/>
      <c r="E903" s="9"/>
      <c r="F903" s="9"/>
      <c r="G903" s="5"/>
      <c r="H903" s="16"/>
      <c r="I903" s="69"/>
      <c r="J903" s="70"/>
      <c r="K903" s="71"/>
      <c r="L903" s="71"/>
      <c r="M903" s="5"/>
    </row>
    <row r="904" spans="1:13" s="3" customFormat="1">
      <c r="A904" s="1"/>
      <c r="B904" s="8"/>
      <c r="C904" s="5"/>
      <c r="D904" s="12"/>
      <c r="E904" s="9"/>
      <c r="F904" s="9"/>
      <c r="G904" s="5"/>
      <c r="H904" s="16"/>
      <c r="I904" s="69"/>
      <c r="J904" s="70"/>
      <c r="K904" s="71"/>
      <c r="L904" s="71"/>
      <c r="M904" s="5"/>
    </row>
    <row r="905" spans="1:13" s="3" customFormat="1">
      <c r="A905" s="1"/>
      <c r="B905" s="8"/>
      <c r="C905" s="5"/>
      <c r="D905" s="12"/>
      <c r="E905" s="9"/>
      <c r="F905" s="9"/>
      <c r="G905" s="5"/>
      <c r="H905" s="16"/>
      <c r="I905" s="69"/>
      <c r="J905" s="70"/>
      <c r="K905" s="71"/>
      <c r="L905" s="71"/>
      <c r="M905" s="5"/>
    </row>
    <row r="906" spans="1:13" s="3" customFormat="1">
      <c r="A906" s="1"/>
      <c r="B906" s="8"/>
      <c r="C906" s="5"/>
      <c r="D906" s="12"/>
      <c r="E906" s="9"/>
      <c r="F906" s="9"/>
      <c r="G906" s="5"/>
      <c r="H906" s="16"/>
      <c r="I906" s="69"/>
      <c r="J906" s="70"/>
      <c r="K906" s="71"/>
      <c r="L906" s="71"/>
      <c r="M906" s="5"/>
    </row>
    <row r="907" spans="1:13" s="3" customFormat="1">
      <c r="A907" s="1"/>
      <c r="B907" s="8"/>
      <c r="C907" s="5"/>
      <c r="D907" s="12"/>
      <c r="E907" s="9"/>
      <c r="F907" s="9"/>
      <c r="G907" s="5"/>
      <c r="H907" s="16"/>
      <c r="I907" s="69"/>
      <c r="J907" s="70"/>
      <c r="K907" s="71"/>
      <c r="L907" s="71"/>
      <c r="M907" s="5"/>
    </row>
    <row r="908" spans="1:13" s="3" customFormat="1">
      <c r="A908" s="1"/>
      <c r="B908" s="8"/>
      <c r="C908" s="5"/>
      <c r="D908" s="12"/>
      <c r="E908" s="9"/>
      <c r="F908" s="9"/>
      <c r="G908" s="5"/>
      <c r="H908" s="16"/>
      <c r="I908" s="69"/>
      <c r="J908" s="70"/>
      <c r="K908" s="71"/>
      <c r="L908" s="71"/>
      <c r="M908" s="5"/>
    </row>
    <row r="909" spans="1:13" s="3" customFormat="1">
      <c r="A909" s="1"/>
      <c r="B909" s="8"/>
      <c r="C909" s="5"/>
      <c r="D909" s="12"/>
      <c r="E909" s="9"/>
      <c r="F909" s="9"/>
      <c r="G909" s="5"/>
      <c r="H909" s="16"/>
      <c r="I909" s="69"/>
      <c r="J909" s="70"/>
      <c r="K909" s="71"/>
      <c r="L909" s="71"/>
      <c r="M909" s="5"/>
    </row>
    <row r="910" spans="1:13" s="3" customFormat="1">
      <c r="A910" s="1"/>
      <c r="B910" s="8"/>
      <c r="C910" s="5"/>
      <c r="D910" s="12"/>
      <c r="E910" s="9"/>
      <c r="F910" s="9"/>
      <c r="G910" s="5"/>
      <c r="H910" s="16"/>
      <c r="I910" s="69"/>
      <c r="J910" s="70"/>
      <c r="K910" s="71"/>
      <c r="L910" s="71"/>
      <c r="M910" s="5"/>
    </row>
    <row r="911" spans="1:13" s="3" customFormat="1">
      <c r="A911" s="1"/>
      <c r="B911" s="8"/>
      <c r="C911" s="5"/>
      <c r="D911" s="12"/>
      <c r="E911" s="9"/>
      <c r="F911" s="9"/>
      <c r="G911" s="5"/>
      <c r="H911" s="16"/>
      <c r="I911" s="69"/>
      <c r="J911" s="70"/>
      <c r="K911" s="71"/>
      <c r="L911" s="71"/>
      <c r="M911" s="5"/>
    </row>
    <row r="912" spans="1:13" s="3" customFormat="1">
      <c r="A912" s="1"/>
      <c r="B912" s="8"/>
      <c r="C912" s="5"/>
      <c r="D912" s="12"/>
      <c r="E912" s="9"/>
      <c r="F912" s="9"/>
      <c r="G912" s="5"/>
      <c r="H912" s="16"/>
      <c r="I912" s="69"/>
      <c r="J912" s="70"/>
      <c r="K912" s="71"/>
      <c r="L912" s="71"/>
      <c r="M912" s="5"/>
    </row>
    <row r="913" spans="1:13" s="3" customFormat="1">
      <c r="A913" s="1"/>
      <c r="B913" s="8"/>
      <c r="C913" s="5"/>
      <c r="D913" s="12"/>
      <c r="E913" s="9"/>
      <c r="F913" s="9"/>
      <c r="G913" s="5"/>
      <c r="H913" s="16"/>
      <c r="I913" s="69"/>
      <c r="J913" s="70"/>
      <c r="K913" s="71"/>
      <c r="L913" s="71"/>
      <c r="M913" s="5"/>
    </row>
    <row r="914" spans="1:13" s="3" customFormat="1">
      <c r="A914" s="1"/>
      <c r="B914" s="8"/>
      <c r="C914" s="5"/>
      <c r="D914" s="12"/>
      <c r="E914" s="9"/>
      <c r="F914" s="9"/>
      <c r="G914" s="5"/>
      <c r="H914" s="16"/>
      <c r="I914" s="69"/>
      <c r="J914" s="70"/>
      <c r="K914" s="71"/>
      <c r="L914" s="71"/>
      <c r="M914" s="5"/>
    </row>
    <row r="915" spans="1:13" s="3" customFormat="1">
      <c r="A915" s="1"/>
      <c r="B915" s="8"/>
      <c r="C915" s="5"/>
      <c r="D915" s="12"/>
      <c r="E915" s="9"/>
      <c r="F915" s="9"/>
      <c r="G915" s="5"/>
      <c r="H915" s="16"/>
      <c r="I915" s="69"/>
      <c r="J915" s="70"/>
      <c r="K915" s="71"/>
      <c r="L915" s="71"/>
      <c r="M915" s="5"/>
    </row>
    <row r="916" spans="1:13" s="3" customFormat="1">
      <c r="A916" s="1"/>
      <c r="B916" s="8"/>
      <c r="C916" s="5"/>
      <c r="D916" s="12"/>
      <c r="E916" s="9"/>
      <c r="F916" s="9"/>
      <c r="G916" s="5"/>
      <c r="H916" s="16"/>
      <c r="I916" s="69"/>
      <c r="J916" s="70"/>
      <c r="K916" s="71"/>
      <c r="L916" s="71"/>
      <c r="M916" s="5"/>
    </row>
    <row r="917" spans="1:13" s="3" customFormat="1">
      <c r="A917" s="1"/>
      <c r="B917" s="8"/>
      <c r="C917" s="5"/>
      <c r="D917" s="12"/>
      <c r="E917" s="9"/>
      <c r="F917" s="9"/>
      <c r="G917" s="5"/>
      <c r="H917" s="16"/>
      <c r="I917" s="69"/>
      <c r="J917" s="70"/>
      <c r="K917" s="71"/>
      <c r="L917" s="71"/>
      <c r="M917" s="5"/>
    </row>
    <row r="918" spans="1:13" s="3" customFormat="1">
      <c r="A918" s="1"/>
      <c r="B918" s="8"/>
      <c r="C918" s="5"/>
      <c r="D918" s="12"/>
      <c r="E918" s="9"/>
      <c r="F918" s="9"/>
      <c r="G918" s="5"/>
      <c r="H918" s="16"/>
      <c r="I918" s="69"/>
      <c r="J918" s="70"/>
      <c r="K918" s="71"/>
      <c r="L918" s="71"/>
      <c r="M918" s="5"/>
    </row>
    <row r="919" spans="1:13" s="3" customFormat="1">
      <c r="A919" s="1"/>
      <c r="B919" s="8"/>
      <c r="C919" s="5"/>
      <c r="D919" s="12"/>
      <c r="E919" s="9"/>
      <c r="F919" s="9"/>
      <c r="G919" s="5"/>
      <c r="H919" s="16"/>
      <c r="I919" s="69"/>
      <c r="J919" s="70"/>
      <c r="K919" s="71"/>
      <c r="L919" s="71"/>
      <c r="M919" s="5"/>
    </row>
    <row r="920" spans="1:13" s="3" customFormat="1">
      <c r="A920" s="1"/>
      <c r="B920" s="8"/>
      <c r="C920" s="5"/>
      <c r="D920" s="12"/>
      <c r="E920" s="9"/>
      <c r="F920" s="9"/>
      <c r="G920" s="5"/>
      <c r="H920" s="16"/>
      <c r="I920" s="69"/>
      <c r="J920" s="70"/>
      <c r="K920" s="71"/>
      <c r="L920" s="71"/>
      <c r="M920" s="5"/>
    </row>
    <row r="921" spans="1:13" s="3" customFormat="1">
      <c r="A921" s="1"/>
      <c r="B921" s="8"/>
      <c r="C921" s="5"/>
      <c r="D921" s="12"/>
      <c r="E921" s="9"/>
      <c r="F921" s="9"/>
      <c r="G921" s="5"/>
      <c r="H921" s="16"/>
      <c r="I921" s="69"/>
      <c r="J921" s="70"/>
      <c r="K921" s="71"/>
      <c r="L921" s="71"/>
      <c r="M921" s="5"/>
    </row>
    <row r="922" spans="1:13" s="3" customFormat="1">
      <c r="A922" s="1"/>
      <c r="B922" s="8"/>
      <c r="C922" s="5"/>
      <c r="D922" s="12"/>
      <c r="E922" s="9"/>
      <c r="F922" s="9"/>
      <c r="G922" s="5"/>
      <c r="H922" s="16"/>
      <c r="I922" s="69"/>
      <c r="J922" s="70"/>
      <c r="K922" s="71"/>
      <c r="L922" s="71"/>
      <c r="M922" s="5"/>
    </row>
    <row r="923" spans="1:13" s="3" customFormat="1">
      <c r="A923" s="1"/>
      <c r="B923" s="8"/>
      <c r="C923" s="5"/>
      <c r="D923" s="12"/>
      <c r="E923" s="9"/>
      <c r="F923" s="9"/>
      <c r="G923" s="5"/>
      <c r="H923" s="16"/>
      <c r="I923" s="69"/>
      <c r="J923" s="70"/>
      <c r="K923" s="71"/>
      <c r="L923" s="71"/>
      <c r="M923" s="5"/>
    </row>
    <row r="924" spans="1:13" s="3" customFormat="1">
      <c r="A924" s="1"/>
      <c r="B924" s="8"/>
      <c r="C924" s="5"/>
      <c r="D924" s="12"/>
      <c r="E924" s="9"/>
      <c r="F924" s="9"/>
      <c r="G924" s="5"/>
      <c r="H924" s="16"/>
      <c r="I924" s="69"/>
      <c r="J924" s="70"/>
      <c r="K924" s="71"/>
      <c r="L924" s="71"/>
      <c r="M924" s="5"/>
    </row>
    <row r="925" spans="1:13" s="3" customFormat="1">
      <c r="A925" s="1"/>
      <c r="B925" s="8"/>
      <c r="C925" s="5"/>
      <c r="D925" s="12"/>
      <c r="E925" s="9"/>
      <c r="F925" s="9"/>
      <c r="G925" s="5"/>
      <c r="H925" s="16"/>
      <c r="I925" s="69"/>
      <c r="J925" s="70"/>
      <c r="K925" s="71"/>
      <c r="L925" s="71"/>
      <c r="M925" s="5"/>
    </row>
    <row r="926" spans="1:13" s="3" customFormat="1">
      <c r="A926" s="1"/>
      <c r="B926" s="8"/>
      <c r="C926" s="5"/>
      <c r="D926" s="12"/>
      <c r="E926" s="9"/>
      <c r="F926" s="9"/>
      <c r="G926" s="5"/>
      <c r="H926" s="16"/>
      <c r="I926" s="69"/>
      <c r="J926" s="70"/>
      <c r="K926" s="71"/>
      <c r="L926" s="71"/>
      <c r="M926" s="5"/>
    </row>
    <row r="927" spans="1:13" s="3" customFormat="1">
      <c r="A927" s="1"/>
      <c r="B927" s="8"/>
      <c r="C927" s="5"/>
      <c r="D927" s="12"/>
      <c r="E927" s="9"/>
      <c r="F927" s="9"/>
      <c r="G927" s="5"/>
      <c r="H927" s="16"/>
      <c r="I927" s="69"/>
      <c r="J927" s="70"/>
      <c r="K927" s="71"/>
      <c r="L927" s="71"/>
      <c r="M927" s="5"/>
    </row>
    <row r="928" spans="1:13" s="3" customFormat="1">
      <c r="A928" s="1"/>
      <c r="B928" s="8"/>
      <c r="C928" s="5"/>
      <c r="D928" s="12"/>
      <c r="E928" s="9"/>
      <c r="F928" s="9"/>
      <c r="G928" s="5"/>
      <c r="H928" s="16"/>
      <c r="I928" s="69"/>
      <c r="J928" s="70"/>
      <c r="K928" s="71"/>
      <c r="L928" s="71"/>
      <c r="M928" s="5"/>
    </row>
    <row r="929" spans="1:13" s="3" customFormat="1">
      <c r="A929" s="1"/>
      <c r="B929" s="8"/>
      <c r="C929" s="5"/>
      <c r="D929" s="12"/>
      <c r="E929" s="9"/>
      <c r="F929" s="9"/>
      <c r="G929" s="5"/>
      <c r="H929" s="16"/>
      <c r="I929" s="69"/>
      <c r="J929" s="70"/>
      <c r="K929" s="71"/>
      <c r="L929" s="71"/>
      <c r="M929" s="5"/>
    </row>
    <row r="930" spans="1:13" s="3" customFormat="1">
      <c r="A930" s="1"/>
      <c r="B930" s="8"/>
      <c r="C930" s="5"/>
      <c r="D930" s="12"/>
      <c r="E930" s="9"/>
      <c r="F930" s="9"/>
      <c r="G930" s="5"/>
      <c r="H930" s="16"/>
      <c r="I930" s="69"/>
      <c r="J930" s="70"/>
      <c r="K930" s="71"/>
      <c r="L930" s="71"/>
      <c r="M930" s="5"/>
    </row>
    <row r="931" spans="1:13" s="3" customFormat="1">
      <c r="A931" s="1"/>
      <c r="B931" s="8"/>
      <c r="C931" s="5"/>
      <c r="D931" s="12"/>
      <c r="E931" s="9"/>
      <c r="F931" s="9"/>
      <c r="G931" s="5"/>
      <c r="H931" s="16"/>
      <c r="I931" s="69"/>
      <c r="J931" s="70"/>
      <c r="K931" s="71"/>
      <c r="L931" s="71"/>
      <c r="M931" s="5"/>
    </row>
    <row r="932" spans="1:13" s="3" customFormat="1">
      <c r="A932" s="1"/>
      <c r="B932" s="8"/>
      <c r="C932" s="5"/>
      <c r="D932" s="12"/>
      <c r="E932" s="9"/>
      <c r="F932" s="9"/>
      <c r="G932" s="5"/>
      <c r="H932" s="16"/>
      <c r="I932" s="69"/>
      <c r="J932" s="70"/>
      <c r="K932" s="71"/>
      <c r="L932" s="71"/>
      <c r="M932" s="5"/>
    </row>
    <row r="933" spans="1:13" s="3" customFormat="1">
      <c r="A933" s="1"/>
      <c r="B933" s="8"/>
      <c r="C933" s="5"/>
      <c r="D933" s="12"/>
      <c r="E933" s="9"/>
      <c r="F933" s="9"/>
      <c r="G933" s="5"/>
      <c r="H933" s="16"/>
      <c r="I933" s="69"/>
      <c r="J933" s="70"/>
      <c r="K933" s="71"/>
      <c r="L933" s="71"/>
      <c r="M933" s="5"/>
    </row>
    <row r="934" spans="1:13" s="3" customFormat="1">
      <c r="A934" s="1"/>
      <c r="B934" s="8"/>
      <c r="C934" s="5"/>
      <c r="D934" s="12"/>
      <c r="E934" s="9"/>
      <c r="F934" s="9"/>
      <c r="G934" s="5"/>
      <c r="H934" s="16"/>
      <c r="I934" s="69"/>
      <c r="J934" s="70"/>
      <c r="K934" s="71"/>
      <c r="L934" s="71"/>
      <c r="M934" s="5"/>
    </row>
    <row r="935" spans="1:13" s="3" customFormat="1">
      <c r="A935" s="1"/>
      <c r="B935" s="8"/>
      <c r="C935" s="5"/>
      <c r="D935" s="12"/>
      <c r="E935" s="9"/>
      <c r="F935" s="9"/>
      <c r="G935" s="5"/>
      <c r="H935" s="16"/>
      <c r="I935" s="69"/>
      <c r="J935" s="70"/>
      <c r="K935" s="71"/>
      <c r="L935" s="71"/>
      <c r="M935" s="5"/>
    </row>
    <row r="936" spans="1:13" s="3" customFormat="1">
      <c r="A936" s="1"/>
      <c r="B936" s="8"/>
      <c r="C936" s="5"/>
      <c r="D936" s="12"/>
      <c r="E936" s="9"/>
      <c r="F936" s="9"/>
      <c r="G936" s="5"/>
      <c r="H936" s="16"/>
      <c r="I936" s="69"/>
      <c r="J936" s="70"/>
      <c r="K936" s="71"/>
      <c r="L936" s="71"/>
      <c r="M936" s="5"/>
    </row>
    <row r="937" spans="1:13" s="3" customFormat="1">
      <c r="A937" s="1"/>
      <c r="B937" s="8"/>
      <c r="C937" s="5"/>
      <c r="D937" s="12"/>
      <c r="E937" s="9"/>
      <c r="F937" s="9"/>
      <c r="G937" s="5"/>
      <c r="H937" s="16"/>
      <c r="I937" s="69"/>
      <c r="J937" s="70"/>
      <c r="K937" s="71"/>
      <c r="L937" s="71"/>
      <c r="M937" s="5"/>
    </row>
    <row r="938" spans="1:13" s="3" customFormat="1">
      <c r="A938" s="1"/>
      <c r="B938" s="8"/>
      <c r="C938" s="5"/>
      <c r="D938" s="12"/>
      <c r="E938" s="9"/>
      <c r="F938" s="9"/>
      <c r="G938" s="5"/>
      <c r="H938" s="16"/>
      <c r="I938" s="69"/>
      <c r="J938" s="70"/>
      <c r="K938" s="71"/>
      <c r="L938" s="71"/>
      <c r="M938" s="5"/>
    </row>
    <row r="939" spans="1:13" s="3" customFormat="1">
      <c r="A939" s="1"/>
      <c r="B939" s="8"/>
      <c r="C939" s="5"/>
      <c r="D939" s="12"/>
      <c r="E939" s="9"/>
      <c r="F939" s="9"/>
      <c r="G939" s="5"/>
      <c r="H939" s="16"/>
      <c r="I939" s="69"/>
      <c r="J939" s="70"/>
      <c r="K939" s="71"/>
      <c r="L939" s="71"/>
      <c r="M939" s="5"/>
    </row>
    <row r="940" spans="1:13" s="3" customFormat="1">
      <c r="A940" s="1"/>
      <c r="B940" s="8"/>
      <c r="C940" s="5"/>
      <c r="D940" s="12"/>
      <c r="E940" s="9"/>
      <c r="F940" s="9"/>
      <c r="G940" s="5"/>
      <c r="H940" s="16"/>
      <c r="I940" s="69"/>
      <c r="J940" s="70"/>
      <c r="K940" s="71"/>
      <c r="L940" s="71"/>
      <c r="M940" s="5"/>
    </row>
    <row r="941" spans="1:13" s="3" customFormat="1">
      <c r="A941" s="1"/>
      <c r="B941" s="8"/>
      <c r="C941" s="5"/>
      <c r="D941" s="12"/>
      <c r="E941" s="9"/>
      <c r="F941" s="9"/>
      <c r="G941" s="5"/>
      <c r="H941" s="16"/>
      <c r="I941" s="69"/>
      <c r="J941" s="70"/>
      <c r="K941" s="71"/>
      <c r="L941" s="71"/>
      <c r="M941" s="5"/>
    </row>
    <row r="942" spans="1:13" s="3" customFormat="1">
      <c r="A942" s="1"/>
      <c r="B942" s="8"/>
      <c r="C942" s="5"/>
      <c r="D942" s="12"/>
      <c r="E942" s="9"/>
      <c r="F942" s="9"/>
      <c r="G942" s="5"/>
      <c r="H942" s="16"/>
      <c r="I942" s="69"/>
      <c r="J942" s="70"/>
      <c r="K942" s="71"/>
      <c r="L942" s="71"/>
      <c r="M942" s="5"/>
    </row>
    <row r="943" spans="1:13" s="3" customFormat="1">
      <c r="A943" s="1"/>
      <c r="B943" s="8"/>
      <c r="C943" s="5"/>
      <c r="D943" s="12"/>
      <c r="E943" s="9"/>
      <c r="F943" s="9"/>
      <c r="G943" s="5"/>
      <c r="H943" s="16"/>
      <c r="I943" s="69"/>
      <c r="J943" s="70"/>
      <c r="K943" s="71"/>
      <c r="L943" s="71"/>
      <c r="M943" s="5"/>
    </row>
    <row r="944" spans="1:13" s="3" customFormat="1">
      <c r="A944" s="1"/>
      <c r="B944" s="8"/>
      <c r="C944" s="5"/>
      <c r="D944" s="12"/>
      <c r="E944" s="9"/>
      <c r="F944" s="9"/>
      <c r="G944" s="5"/>
      <c r="H944" s="16"/>
      <c r="I944" s="69"/>
      <c r="J944" s="70"/>
      <c r="K944" s="71"/>
      <c r="L944" s="71"/>
      <c r="M944" s="5"/>
    </row>
    <row r="945" spans="1:13" s="3" customFormat="1">
      <c r="A945" s="1"/>
      <c r="B945" s="8"/>
      <c r="C945" s="5"/>
      <c r="D945" s="12"/>
      <c r="E945" s="9"/>
      <c r="F945" s="9"/>
      <c r="G945" s="5"/>
      <c r="H945" s="16"/>
      <c r="I945" s="69"/>
      <c r="J945" s="70"/>
      <c r="K945" s="71"/>
      <c r="L945" s="71"/>
      <c r="M945" s="5"/>
    </row>
    <row r="946" spans="1:13" s="3" customFormat="1">
      <c r="A946" s="1"/>
      <c r="B946" s="8"/>
      <c r="C946" s="5"/>
      <c r="D946" s="12"/>
      <c r="E946" s="9"/>
      <c r="F946" s="9"/>
      <c r="G946" s="5"/>
      <c r="H946" s="16"/>
      <c r="I946" s="69"/>
      <c r="J946" s="70"/>
      <c r="K946" s="71"/>
      <c r="L946" s="71"/>
      <c r="M946" s="5"/>
    </row>
    <row r="947" spans="1:13" s="3" customFormat="1">
      <c r="A947" s="1"/>
      <c r="B947" s="8"/>
      <c r="C947" s="5"/>
      <c r="D947" s="12"/>
      <c r="E947" s="9"/>
      <c r="F947" s="9"/>
      <c r="G947" s="5"/>
      <c r="H947" s="16"/>
      <c r="I947" s="69"/>
      <c r="J947" s="70"/>
      <c r="K947" s="71"/>
      <c r="L947" s="71"/>
      <c r="M947" s="5"/>
    </row>
    <row r="948" spans="1:13" s="3" customFormat="1">
      <c r="A948" s="1"/>
      <c r="B948" s="8"/>
      <c r="C948" s="5"/>
      <c r="D948" s="12"/>
      <c r="E948" s="9"/>
      <c r="F948" s="9"/>
      <c r="G948" s="5"/>
      <c r="H948" s="16"/>
      <c r="I948" s="69"/>
      <c r="J948" s="70"/>
      <c r="K948" s="71"/>
      <c r="L948" s="71"/>
      <c r="M948" s="5"/>
    </row>
    <row r="949" spans="1:13" s="3" customFormat="1">
      <c r="A949" s="1"/>
      <c r="B949" s="8"/>
      <c r="C949" s="5"/>
      <c r="D949" s="12"/>
      <c r="E949" s="9"/>
      <c r="F949" s="9"/>
      <c r="G949" s="5"/>
      <c r="H949" s="16"/>
      <c r="I949" s="69"/>
      <c r="J949" s="70"/>
      <c r="K949" s="71"/>
      <c r="L949" s="71"/>
      <c r="M949" s="5"/>
    </row>
    <row r="950" spans="1:13" s="3" customFormat="1">
      <c r="A950" s="1"/>
      <c r="B950" s="8"/>
      <c r="C950" s="5"/>
      <c r="D950" s="12"/>
      <c r="E950" s="9"/>
      <c r="F950" s="9"/>
      <c r="G950" s="5"/>
      <c r="H950" s="16"/>
      <c r="I950" s="69"/>
      <c r="J950" s="70"/>
      <c r="K950" s="71"/>
      <c r="L950" s="71"/>
      <c r="M950" s="5"/>
    </row>
    <row r="951" spans="1:13" s="3" customFormat="1">
      <c r="A951" s="1"/>
      <c r="B951" s="8"/>
      <c r="C951" s="5"/>
      <c r="D951" s="12"/>
      <c r="E951" s="9"/>
      <c r="F951" s="9"/>
      <c r="G951" s="5"/>
      <c r="H951" s="16"/>
      <c r="I951" s="69"/>
      <c r="J951" s="70"/>
      <c r="K951" s="71"/>
      <c r="L951" s="71"/>
      <c r="M951" s="5"/>
    </row>
    <row r="952" spans="1:13" s="3" customFormat="1">
      <c r="A952" s="1"/>
      <c r="B952" s="8"/>
      <c r="C952" s="5"/>
      <c r="D952" s="12"/>
      <c r="E952" s="9"/>
      <c r="F952" s="9"/>
      <c r="G952" s="5"/>
      <c r="H952" s="16"/>
      <c r="I952" s="69"/>
      <c r="J952" s="70"/>
      <c r="K952" s="71"/>
      <c r="L952" s="71"/>
      <c r="M952" s="5"/>
    </row>
    <row r="953" spans="1:13" s="3" customFormat="1">
      <c r="A953" s="1"/>
      <c r="B953" s="8"/>
      <c r="C953" s="5"/>
      <c r="D953" s="12"/>
      <c r="E953" s="9"/>
      <c r="F953" s="9"/>
      <c r="G953" s="5"/>
      <c r="H953" s="16"/>
      <c r="I953" s="69"/>
      <c r="J953" s="70"/>
      <c r="K953" s="71"/>
      <c r="L953" s="71"/>
      <c r="M953" s="5"/>
    </row>
    <row r="954" spans="1:13" s="3" customFormat="1">
      <c r="A954" s="1"/>
      <c r="B954" s="8"/>
      <c r="C954" s="5"/>
      <c r="D954" s="12"/>
      <c r="E954" s="9"/>
      <c r="F954" s="9"/>
      <c r="G954" s="5"/>
      <c r="H954" s="16"/>
      <c r="I954" s="69"/>
      <c r="J954" s="70"/>
      <c r="K954" s="71"/>
      <c r="L954" s="71"/>
      <c r="M954" s="5"/>
    </row>
    <row r="955" spans="1:13" s="3" customFormat="1">
      <c r="A955" s="1"/>
      <c r="B955" s="8"/>
      <c r="C955" s="5"/>
      <c r="D955" s="12"/>
      <c r="E955" s="9"/>
      <c r="F955" s="9"/>
      <c r="G955" s="5"/>
      <c r="H955" s="16"/>
      <c r="I955" s="69"/>
      <c r="J955" s="70"/>
      <c r="K955" s="71"/>
      <c r="L955" s="71"/>
      <c r="M955" s="5"/>
    </row>
    <row r="956" spans="1:13" s="3" customFormat="1">
      <c r="A956" s="1"/>
      <c r="B956" s="8"/>
      <c r="C956" s="5"/>
      <c r="D956" s="12"/>
      <c r="E956" s="9"/>
      <c r="F956" s="9"/>
      <c r="G956" s="5"/>
      <c r="H956" s="16"/>
      <c r="I956" s="69"/>
      <c r="J956" s="70"/>
      <c r="K956" s="71"/>
      <c r="L956" s="71"/>
      <c r="M956" s="5"/>
    </row>
    <row r="957" spans="1:13" s="3" customFormat="1">
      <c r="A957" s="1"/>
      <c r="B957" s="8"/>
      <c r="C957" s="5"/>
      <c r="D957" s="12"/>
      <c r="E957" s="9"/>
      <c r="F957" s="9"/>
      <c r="G957" s="5"/>
      <c r="H957" s="16"/>
      <c r="I957" s="69"/>
      <c r="J957" s="70"/>
      <c r="K957" s="71"/>
      <c r="L957" s="71"/>
      <c r="M957" s="5"/>
    </row>
    <row r="958" spans="1:13" s="3" customFormat="1">
      <c r="A958" s="1"/>
      <c r="B958" s="8"/>
      <c r="C958" s="5"/>
      <c r="D958" s="12"/>
      <c r="E958" s="9"/>
      <c r="F958" s="9"/>
      <c r="G958" s="5"/>
      <c r="H958" s="16"/>
      <c r="I958" s="69"/>
      <c r="J958" s="70"/>
      <c r="K958" s="71"/>
      <c r="L958" s="71"/>
      <c r="M958" s="5"/>
    </row>
    <row r="959" spans="1:13" s="3" customFormat="1">
      <c r="A959" s="1"/>
      <c r="B959" s="8"/>
      <c r="C959" s="5"/>
      <c r="D959" s="12"/>
      <c r="E959" s="9"/>
      <c r="F959" s="9"/>
      <c r="G959" s="5"/>
      <c r="H959" s="16"/>
      <c r="I959" s="69"/>
      <c r="J959" s="70"/>
      <c r="K959" s="71"/>
      <c r="L959" s="71"/>
      <c r="M959" s="5"/>
    </row>
    <row r="960" spans="1:13" s="3" customFormat="1">
      <c r="A960" s="1"/>
      <c r="B960" s="8"/>
      <c r="C960" s="5"/>
      <c r="D960" s="12"/>
      <c r="E960" s="9"/>
      <c r="F960" s="9"/>
      <c r="G960" s="5"/>
      <c r="H960" s="16"/>
      <c r="I960" s="69"/>
      <c r="J960" s="70"/>
      <c r="K960" s="71"/>
      <c r="L960" s="71"/>
      <c r="M960" s="5"/>
    </row>
    <row r="961" spans="1:13" s="3" customFormat="1">
      <c r="A961" s="1"/>
      <c r="B961" s="8"/>
      <c r="C961" s="5"/>
      <c r="D961" s="12"/>
      <c r="E961" s="9"/>
      <c r="F961" s="9"/>
      <c r="G961" s="5"/>
      <c r="H961" s="16"/>
      <c r="I961" s="69"/>
      <c r="J961" s="70"/>
      <c r="K961" s="71"/>
      <c r="L961" s="71"/>
      <c r="M961" s="5"/>
    </row>
    <row r="962" spans="1:13" s="3" customFormat="1">
      <c r="A962" s="1"/>
      <c r="B962" s="8"/>
      <c r="C962" s="5"/>
      <c r="D962" s="12"/>
      <c r="E962" s="9"/>
      <c r="F962" s="9"/>
      <c r="G962" s="5"/>
      <c r="H962" s="16"/>
      <c r="I962" s="69"/>
      <c r="J962" s="70"/>
      <c r="K962" s="71"/>
      <c r="L962" s="71"/>
      <c r="M962" s="5"/>
    </row>
    <row r="963" spans="1:13" s="3" customFormat="1">
      <c r="A963" s="1"/>
      <c r="B963" s="8"/>
      <c r="C963" s="5"/>
      <c r="D963" s="12"/>
      <c r="E963" s="9"/>
      <c r="F963" s="9"/>
      <c r="G963" s="5"/>
      <c r="H963" s="16"/>
      <c r="I963" s="69"/>
      <c r="J963" s="70"/>
      <c r="K963" s="71"/>
      <c r="L963" s="71"/>
      <c r="M963" s="5"/>
    </row>
    <row r="964" spans="1:13" s="3" customFormat="1">
      <c r="A964" s="1"/>
      <c r="B964" s="8"/>
      <c r="C964" s="5"/>
      <c r="D964" s="12"/>
      <c r="E964" s="9"/>
      <c r="F964" s="9"/>
      <c r="G964" s="5"/>
      <c r="H964" s="16"/>
      <c r="I964" s="69"/>
      <c r="J964" s="70"/>
      <c r="K964" s="71"/>
      <c r="L964" s="71"/>
      <c r="M964" s="5"/>
    </row>
    <row r="965" spans="1:13" s="3" customFormat="1">
      <c r="A965" s="1"/>
      <c r="B965" s="8"/>
      <c r="C965" s="5"/>
      <c r="D965" s="12"/>
      <c r="E965" s="9"/>
      <c r="F965" s="9"/>
      <c r="G965" s="5"/>
      <c r="H965" s="16"/>
      <c r="I965" s="69"/>
      <c r="J965" s="70"/>
      <c r="K965" s="71"/>
      <c r="L965" s="71"/>
      <c r="M965" s="5"/>
    </row>
    <row r="966" spans="1:13" s="3" customFormat="1">
      <c r="A966" s="1"/>
      <c r="B966" s="8"/>
      <c r="C966" s="5"/>
      <c r="D966" s="12"/>
      <c r="E966" s="9"/>
      <c r="F966" s="9"/>
      <c r="G966" s="5"/>
      <c r="H966" s="16"/>
      <c r="I966" s="69"/>
      <c r="J966" s="70"/>
      <c r="K966" s="71"/>
      <c r="L966" s="71"/>
      <c r="M966" s="5"/>
    </row>
    <row r="967" spans="1:13" s="3" customFormat="1">
      <c r="A967" s="1"/>
      <c r="B967" s="8"/>
      <c r="C967" s="5"/>
      <c r="D967" s="12"/>
      <c r="E967" s="9"/>
      <c r="F967" s="9"/>
      <c r="G967" s="5"/>
      <c r="H967" s="16"/>
      <c r="I967" s="69"/>
      <c r="J967" s="70"/>
      <c r="K967" s="71"/>
      <c r="L967" s="71"/>
      <c r="M967" s="5"/>
    </row>
    <row r="968" spans="1:13" s="3" customFormat="1">
      <c r="A968" s="1"/>
      <c r="B968" s="8"/>
      <c r="C968" s="5"/>
      <c r="D968" s="12"/>
      <c r="E968" s="9"/>
      <c r="F968" s="9"/>
      <c r="G968" s="5"/>
      <c r="H968" s="16"/>
      <c r="I968" s="69"/>
      <c r="J968" s="70"/>
      <c r="K968" s="71"/>
      <c r="L968" s="71"/>
      <c r="M968" s="5"/>
    </row>
    <row r="969" spans="1:13" s="3" customFormat="1">
      <c r="A969" s="1"/>
      <c r="B969" s="8"/>
      <c r="C969" s="5"/>
      <c r="D969" s="12"/>
      <c r="E969" s="9"/>
      <c r="F969" s="9"/>
      <c r="G969" s="5"/>
      <c r="H969" s="16"/>
      <c r="I969" s="69"/>
      <c r="J969" s="70"/>
      <c r="K969" s="71"/>
      <c r="L969" s="71"/>
      <c r="M969" s="5"/>
    </row>
    <row r="970" spans="1:13" s="3" customFormat="1">
      <c r="A970" s="1"/>
      <c r="B970" s="8"/>
      <c r="C970" s="5"/>
      <c r="D970" s="12"/>
      <c r="E970" s="9"/>
      <c r="F970" s="9"/>
      <c r="G970" s="5"/>
      <c r="H970" s="16"/>
      <c r="I970" s="69"/>
      <c r="J970" s="70"/>
      <c r="K970" s="71"/>
      <c r="L970" s="71"/>
      <c r="M970" s="5"/>
    </row>
    <row r="971" spans="1:13" s="3" customFormat="1">
      <c r="A971" s="1"/>
      <c r="B971" s="8"/>
      <c r="C971" s="5"/>
      <c r="D971" s="12"/>
      <c r="E971" s="9"/>
      <c r="F971" s="9"/>
      <c r="G971" s="5"/>
      <c r="H971" s="16"/>
      <c r="I971" s="69"/>
      <c r="J971" s="70"/>
      <c r="K971" s="71"/>
      <c r="L971" s="71"/>
      <c r="M971" s="5"/>
    </row>
    <row r="972" spans="1:13" s="3" customFormat="1">
      <c r="A972" s="1"/>
      <c r="B972" s="8"/>
      <c r="C972" s="5"/>
      <c r="D972" s="12"/>
      <c r="E972" s="9"/>
      <c r="F972" s="9"/>
      <c r="G972" s="5"/>
      <c r="H972" s="16"/>
      <c r="I972" s="69"/>
      <c r="J972" s="70"/>
      <c r="K972" s="71"/>
      <c r="L972" s="71"/>
      <c r="M972" s="5"/>
    </row>
    <row r="973" spans="1:13" s="3" customFormat="1">
      <c r="A973" s="1"/>
      <c r="B973" s="8"/>
      <c r="C973" s="5"/>
      <c r="D973" s="12"/>
      <c r="E973" s="9"/>
      <c r="F973" s="9"/>
      <c r="G973" s="5"/>
      <c r="H973" s="16"/>
      <c r="I973" s="69"/>
      <c r="J973" s="70"/>
      <c r="K973" s="71"/>
      <c r="L973" s="71"/>
      <c r="M973" s="5"/>
    </row>
    <row r="974" spans="1:13" s="3" customFormat="1">
      <c r="A974" s="1"/>
      <c r="B974" s="8"/>
      <c r="C974" s="5"/>
      <c r="D974" s="12"/>
      <c r="E974" s="9"/>
      <c r="F974" s="9"/>
      <c r="G974" s="5"/>
      <c r="H974" s="16"/>
      <c r="I974" s="69"/>
      <c r="J974" s="70"/>
      <c r="K974" s="71"/>
      <c r="L974" s="71"/>
      <c r="M974" s="5"/>
    </row>
    <row r="975" spans="1:13" s="3" customFormat="1">
      <c r="A975" s="1"/>
      <c r="B975" s="8"/>
      <c r="C975" s="5"/>
      <c r="D975" s="12"/>
      <c r="E975" s="9"/>
      <c r="F975" s="9"/>
      <c r="G975" s="5"/>
      <c r="H975" s="16"/>
      <c r="I975" s="69"/>
      <c r="J975" s="70"/>
      <c r="K975" s="71"/>
      <c r="L975" s="71"/>
      <c r="M975" s="5"/>
    </row>
    <row r="976" spans="1:13" s="3" customFormat="1">
      <c r="A976" s="1"/>
      <c r="B976" s="8"/>
      <c r="C976" s="5"/>
      <c r="D976" s="12"/>
      <c r="E976" s="9"/>
      <c r="F976" s="9"/>
      <c r="G976" s="5"/>
      <c r="H976" s="16"/>
      <c r="I976" s="69"/>
      <c r="J976" s="70"/>
      <c r="K976" s="71"/>
      <c r="L976" s="71"/>
      <c r="M976" s="5"/>
    </row>
    <row r="977" spans="1:13" s="3" customFormat="1">
      <c r="A977" s="1"/>
      <c r="B977" s="8"/>
      <c r="C977" s="5"/>
      <c r="D977" s="12"/>
      <c r="E977" s="9"/>
      <c r="F977" s="9"/>
      <c r="G977" s="5"/>
      <c r="H977" s="16"/>
      <c r="I977" s="69"/>
      <c r="J977" s="70"/>
      <c r="K977" s="71"/>
      <c r="L977" s="71"/>
      <c r="M977" s="5"/>
    </row>
    <row r="978" spans="1:13" s="3" customFormat="1">
      <c r="A978" s="1"/>
      <c r="B978" s="8"/>
      <c r="C978" s="5"/>
      <c r="D978" s="12"/>
      <c r="E978" s="9"/>
      <c r="F978" s="9"/>
      <c r="G978" s="5"/>
      <c r="H978" s="16"/>
      <c r="I978" s="69"/>
      <c r="J978" s="70"/>
      <c r="K978" s="71"/>
      <c r="L978" s="71"/>
      <c r="M978" s="5"/>
    </row>
    <row r="979" spans="1:13" s="3" customFormat="1">
      <c r="A979" s="1"/>
      <c r="B979" s="8"/>
      <c r="C979" s="5"/>
      <c r="D979" s="12"/>
      <c r="E979" s="9"/>
      <c r="F979" s="9"/>
      <c r="G979" s="5"/>
      <c r="H979" s="16"/>
      <c r="I979" s="69"/>
      <c r="J979" s="70"/>
      <c r="K979" s="71"/>
      <c r="L979" s="71"/>
      <c r="M979" s="5"/>
    </row>
    <row r="980" spans="1:13" s="3" customFormat="1">
      <c r="A980" s="1"/>
      <c r="B980" s="8"/>
      <c r="C980" s="5"/>
      <c r="D980" s="12"/>
      <c r="E980" s="9"/>
      <c r="F980" s="9"/>
      <c r="G980" s="5"/>
      <c r="H980" s="16"/>
      <c r="I980" s="69"/>
      <c r="J980" s="70"/>
      <c r="K980" s="71"/>
      <c r="L980" s="71"/>
      <c r="M980" s="5"/>
    </row>
    <row r="981" spans="1:13" s="3" customFormat="1">
      <c r="A981" s="1"/>
      <c r="B981" s="8"/>
      <c r="C981" s="5"/>
      <c r="D981" s="12"/>
      <c r="E981" s="9"/>
      <c r="F981" s="9"/>
      <c r="G981" s="5"/>
      <c r="H981" s="16"/>
      <c r="I981" s="69"/>
      <c r="J981" s="70"/>
      <c r="K981" s="71"/>
      <c r="L981" s="71"/>
      <c r="M981" s="5"/>
    </row>
    <row r="982" spans="1:13" s="3" customFormat="1">
      <c r="A982" s="1"/>
      <c r="B982" s="8"/>
      <c r="C982" s="5"/>
      <c r="D982" s="12"/>
      <c r="E982" s="9"/>
      <c r="F982" s="9"/>
      <c r="G982" s="5"/>
      <c r="H982" s="16"/>
      <c r="I982" s="69"/>
      <c r="J982" s="70"/>
      <c r="K982" s="71"/>
      <c r="L982" s="71"/>
      <c r="M982" s="5"/>
    </row>
    <row r="983" spans="1:13" s="3" customFormat="1">
      <c r="A983" s="1"/>
      <c r="B983" s="8"/>
      <c r="C983" s="5"/>
      <c r="D983" s="12"/>
      <c r="E983" s="9"/>
      <c r="F983" s="9"/>
      <c r="G983" s="5"/>
      <c r="H983" s="16"/>
      <c r="I983" s="69"/>
      <c r="J983" s="70"/>
      <c r="K983" s="71"/>
      <c r="L983" s="71"/>
      <c r="M983" s="5"/>
    </row>
    <row r="984" spans="1:13" s="3" customFormat="1">
      <c r="A984" s="1"/>
      <c r="B984" s="8"/>
      <c r="C984" s="5"/>
      <c r="D984" s="12"/>
      <c r="E984" s="9"/>
      <c r="F984" s="9"/>
      <c r="G984" s="5"/>
      <c r="H984" s="16"/>
      <c r="I984" s="69"/>
      <c r="J984" s="70"/>
      <c r="K984" s="71"/>
      <c r="L984" s="71"/>
      <c r="M984" s="5"/>
    </row>
    <row r="985" spans="1:13" s="3" customFormat="1">
      <c r="A985" s="1"/>
      <c r="B985" s="8"/>
      <c r="C985" s="5"/>
      <c r="D985" s="12"/>
      <c r="E985" s="9"/>
      <c r="F985" s="9"/>
      <c r="G985" s="5"/>
      <c r="H985" s="16"/>
      <c r="I985" s="69"/>
      <c r="J985" s="70"/>
      <c r="K985" s="71"/>
      <c r="L985" s="71"/>
      <c r="M985" s="5"/>
    </row>
    <row r="986" spans="1:13" s="3" customFormat="1">
      <c r="A986" s="1"/>
      <c r="B986" s="8"/>
      <c r="C986" s="5"/>
      <c r="D986" s="12"/>
      <c r="E986" s="9"/>
      <c r="F986" s="9"/>
      <c r="G986" s="5"/>
      <c r="H986" s="16"/>
      <c r="I986" s="69"/>
      <c r="J986" s="70"/>
      <c r="K986" s="71"/>
      <c r="L986" s="71"/>
      <c r="M986" s="5"/>
    </row>
    <row r="987" spans="1:13" s="3" customFormat="1">
      <c r="A987" s="1"/>
      <c r="B987" s="8"/>
      <c r="C987" s="5"/>
      <c r="D987" s="12"/>
      <c r="E987" s="9"/>
      <c r="F987" s="9"/>
      <c r="G987" s="5"/>
      <c r="H987" s="16"/>
      <c r="I987" s="69"/>
      <c r="J987" s="70"/>
      <c r="K987" s="71"/>
      <c r="L987" s="71"/>
      <c r="M987" s="5"/>
    </row>
    <row r="988" spans="1:13" s="3" customFormat="1">
      <c r="A988" s="1"/>
      <c r="B988" s="8"/>
      <c r="C988" s="5"/>
      <c r="D988" s="12"/>
      <c r="E988" s="9"/>
      <c r="F988" s="9"/>
      <c r="G988" s="5"/>
      <c r="H988" s="16"/>
      <c r="I988" s="69"/>
      <c r="J988" s="70"/>
      <c r="K988" s="71"/>
      <c r="L988" s="71"/>
      <c r="M988" s="5"/>
    </row>
    <row r="989" spans="1:13" s="3" customFormat="1">
      <c r="A989" s="1"/>
      <c r="B989" s="8"/>
      <c r="C989" s="5"/>
      <c r="D989" s="12"/>
      <c r="E989" s="9"/>
      <c r="F989" s="9"/>
      <c r="G989" s="5"/>
      <c r="H989" s="16"/>
      <c r="I989" s="69"/>
      <c r="J989" s="70"/>
      <c r="K989" s="71"/>
      <c r="L989" s="71"/>
      <c r="M989" s="5"/>
    </row>
    <row r="990" spans="1:13" s="3" customFormat="1">
      <c r="A990" s="1"/>
      <c r="B990" s="8"/>
      <c r="C990" s="5"/>
      <c r="D990" s="12"/>
      <c r="E990" s="9"/>
      <c r="F990" s="9"/>
      <c r="G990" s="5"/>
      <c r="H990" s="16"/>
      <c r="I990" s="69"/>
      <c r="J990" s="70"/>
      <c r="K990" s="71"/>
      <c r="L990" s="71"/>
      <c r="M990" s="5"/>
    </row>
    <row r="991" spans="1:13" s="3" customFormat="1">
      <c r="A991" s="1"/>
      <c r="B991" s="8"/>
      <c r="C991" s="5"/>
      <c r="D991" s="12"/>
      <c r="E991" s="9"/>
      <c r="F991" s="9"/>
      <c r="G991" s="5"/>
      <c r="H991" s="16"/>
      <c r="I991" s="69"/>
      <c r="J991" s="70"/>
      <c r="K991" s="71"/>
      <c r="L991" s="71"/>
      <c r="M991" s="5"/>
    </row>
    <row r="992" spans="1:13" s="3" customFormat="1">
      <c r="A992" s="1"/>
      <c r="B992" s="8"/>
      <c r="C992" s="5"/>
      <c r="D992" s="12"/>
      <c r="E992" s="9"/>
      <c r="F992" s="9"/>
      <c r="G992" s="5"/>
      <c r="H992" s="16"/>
      <c r="I992" s="69"/>
      <c r="J992" s="70"/>
      <c r="K992" s="71"/>
      <c r="L992" s="71"/>
      <c r="M992" s="5"/>
    </row>
    <row r="993" spans="1:13" s="3" customFormat="1">
      <c r="A993" s="1"/>
      <c r="B993" s="8"/>
      <c r="C993" s="5"/>
      <c r="D993" s="12"/>
      <c r="E993" s="9"/>
      <c r="F993" s="9"/>
      <c r="G993" s="5"/>
      <c r="H993" s="16"/>
      <c r="I993" s="69"/>
      <c r="J993" s="70"/>
      <c r="K993" s="71"/>
      <c r="L993" s="71"/>
      <c r="M993" s="5"/>
    </row>
    <row r="994" spans="1:13" s="3" customFormat="1">
      <c r="A994" s="1"/>
      <c r="B994" s="8"/>
      <c r="C994" s="5"/>
      <c r="D994" s="12"/>
      <c r="E994" s="9"/>
      <c r="F994" s="9"/>
      <c r="G994" s="5"/>
      <c r="H994" s="16"/>
      <c r="I994" s="69"/>
      <c r="J994" s="70"/>
      <c r="K994" s="71"/>
      <c r="L994" s="71"/>
      <c r="M994" s="5"/>
    </row>
    <row r="995" spans="1:13" s="3" customFormat="1">
      <c r="A995" s="1"/>
      <c r="B995" s="8"/>
      <c r="C995" s="5"/>
      <c r="D995" s="12"/>
      <c r="E995" s="9"/>
      <c r="F995" s="9"/>
      <c r="G995" s="5"/>
      <c r="H995" s="16"/>
      <c r="I995" s="69"/>
      <c r="J995" s="70"/>
      <c r="K995" s="71"/>
      <c r="L995" s="71"/>
      <c r="M995" s="5"/>
    </row>
    <row r="996" spans="1:13" s="3" customFormat="1">
      <c r="A996" s="1"/>
      <c r="B996" s="8"/>
      <c r="C996" s="5"/>
      <c r="D996" s="12"/>
      <c r="E996" s="9"/>
      <c r="F996" s="9"/>
      <c r="G996" s="5"/>
      <c r="H996" s="16"/>
      <c r="I996" s="69"/>
      <c r="J996" s="70"/>
      <c r="K996" s="71"/>
      <c r="L996" s="71"/>
      <c r="M996" s="5"/>
    </row>
    <row r="997" spans="1:13" s="3" customFormat="1">
      <c r="A997" s="1"/>
      <c r="B997" s="8"/>
      <c r="C997" s="5"/>
      <c r="D997" s="12"/>
      <c r="E997" s="9"/>
      <c r="F997" s="9"/>
      <c r="G997" s="5"/>
      <c r="H997" s="16"/>
      <c r="I997" s="69"/>
      <c r="J997" s="70"/>
      <c r="K997" s="71"/>
      <c r="L997" s="71"/>
      <c r="M997" s="5"/>
    </row>
    <row r="998" spans="1:13" s="3" customFormat="1">
      <c r="A998" s="1"/>
      <c r="B998" s="8"/>
      <c r="C998" s="5"/>
      <c r="D998" s="12"/>
      <c r="E998" s="9"/>
      <c r="F998" s="9"/>
      <c r="G998" s="5"/>
      <c r="H998" s="16"/>
      <c r="I998" s="69"/>
      <c r="J998" s="70"/>
      <c r="K998" s="71"/>
      <c r="L998" s="71"/>
      <c r="M998" s="5"/>
    </row>
    <row r="999" spans="1:13" s="3" customFormat="1">
      <c r="A999" s="1"/>
      <c r="B999" s="8"/>
      <c r="C999" s="5"/>
      <c r="D999" s="12"/>
      <c r="E999" s="9"/>
      <c r="F999" s="9"/>
      <c r="G999" s="5"/>
      <c r="H999" s="16"/>
      <c r="I999" s="69"/>
      <c r="J999" s="70"/>
      <c r="K999" s="71"/>
      <c r="L999" s="71"/>
      <c r="M999" s="5"/>
    </row>
    <row r="1000" spans="1:13" s="3" customFormat="1">
      <c r="A1000" s="1"/>
      <c r="B1000" s="8"/>
      <c r="C1000" s="5"/>
      <c r="D1000" s="12"/>
      <c r="E1000" s="9"/>
      <c r="F1000" s="9"/>
      <c r="G1000" s="5"/>
      <c r="H1000" s="16"/>
      <c r="I1000" s="69"/>
      <c r="J1000" s="70"/>
      <c r="K1000" s="71"/>
      <c r="L1000" s="71"/>
      <c r="M1000" s="5"/>
    </row>
    <row r="1001" spans="1:13" s="3" customFormat="1">
      <c r="A1001" s="1"/>
      <c r="B1001" s="8"/>
      <c r="C1001" s="5"/>
      <c r="D1001" s="12"/>
      <c r="E1001" s="9"/>
      <c r="F1001" s="9"/>
      <c r="G1001" s="5"/>
      <c r="H1001" s="16"/>
      <c r="I1001" s="69"/>
      <c r="J1001" s="70"/>
      <c r="K1001" s="71"/>
      <c r="L1001" s="71"/>
      <c r="M1001" s="5"/>
    </row>
    <row r="1002" spans="1:13" s="3" customFormat="1">
      <c r="A1002" s="1"/>
      <c r="B1002" s="8"/>
      <c r="C1002" s="5"/>
      <c r="D1002" s="12"/>
      <c r="E1002" s="9"/>
      <c r="F1002" s="9"/>
      <c r="G1002" s="5"/>
      <c r="H1002" s="16"/>
      <c r="I1002" s="69"/>
      <c r="J1002" s="70"/>
      <c r="K1002" s="71"/>
      <c r="L1002" s="71"/>
      <c r="M1002" s="5"/>
    </row>
    <row r="1003" spans="1:13" s="3" customFormat="1">
      <c r="A1003" s="1"/>
      <c r="B1003" s="8"/>
      <c r="C1003" s="5"/>
      <c r="D1003" s="12"/>
      <c r="E1003" s="9"/>
      <c r="F1003" s="9"/>
      <c r="G1003" s="5"/>
      <c r="H1003" s="16"/>
      <c r="I1003" s="69"/>
      <c r="J1003" s="70"/>
      <c r="K1003" s="71"/>
      <c r="L1003" s="71"/>
      <c r="M1003" s="5"/>
    </row>
    <row r="1004" spans="1:13" s="3" customFormat="1">
      <c r="A1004" s="1"/>
      <c r="B1004" s="8"/>
      <c r="C1004" s="5"/>
      <c r="D1004" s="12"/>
      <c r="E1004" s="9"/>
      <c r="F1004" s="9"/>
      <c r="G1004" s="5"/>
      <c r="H1004" s="16"/>
      <c r="I1004" s="69"/>
      <c r="J1004" s="70"/>
      <c r="K1004" s="71"/>
      <c r="L1004" s="71"/>
      <c r="M1004" s="5"/>
    </row>
    <row r="1005" spans="1:13" s="3" customFormat="1">
      <c r="A1005" s="1"/>
      <c r="B1005" s="8"/>
      <c r="C1005" s="5"/>
      <c r="D1005" s="12"/>
      <c r="E1005" s="9"/>
      <c r="F1005" s="9"/>
      <c r="G1005" s="5"/>
      <c r="H1005" s="16"/>
      <c r="I1005" s="69"/>
      <c r="J1005" s="70"/>
      <c r="K1005" s="71"/>
      <c r="L1005" s="71"/>
      <c r="M1005" s="5"/>
    </row>
    <row r="1006" spans="1:13" s="3" customFormat="1">
      <c r="A1006" s="1"/>
      <c r="B1006" s="8"/>
      <c r="C1006" s="5"/>
      <c r="D1006" s="12"/>
      <c r="E1006" s="9"/>
      <c r="F1006" s="9"/>
      <c r="G1006" s="5"/>
      <c r="H1006" s="16"/>
      <c r="I1006" s="69"/>
      <c r="J1006" s="70"/>
      <c r="K1006" s="71"/>
      <c r="L1006" s="71"/>
      <c r="M1006" s="5"/>
    </row>
    <row r="1007" spans="1:13" s="3" customFormat="1">
      <c r="A1007" s="1"/>
      <c r="B1007" s="8"/>
      <c r="C1007" s="5"/>
      <c r="D1007" s="12"/>
      <c r="E1007" s="9"/>
      <c r="F1007" s="9"/>
      <c r="G1007" s="5"/>
      <c r="H1007" s="16"/>
      <c r="I1007" s="69"/>
      <c r="J1007" s="70"/>
      <c r="K1007" s="71"/>
      <c r="L1007" s="71"/>
      <c r="M1007" s="5"/>
    </row>
    <row r="1008" spans="1:13" s="3" customFormat="1">
      <c r="A1008" s="1"/>
      <c r="B1008" s="8"/>
      <c r="C1008" s="5"/>
      <c r="D1008" s="12"/>
      <c r="E1008" s="9"/>
      <c r="F1008" s="9"/>
      <c r="G1008" s="5"/>
      <c r="H1008" s="16"/>
      <c r="I1008" s="69"/>
      <c r="J1008" s="70"/>
      <c r="K1008" s="71"/>
      <c r="L1008" s="71"/>
      <c r="M1008" s="5"/>
    </row>
    <row r="1009" spans="1:13" s="3" customFormat="1">
      <c r="A1009" s="1"/>
      <c r="B1009" s="8"/>
      <c r="C1009" s="5"/>
      <c r="D1009" s="12"/>
      <c r="E1009" s="9"/>
      <c r="F1009" s="9"/>
      <c r="G1009" s="5"/>
      <c r="H1009" s="16"/>
      <c r="I1009" s="69"/>
      <c r="J1009" s="70"/>
      <c r="K1009" s="71"/>
      <c r="L1009" s="71"/>
      <c r="M1009" s="5"/>
    </row>
    <row r="1010" spans="1:13" s="3" customFormat="1">
      <c r="A1010" s="1"/>
      <c r="B1010" s="8"/>
      <c r="C1010" s="5"/>
      <c r="D1010" s="12"/>
      <c r="E1010" s="9"/>
      <c r="F1010" s="9"/>
      <c r="G1010" s="5"/>
      <c r="H1010" s="16"/>
      <c r="I1010" s="69"/>
      <c r="J1010" s="70"/>
      <c r="K1010" s="71"/>
      <c r="L1010" s="71"/>
      <c r="M1010" s="5"/>
    </row>
    <row r="1011" spans="1:13" s="3" customFormat="1">
      <c r="A1011" s="1"/>
      <c r="B1011" s="8"/>
      <c r="C1011" s="5"/>
      <c r="D1011" s="12"/>
      <c r="E1011" s="9"/>
      <c r="F1011" s="9"/>
      <c r="G1011" s="5"/>
      <c r="H1011" s="16"/>
      <c r="I1011" s="69"/>
      <c r="J1011" s="70"/>
      <c r="K1011" s="71"/>
      <c r="L1011" s="71"/>
      <c r="M1011" s="5"/>
    </row>
    <row r="1012" spans="1:13" s="3" customFormat="1">
      <c r="A1012" s="1"/>
      <c r="B1012" s="8"/>
      <c r="C1012" s="5"/>
      <c r="D1012" s="12"/>
      <c r="E1012" s="9"/>
      <c r="F1012" s="9"/>
      <c r="G1012" s="5"/>
      <c r="H1012" s="16"/>
      <c r="I1012" s="69"/>
      <c r="J1012" s="70"/>
      <c r="K1012" s="71"/>
      <c r="L1012" s="71"/>
      <c r="M1012" s="5"/>
    </row>
    <row r="1013" spans="1:13" s="3" customFormat="1">
      <c r="A1013" s="1"/>
      <c r="B1013" s="8"/>
      <c r="C1013" s="5"/>
      <c r="D1013" s="12"/>
      <c r="E1013" s="9"/>
      <c r="F1013" s="9"/>
      <c r="G1013" s="5"/>
      <c r="H1013" s="16"/>
      <c r="I1013" s="69"/>
      <c r="J1013" s="70"/>
      <c r="K1013" s="71"/>
      <c r="L1013" s="71"/>
      <c r="M1013" s="5"/>
    </row>
    <row r="1014" spans="1:13" s="3" customFormat="1">
      <c r="A1014" s="1"/>
      <c r="B1014" s="8"/>
      <c r="C1014" s="5"/>
      <c r="D1014" s="12"/>
      <c r="E1014" s="9"/>
      <c r="F1014" s="9"/>
      <c r="G1014" s="5"/>
      <c r="H1014" s="16"/>
      <c r="I1014" s="69"/>
      <c r="J1014" s="70"/>
      <c r="K1014" s="71"/>
      <c r="L1014" s="71"/>
      <c r="M1014" s="5"/>
    </row>
    <row r="1015" spans="1:13" s="3" customFormat="1">
      <c r="A1015" s="1"/>
      <c r="B1015" s="8"/>
      <c r="C1015" s="5"/>
      <c r="D1015" s="12"/>
      <c r="E1015" s="9"/>
      <c r="F1015" s="9"/>
      <c r="G1015" s="5"/>
      <c r="H1015" s="16"/>
      <c r="I1015" s="69"/>
      <c r="J1015" s="70"/>
      <c r="K1015" s="71"/>
      <c r="L1015" s="71"/>
      <c r="M1015" s="5"/>
    </row>
    <row r="1016" spans="1:13" s="3" customFormat="1">
      <c r="A1016" s="1"/>
      <c r="B1016" s="8"/>
      <c r="C1016" s="5"/>
      <c r="D1016" s="12"/>
      <c r="E1016" s="9"/>
      <c r="F1016" s="9"/>
      <c r="G1016" s="5"/>
      <c r="H1016" s="16"/>
      <c r="I1016" s="69"/>
      <c r="J1016" s="70"/>
      <c r="K1016" s="71"/>
      <c r="L1016" s="71"/>
      <c r="M1016" s="5"/>
    </row>
    <row r="1017" spans="1:13" s="3" customFormat="1">
      <c r="A1017" s="1"/>
      <c r="B1017" s="8"/>
      <c r="C1017" s="5"/>
      <c r="D1017" s="12"/>
      <c r="E1017" s="9"/>
      <c r="F1017" s="9"/>
      <c r="G1017" s="5"/>
      <c r="H1017" s="16"/>
      <c r="I1017" s="69"/>
      <c r="J1017" s="70"/>
      <c r="K1017" s="71"/>
      <c r="L1017" s="71"/>
      <c r="M1017" s="5"/>
    </row>
    <row r="1018" spans="1:13" s="3" customFormat="1">
      <c r="A1018" s="1"/>
      <c r="B1018" s="8"/>
      <c r="C1018" s="5"/>
      <c r="D1018" s="12"/>
      <c r="E1018" s="9"/>
      <c r="F1018" s="9"/>
      <c r="G1018" s="5"/>
      <c r="H1018" s="16"/>
      <c r="I1018" s="69"/>
      <c r="J1018" s="70"/>
      <c r="K1018" s="71"/>
      <c r="L1018" s="71"/>
      <c r="M1018" s="5"/>
    </row>
    <row r="1019" spans="1:13" s="3" customFormat="1">
      <c r="A1019" s="1"/>
      <c r="B1019" s="8"/>
      <c r="C1019" s="5"/>
      <c r="D1019" s="12"/>
      <c r="E1019" s="9"/>
      <c r="F1019" s="9"/>
      <c r="G1019" s="5"/>
      <c r="H1019" s="16"/>
      <c r="I1019" s="69"/>
      <c r="J1019" s="70"/>
      <c r="K1019" s="71"/>
      <c r="L1019" s="71"/>
      <c r="M1019" s="5"/>
    </row>
    <row r="1020" spans="1:13" s="3" customFormat="1">
      <c r="A1020" s="1"/>
      <c r="B1020" s="8"/>
      <c r="C1020" s="5"/>
      <c r="D1020" s="12"/>
      <c r="E1020" s="9"/>
      <c r="F1020" s="9"/>
      <c r="G1020" s="5"/>
      <c r="H1020" s="16"/>
      <c r="I1020" s="69"/>
      <c r="J1020" s="70"/>
      <c r="K1020" s="71"/>
      <c r="L1020" s="71"/>
      <c r="M1020" s="5"/>
    </row>
    <row r="1021" spans="1:13" s="3" customFormat="1">
      <c r="A1021" s="1"/>
      <c r="B1021" s="8"/>
      <c r="C1021" s="5"/>
      <c r="D1021" s="12"/>
      <c r="E1021" s="9"/>
      <c r="F1021" s="9"/>
      <c r="G1021" s="5"/>
      <c r="H1021" s="16"/>
      <c r="I1021" s="69"/>
      <c r="J1021" s="70"/>
      <c r="K1021" s="71"/>
      <c r="L1021" s="71"/>
      <c r="M1021" s="5"/>
    </row>
    <row r="1022" spans="1:13" s="3" customFormat="1">
      <c r="A1022" s="1"/>
      <c r="B1022" s="8"/>
      <c r="C1022" s="5"/>
      <c r="D1022" s="12"/>
      <c r="E1022" s="23"/>
      <c r="F1022" s="9"/>
      <c r="G1022" s="5"/>
      <c r="H1022" s="16"/>
      <c r="I1022" s="69"/>
      <c r="J1022" s="70"/>
      <c r="K1022" s="71"/>
      <c r="L1022" s="71"/>
      <c r="M1022" s="5"/>
    </row>
    <row r="1023" spans="1:13" s="3" customFormat="1">
      <c r="A1023" s="1"/>
      <c r="B1023" s="8"/>
      <c r="C1023" s="5"/>
      <c r="D1023" s="12"/>
      <c r="E1023" s="23"/>
      <c r="F1023" s="9"/>
      <c r="G1023" s="5"/>
      <c r="H1023" s="16"/>
      <c r="I1023" s="69"/>
      <c r="J1023" s="70"/>
      <c r="K1023" s="71"/>
      <c r="L1023" s="71"/>
      <c r="M1023" s="5"/>
    </row>
    <row r="1024" spans="1:13" s="3" customFormat="1">
      <c r="A1024" s="1"/>
      <c r="B1024" s="8"/>
      <c r="C1024" s="5"/>
      <c r="D1024" s="12"/>
      <c r="E1024" s="23"/>
      <c r="F1024" s="9"/>
      <c r="G1024" s="5"/>
      <c r="H1024" s="16"/>
      <c r="I1024" s="69"/>
      <c r="J1024" s="70"/>
      <c r="K1024" s="71"/>
      <c r="L1024" s="71"/>
      <c r="M1024" s="5"/>
    </row>
    <row r="1025" spans="1:13" s="3" customFormat="1">
      <c r="A1025" s="1"/>
      <c r="B1025" s="8"/>
      <c r="C1025" s="5"/>
      <c r="D1025" s="12"/>
      <c r="E1025" s="23"/>
      <c r="F1025" s="9"/>
      <c r="G1025" s="5"/>
      <c r="H1025" s="16"/>
      <c r="I1025" s="69"/>
      <c r="J1025" s="70"/>
      <c r="K1025" s="71"/>
      <c r="L1025" s="71"/>
      <c r="M1025" s="5"/>
    </row>
    <row r="1026" spans="1:13" s="3" customFormat="1">
      <c r="A1026" s="1"/>
      <c r="B1026" s="8"/>
      <c r="C1026" s="5"/>
      <c r="D1026" s="12"/>
      <c r="E1026" s="23"/>
      <c r="F1026" s="9"/>
      <c r="G1026" s="5"/>
      <c r="H1026" s="16"/>
      <c r="I1026" s="69"/>
      <c r="J1026" s="70"/>
      <c r="K1026" s="71"/>
      <c r="L1026" s="71"/>
      <c r="M1026" s="5"/>
    </row>
    <row r="1027" spans="1:13" s="3" customFormat="1">
      <c r="A1027" s="1"/>
      <c r="B1027" s="8"/>
      <c r="C1027" s="5"/>
      <c r="D1027" s="12"/>
      <c r="E1027" s="23"/>
      <c r="F1027" s="9"/>
      <c r="G1027" s="5"/>
      <c r="H1027" s="16"/>
      <c r="I1027" s="69"/>
      <c r="J1027" s="70"/>
      <c r="K1027" s="71"/>
      <c r="L1027" s="71"/>
      <c r="M1027" s="5"/>
    </row>
    <row r="1028" spans="1:13" s="3" customFormat="1">
      <c r="A1028" s="1"/>
      <c r="B1028" s="8"/>
      <c r="C1028" s="5"/>
      <c r="D1028" s="12"/>
      <c r="E1028" s="23"/>
      <c r="F1028" s="9"/>
      <c r="G1028" s="5"/>
      <c r="H1028" s="16"/>
      <c r="I1028" s="69"/>
      <c r="J1028" s="70"/>
      <c r="K1028" s="71"/>
      <c r="L1028" s="71"/>
      <c r="M1028" s="5"/>
    </row>
    <row r="1029" spans="1:13" s="3" customFormat="1">
      <c r="A1029" s="1"/>
      <c r="B1029" s="8"/>
      <c r="C1029" s="5"/>
      <c r="D1029" s="12"/>
      <c r="E1029" s="23"/>
      <c r="F1029" s="9"/>
      <c r="G1029" s="5"/>
      <c r="H1029" s="16"/>
      <c r="I1029" s="69"/>
      <c r="J1029" s="70"/>
      <c r="K1029" s="71"/>
      <c r="L1029" s="71"/>
      <c r="M1029" s="5"/>
    </row>
    <row r="1030" spans="1:13" s="3" customFormat="1">
      <c r="A1030" s="1"/>
      <c r="B1030" s="8"/>
      <c r="C1030" s="5"/>
      <c r="D1030" s="12"/>
      <c r="E1030" s="23"/>
      <c r="F1030" s="9"/>
      <c r="G1030" s="5"/>
      <c r="H1030" s="16"/>
      <c r="I1030" s="69"/>
      <c r="J1030" s="70"/>
      <c r="K1030" s="71"/>
      <c r="L1030" s="71"/>
      <c r="M1030" s="5"/>
    </row>
    <row r="1031" spans="1:13" s="3" customFormat="1">
      <c r="A1031" s="1"/>
      <c r="B1031" s="8"/>
      <c r="C1031" s="5"/>
      <c r="D1031" s="12"/>
      <c r="E1031" s="23"/>
      <c r="F1031" s="9"/>
      <c r="G1031" s="5"/>
      <c r="H1031" s="16"/>
      <c r="I1031" s="69"/>
      <c r="J1031" s="70"/>
      <c r="K1031" s="71"/>
      <c r="L1031" s="71"/>
      <c r="M1031" s="5"/>
    </row>
    <row r="1032" spans="1:13" s="3" customFormat="1">
      <c r="A1032" s="1"/>
      <c r="B1032" s="8"/>
      <c r="C1032" s="5"/>
      <c r="D1032" s="12"/>
      <c r="E1032" s="23"/>
      <c r="F1032" s="9"/>
      <c r="G1032" s="5"/>
      <c r="H1032" s="16"/>
      <c r="I1032" s="69"/>
      <c r="J1032" s="70"/>
      <c r="K1032" s="71"/>
      <c r="L1032" s="71"/>
      <c r="M1032" s="5"/>
    </row>
    <row r="1033" spans="1:13" s="3" customFormat="1">
      <c r="A1033" s="1"/>
      <c r="B1033" s="8"/>
      <c r="C1033" s="5"/>
      <c r="D1033" s="12"/>
      <c r="E1033" s="23"/>
      <c r="F1033" s="9"/>
      <c r="G1033" s="5"/>
      <c r="H1033" s="16"/>
      <c r="I1033" s="69"/>
      <c r="J1033" s="70"/>
      <c r="K1033" s="71"/>
      <c r="L1033" s="71"/>
      <c r="M1033" s="5"/>
    </row>
    <row r="1034" spans="1:13" s="3" customFormat="1">
      <c r="A1034" s="1"/>
      <c r="B1034" s="8"/>
      <c r="C1034" s="5"/>
      <c r="D1034" s="12"/>
      <c r="E1034" s="23"/>
      <c r="F1034" s="9"/>
      <c r="G1034" s="5"/>
      <c r="H1034" s="16"/>
      <c r="I1034" s="69"/>
      <c r="J1034" s="70"/>
      <c r="K1034" s="71"/>
      <c r="L1034" s="71"/>
      <c r="M1034" s="5"/>
    </row>
    <row r="1035" spans="1:13" s="3" customFormat="1">
      <c r="A1035" s="1"/>
      <c r="B1035" s="8"/>
      <c r="C1035" s="5"/>
      <c r="D1035" s="12"/>
      <c r="E1035" s="23"/>
      <c r="F1035" s="9"/>
      <c r="G1035" s="5"/>
      <c r="H1035" s="16"/>
      <c r="I1035" s="69"/>
      <c r="J1035" s="70"/>
      <c r="K1035" s="71"/>
      <c r="L1035" s="71"/>
      <c r="M1035" s="5"/>
    </row>
    <row r="1036" spans="1:13" s="3" customFormat="1">
      <c r="A1036" s="1"/>
      <c r="B1036" s="8"/>
      <c r="C1036" s="5"/>
      <c r="D1036" s="12"/>
      <c r="E1036" s="23"/>
      <c r="F1036" s="9"/>
      <c r="G1036" s="5"/>
      <c r="H1036" s="16"/>
      <c r="I1036" s="69"/>
      <c r="J1036" s="70"/>
      <c r="K1036" s="71"/>
      <c r="L1036" s="71"/>
      <c r="M1036" s="5"/>
    </row>
    <row r="1037" spans="1:13" s="3" customFormat="1">
      <c r="A1037" s="1"/>
      <c r="B1037" s="8"/>
      <c r="C1037" s="5"/>
      <c r="D1037" s="12"/>
      <c r="E1037" s="23"/>
      <c r="F1037" s="9"/>
      <c r="G1037" s="5"/>
      <c r="H1037" s="16"/>
      <c r="I1037" s="69"/>
      <c r="J1037" s="70"/>
      <c r="K1037" s="71"/>
      <c r="L1037" s="71"/>
      <c r="M1037" s="5"/>
    </row>
    <row r="1038" spans="1:13" s="3" customFormat="1">
      <c r="A1038" s="1"/>
      <c r="B1038" s="8"/>
      <c r="C1038" s="5"/>
      <c r="D1038" s="12"/>
      <c r="E1038" s="23"/>
      <c r="F1038" s="9"/>
      <c r="G1038" s="5"/>
      <c r="H1038" s="16"/>
      <c r="I1038" s="69"/>
      <c r="J1038" s="70"/>
      <c r="K1038" s="71"/>
      <c r="L1038" s="71"/>
      <c r="M1038" s="5"/>
    </row>
    <row r="1039" spans="1:13" s="3" customFormat="1">
      <c r="A1039" s="1"/>
      <c r="B1039" s="8"/>
      <c r="C1039" s="5"/>
      <c r="D1039" s="12"/>
      <c r="E1039" s="23"/>
      <c r="F1039" s="9"/>
      <c r="G1039" s="5"/>
      <c r="H1039" s="16"/>
      <c r="I1039" s="69"/>
      <c r="J1039" s="70"/>
      <c r="K1039" s="71"/>
      <c r="L1039" s="71"/>
      <c r="M1039" s="5"/>
    </row>
    <row r="1040" spans="1:13" s="3" customFormat="1">
      <c r="A1040" s="1"/>
      <c r="B1040" s="8"/>
      <c r="C1040" s="5"/>
      <c r="D1040" s="12"/>
      <c r="E1040" s="23"/>
      <c r="F1040" s="9"/>
      <c r="G1040" s="5"/>
      <c r="H1040" s="16"/>
      <c r="I1040" s="69"/>
      <c r="J1040" s="70"/>
      <c r="K1040" s="71"/>
      <c r="L1040" s="71"/>
      <c r="M1040" s="5"/>
    </row>
    <row r="1041" spans="1:13" s="3" customFormat="1">
      <c r="A1041" s="1"/>
      <c r="B1041" s="8"/>
      <c r="C1041" s="5"/>
      <c r="D1041" s="12"/>
      <c r="E1041" s="23"/>
      <c r="F1041" s="9"/>
      <c r="G1041" s="5"/>
      <c r="H1041" s="16"/>
      <c r="I1041" s="69"/>
      <c r="J1041" s="70"/>
      <c r="K1041" s="71"/>
      <c r="L1041" s="71"/>
      <c r="M1041" s="5"/>
    </row>
    <row r="1042" spans="1:13" s="3" customFormat="1">
      <c r="A1042" s="1"/>
      <c r="B1042" s="8"/>
      <c r="C1042" s="5"/>
      <c r="D1042" s="12"/>
      <c r="E1042" s="23"/>
      <c r="F1042" s="9"/>
      <c r="G1042" s="5"/>
      <c r="H1042" s="16"/>
      <c r="I1042" s="69"/>
      <c r="J1042" s="70"/>
      <c r="K1042" s="71"/>
      <c r="L1042" s="71"/>
      <c r="M1042" s="5"/>
    </row>
    <row r="1043" spans="1:13" s="3" customFormat="1">
      <c r="A1043" s="1"/>
      <c r="B1043" s="8"/>
      <c r="C1043" s="5"/>
      <c r="D1043" s="12"/>
      <c r="E1043" s="23"/>
      <c r="F1043" s="9"/>
      <c r="G1043" s="5"/>
      <c r="H1043" s="16"/>
      <c r="I1043" s="69"/>
      <c r="J1043" s="70"/>
      <c r="K1043" s="71"/>
      <c r="L1043" s="71"/>
      <c r="M1043" s="5"/>
    </row>
    <row r="1044" spans="1:13" s="3" customFormat="1">
      <c r="A1044" s="1"/>
      <c r="B1044" s="8"/>
      <c r="C1044" s="5"/>
      <c r="D1044" s="12"/>
      <c r="E1044" s="23"/>
      <c r="F1044" s="9"/>
      <c r="G1044" s="5"/>
      <c r="H1044" s="16"/>
      <c r="I1044" s="69"/>
      <c r="J1044" s="70"/>
      <c r="K1044" s="71"/>
      <c r="L1044" s="71"/>
      <c r="M1044" s="5"/>
    </row>
    <row r="1045" spans="1:13" s="3" customFormat="1">
      <c r="A1045" s="1"/>
      <c r="B1045" s="8"/>
      <c r="C1045" s="5"/>
      <c r="D1045" s="12"/>
      <c r="E1045" s="23"/>
      <c r="F1045" s="9"/>
      <c r="G1045" s="5"/>
      <c r="H1045" s="16"/>
      <c r="I1045" s="69"/>
      <c r="J1045" s="70"/>
      <c r="K1045" s="71"/>
      <c r="L1045" s="71"/>
      <c r="M1045" s="5"/>
    </row>
    <row r="1046" spans="1:13" s="3" customFormat="1">
      <c r="A1046" s="1"/>
      <c r="B1046" s="8"/>
      <c r="C1046" s="5"/>
      <c r="D1046" s="12"/>
      <c r="E1046" s="23"/>
      <c r="F1046" s="9"/>
      <c r="G1046" s="5"/>
      <c r="H1046" s="16"/>
      <c r="I1046" s="69"/>
      <c r="J1046" s="70"/>
      <c r="K1046" s="71"/>
      <c r="L1046" s="71"/>
      <c r="M1046" s="5"/>
    </row>
    <row r="1047" spans="1:13" s="3" customFormat="1">
      <c r="A1047" s="1"/>
      <c r="B1047" s="8"/>
      <c r="C1047" s="5"/>
      <c r="D1047" s="12"/>
      <c r="E1047" s="23"/>
      <c r="F1047" s="9"/>
      <c r="G1047" s="5"/>
      <c r="H1047" s="16"/>
      <c r="I1047" s="69"/>
      <c r="J1047" s="70"/>
      <c r="K1047" s="71"/>
      <c r="L1047" s="71"/>
      <c r="M1047" s="5"/>
    </row>
    <row r="1048" spans="1:13" s="3" customFormat="1">
      <c r="A1048" s="1"/>
      <c r="B1048" s="8"/>
      <c r="C1048" s="5"/>
      <c r="D1048" s="12"/>
      <c r="E1048" s="23"/>
      <c r="F1048" s="9"/>
      <c r="G1048" s="5"/>
      <c r="H1048" s="16"/>
      <c r="I1048" s="69"/>
      <c r="J1048" s="70"/>
      <c r="K1048" s="71"/>
      <c r="L1048" s="71"/>
      <c r="M1048" s="5"/>
    </row>
    <row r="1049" spans="1:13" s="3" customFormat="1">
      <c r="A1049" s="1"/>
      <c r="B1049" s="8"/>
      <c r="C1049" s="5"/>
      <c r="D1049" s="12"/>
      <c r="E1049" s="23"/>
      <c r="F1049" s="9"/>
      <c r="G1049" s="5"/>
      <c r="H1049" s="16"/>
      <c r="I1049" s="69"/>
      <c r="J1049" s="70"/>
      <c r="K1049" s="71"/>
      <c r="L1049" s="71"/>
      <c r="M1049" s="5"/>
    </row>
    <row r="1050" spans="1:13" s="3" customFormat="1">
      <c r="A1050" s="1"/>
      <c r="B1050" s="8"/>
      <c r="C1050" s="5"/>
      <c r="D1050" s="12"/>
      <c r="E1050" s="23"/>
      <c r="F1050" s="9"/>
      <c r="G1050" s="5"/>
      <c r="H1050" s="16"/>
      <c r="I1050" s="69"/>
      <c r="J1050" s="70"/>
      <c r="K1050" s="71"/>
      <c r="L1050" s="71"/>
      <c r="M1050" s="5"/>
    </row>
    <row r="1051" spans="1:13" s="3" customFormat="1">
      <c r="A1051" s="1"/>
      <c r="B1051" s="8"/>
      <c r="C1051" s="5"/>
      <c r="D1051" s="12"/>
      <c r="E1051" s="23"/>
      <c r="F1051" s="9"/>
      <c r="G1051" s="5"/>
      <c r="H1051" s="16"/>
      <c r="I1051" s="69"/>
      <c r="J1051" s="70"/>
      <c r="K1051" s="71"/>
      <c r="L1051" s="71"/>
      <c r="M1051" s="5"/>
    </row>
    <row r="1052" spans="1:13" s="3" customFormat="1">
      <c r="A1052" s="1"/>
      <c r="B1052" s="8"/>
      <c r="C1052" s="5"/>
      <c r="D1052" s="12"/>
      <c r="E1052" s="23"/>
      <c r="F1052" s="9"/>
      <c r="G1052" s="5"/>
      <c r="H1052" s="16"/>
      <c r="I1052" s="69"/>
      <c r="J1052" s="70"/>
      <c r="K1052" s="71"/>
      <c r="L1052" s="71"/>
      <c r="M1052" s="5"/>
    </row>
    <row r="1053" spans="1:13" s="3" customFormat="1">
      <c r="A1053" s="1"/>
      <c r="B1053" s="8"/>
      <c r="C1053" s="5"/>
      <c r="D1053" s="12"/>
      <c r="E1053" s="23"/>
      <c r="F1053" s="9"/>
      <c r="G1053" s="5"/>
      <c r="H1053" s="16"/>
      <c r="I1053" s="69"/>
      <c r="J1053" s="70"/>
      <c r="K1053" s="71"/>
      <c r="L1053" s="71"/>
      <c r="M1053" s="5"/>
    </row>
    <row r="1054" spans="1:13" s="3" customFormat="1">
      <c r="A1054" s="1"/>
      <c r="B1054" s="8"/>
      <c r="C1054" s="5"/>
      <c r="D1054" s="12"/>
      <c r="E1054" s="23"/>
      <c r="F1054" s="9"/>
      <c r="G1054" s="5"/>
      <c r="H1054" s="16"/>
      <c r="I1054" s="69"/>
      <c r="J1054" s="70"/>
      <c r="K1054" s="71"/>
      <c r="L1054" s="71"/>
      <c r="M1054" s="5"/>
    </row>
    <row r="1055" spans="1:13" s="3" customFormat="1">
      <c r="A1055" s="1"/>
      <c r="B1055" s="8"/>
      <c r="C1055" s="5"/>
      <c r="D1055" s="12"/>
      <c r="E1055" s="23"/>
      <c r="F1055" s="9"/>
      <c r="G1055" s="5"/>
      <c r="H1055" s="16"/>
      <c r="I1055" s="69"/>
      <c r="J1055" s="70"/>
      <c r="K1055" s="71"/>
      <c r="L1055" s="71"/>
      <c r="M1055" s="5"/>
    </row>
    <row r="1056" spans="1:13" s="3" customFormat="1">
      <c r="A1056" s="1"/>
      <c r="B1056" s="8"/>
      <c r="C1056" s="5"/>
      <c r="D1056" s="12"/>
      <c r="E1056" s="23"/>
      <c r="F1056" s="9"/>
      <c r="G1056" s="5"/>
      <c r="H1056" s="16"/>
      <c r="I1056" s="69"/>
      <c r="J1056" s="70"/>
      <c r="K1056" s="71"/>
      <c r="L1056" s="71"/>
      <c r="M1056" s="5"/>
    </row>
    <row r="1057" spans="1:13" s="3" customFormat="1">
      <c r="A1057" s="1"/>
      <c r="B1057" s="8"/>
      <c r="C1057" s="5"/>
      <c r="D1057" s="12"/>
      <c r="E1057" s="23"/>
      <c r="F1057" s="9"/>
      <c r="G1057" s="5"/>
      <c r="H1057" s="16"/>
      <c r="I1057" s="69"/>
      <c r="J1057" s="70"/>
      <c r="K1057" s="71"/>
      <c r="L1057" s="71"/>
      <c r="M1057" s="5"/>
    </row>
    <row r="1058" spans="1:13" s="3" customFormat="1">
      <c r="A1058" s="1"/>
      <c r="B1058" s="8"/>
      <c r="C1058" s="5"/>
      <c r="D1058" s="12"/>
      <c r="E1058" s="23"/>
      <c r="F1058" s="9"/>
      <c r="G1058" s="5"/>
      <c r="H1058" s="16"/>
      <c r="I1058" s="69"/>
      <c r="J1058" s="70"/>
      <c r="K1058" s="71"/>
      <c r="L1058" s="71"/>
      <c r="M1058" s="5"/>
    </row>
    <row r="1059" spans="1:13" s="3" customFormat="1">
      <c r="A1059" s="1"/>
      <c r="B1059" s="8"/>
      <c r="C1059" s="5"/>
      <c r="D1059" s="12"/>
      <c r="E1059" s="23"/>
      <c r="F1059" s="9"/>
      <c r="G1059" s="5"/>
      <c r="H1059" s="16"/>
      <c r="I1059" s="69"/>
      <c r="J1059" s="70"/>
      <c r="K1059" s="71"/>
      <c r="L1059" s="71"/>
      <c r="M1059" s="5"/>
    </row>
    <row r="1060" spans="1:13" s="3" customFormat="1">
      <c r="A1060" s="1"/>
      <c r="B1060" s="8"/>
      <c r="C1060" s="5"/>
      <c r="D1060" s="12"/>
      <c r="E1060" s="23"/>
      <c r="F1060" s="9"/>
      <c r="G1060" s="5"/>
      <c r="H1060" s="16"/>
      <c r="I1060" s="69"/>
      <c r="J1060" s="70"/>
      <c r="K1060" s="71"/>
      <c r="L1060" s="71"/>
      <c r="M1060" s="5"/>
    </row>
    <row r="1061" spans="1:13" s="3" customFormat="1">
      <c r="A1061" s="1"/>
      <c r="B1061" s="8"/>
      <c r="C1061" s="5"/>
      <c r="D1061" s="12"/>
      <c r="E1061" s="23"/>
      <c r="F1061" s="9"/>
      <c r="G1061" s="5"/>
      <c r="H1061" s="16"/>
      <c r="I1061" s="69"/>
      <c r="J1061" s="70"/>
      <c r="K1061" s="71"/>
      <c r="L1061" s="71"/>
      <c r="M1061" s="5"/>
    </row>
    <row r="1062" spans="1:13" s="3" customFormat="1">
      <c r="A1062" s="1"/>
      <c r="B1062" s="8"/>
      <c r="C1062" s="5"/>
      <c r="D1062" s="12"/>
      <c r="E1062" s="23"/>
      <c r="F1062" s="9"/>
      <c r="G1062" s="5"/>
      <c r="H1062" s="16"/>
      <c r="I1062" s="69"/>
      <c r="J1062" s="70"/>
      <c r="K1062" s="71"/>
      <c r="L1062" s="71"/>
      <c r="M1062" s="5"/>
    </row>
    <row r="1063" spans="1:13" s="3" customFormat="1">
      <c r="A1063" s="1"/>
      <c r="B1063" s="8"/>
      <c r="C1063" s="5"/>
      <c r="D1063" s="12"/>
      <c r="E1063" s="23"/>
      <c r="F1063" s="9"/>
      <c r="G1063" s="5"/>
      <c r="H1063" s="16"/>
      <c r="I1063" s="69"/>
      <c r="J1063" s="70"/>
      <c r="K1063" s="71"/>
      <c r="L1063" s="71"/>
      <c r="M1063" s="5"/>
    </row>
    <row r="1064" spans="1:13" s="3" customFormat="1">
      <c r="A1064" s="1"/>
      <c r="B1064" s="8"/>
      <c r="C1064" s="5"/>
      <c r="D1064" s="12"/>
      <c r="E1064" s="23"/>
      <c r="F1064" s="9"/>
      <c r="G1064" s="5"/>
      <c r="H1064" s="16"/>
      <c r="I1064" s="69"/>
      <c r="J1064" s="70"/>
      <c r="K1064" s="71"/>
      <c r="L1064" s="71"/>
      <c r="M1064" s="5"/>
    </row>
    <row r="1065" spans="1:13" s="3" customFormat="1">
      <c r="A1065" s="1"/>
      <c r="B1065" s="8"/>
      <c r="C1065" s="5"/>
      <c r="D1065" s="12"/>
      <c r="E1065" s="23"/>
      <c r="F1065" s="9"/>
      <c r="G1065" s="5"/>
      <c r="H1065" s="16"/>
      <c r="I1065" s="69"/>
      <c r="J1065" s="70"/>
      <c r="K1065" s="71"/>
      <c r="L1065" s="71"/>
      <c r="M1065" s="5"/>
    </row>
    <row r="1066" spans="1:13" s="3" customFormat="1">
      <c r="A1066" s="1"/>
      <c r="B1066" s="8"/>
      <c r="C1066" s="5"/>
      <c r="D1066" s="12"/>
      <c r="E1066" s="23"/>
      <c r="F1066" s="9"/>
      <c r="G1066" s="5"/>
      <c r="H1066" s="16"/>
      <c r="I1066" s="69"/>
      <c r="J1066" s="70"/>
      <c r="K1066" s="71"/>
      <c r="L1066" s="71"/>
      <c r="M1066" s="5"/>
    </row>
    <row r="1067" spans="1:13" s="3" customFormat="1">
      <c r="A1067" s="1"/>
      <c r="B1067" s="8"/>
      <c r="C1067" s="5"/>
      <c r="D1067" s="12"/>
      <c r="E1067" s="23"/>
      <c r="F1067" s="9"/>
      <c r="G1067" s="5"/>
      <c r="H1067" s="16"/>
      <c r="I1067" s="69"/>
      <c r="J1067" s="70"/>
      <c r="K1067" s="71"/>
      <c r="L1067" s="71"/>
      <c r="M1067" s="5"/>
    </row>
    <row r="1068" spans="1:13" s="3" customFormat="1">
      <c r="A1068" s="1"/>
      <c r="B1068" s="8"/>
      <c r="C1068" s="5"/>
      <c r="D1068" s="12"/>
      <c r="E1068" s="23"/>
      <c r="F1068" s="9"/>
      <c r="G1068" s="5"/>
      <c r="H1068" s="16"/>
      <c r="I1068" s="69"/>
      <c r="J1068" s="70"/>
      <c r="K1068" s="71"/>
      <c r="L1068" s="71"/>
      <c r="M1068" s="5"/>
    </row>
    <row r="1069" spans="1:13" s="3" customFormat="1">
      <c r="A1069" s="1"/>
      <c r="B1069" s="8"/>
      <c r="C1069" s="5"/>
      <c r="D1069" s="12"/>
      <c r="E1069" s="23"/>
      <c r="F1069" s="9"/>
      <c r="G1069" s="5"/>
      <c r="H1069" s="16"/>
      <c r="I1069" s="69"/>
      <c r="J1069" s="70"/>
      <c r="K1069" s="71"/>
      <c r="L1069" s="71"/>
      <c r="M1069" s="5"/>
    </row>
    <row r="1070" spans="1:13" s="3" customFormat="1">
      <c r="A1070" s="1"/>
      <c r="B1070" s="8"/>
      <c r="C1070" s="5"/>
      <c r="D1070" s="12"/>
      <c r="E1070" s="23"/>
      <c r="F1070" s="9"/>
      <c r="G1070" s="5"/>
      <c r="H1070" s="16"/>
      <c r="I1070" s="69"/>
      <c r="J1070" s="70"/>
      <c r="K1070" s="71"/>
      <c r="L1070" s="71"/>
      <c r="M1070" s="5"/>
    </row>
    <row r="1071" spans="1:13" s="3" customFormat="1">
      <c r="A1071" s="1"/>
      <c r="B1071" s="8"/>
      <c r="C1071" s="5"/>
      <c r="D1071" s="12"/>
      <c r="E1071" s="23"/>
      <c r="F1071" s="9"/>
      <c r="G1071" s="5"/>
      <c r="H1071" s="16"/>
      <c r="I1071" s="69"/>
      <c r="J1071" s="70"/>
      <c r="K1071" s="71"/>
      <c r="L1071" s="71"/>
      <c r="M1071" s="5"/>
    </row>
    <row r="1072" spans="1:13" s="3" customFormat="1">
      <c r="A1072" s="1"/>
      <c r="B1072" s="8"/>
      <c r="C1072" s="5"/>
      <c r="D1072" s="12"/>
      <c r="E1072" s="23"/>
      <c r="F1072" s="9"/>
      <c r="G1072" s="5"/>
      <c r="H1072" s="16"/>
      <c r="I1072" s="69"/>
      <c r="J1072" s="70"/>
      <c r="K1072" s="71"/>
      <c r="L1072" s="71"/>
      <c r="M1072" s="5"/>
    </row>
    <row r="1073" spans="1:13" s="3" customFormat="1">
      <c r="A1073" s="1"/>
      <c r="B1073" s="8"/>
      <c r="C1073" s="5"/>
      <c r="D1073" s="12"/>
      <c r="E1073" s="23"/>
      <c r="F1073" s="9"/>
      <c r="G1073" s="5"/>
      <c r="H1073" s="16"/>
      <c r="I1073" s="69"/>
      <c r="J1073" s="70"/>
      <c r="K1073" s="71"/>
      <c r="L1073" s="71"/>
      <c r="M1073" s="5"/>
    </row>
    <row r="1074" spans="1:13" s="3" customFormat="1">
      <c r="A1074" s="1"/>
      <c r="B1074" s="8"/>
      <c r="C1074" s="5"/>
      <c r="D1074" s="12"/>
      <c r="E1074" s="23"/>
      <c r="F1074" s="9"/>
      <c r="G1074" s="5"/>
      <c r="H1074" s="16"/>
      <c r="I1074" s="69"/>
      <c r="J1074" s="70"/>
      <c r="K1074" s="71"/>
      <c r="L1074" s="71"/>
      <c r="M1074" s="5"/>
    </row>
    <row r="1075" spans="1:13" s="3" customFormat="1">
      <c r="A1075" s="1"/>
      <c r="B1075" s="8"/>
      <c r="C1075" s="5"/>
      <c r="D1075" s="12"/>
      <c r="E1075" s="23"/>
      <c r="F1075" s="9"/>
      <c r="G1075" s="5"/>
      <c r="H1075" s="16"/>
      <c r="I1075" s="69"/>
      <c r="J1075" s="70"/>
      <c r="K1075" s="71"/>
      <c r="L1075" s="71"/>
      <c r="M1075" s="5"/>
    </row>
    <row r="1076" spans="1:13" s="3" customFormat="1">
      <c r="A1076" s="1"/>
      <c r="B1076" s="8"/>
      <c r="C1076" s="5"/>
      <c r="D1076" s="12"/>
      <c r="E1076" s="23"/>
      <c r="F1076" s="9"/>
      <c r="G1076" s="5"/>
      <c r="H1076" s="16"/>
      <c r="I1076" s="69"/>
      <c r="J1076" s="70"/>
      <c r="K1076" s="71"/>
      <c r="L1076" s="71"/>
      <c r="M1076" s="5"/>
    </row>
    <row r="1077" spans="1:13" s="3" customFormat="1">
      <c r="A1077" s="1"/>
      <c r="B1077" s="8"/>
      <c r="C1077" s="5"/>
      <c r="D1077" s="12"/>
      <c r="E1077" s="23"/>
      <c r="F1077" s="9"/>
      <c r="G1077" s="5"/>
      <c r="H1077" s="16"/>
      <c r="I1077" s="69"/>
      <c r="J1077" s="70"/>
      <c r="K1077" s="71"/>
      <c r="L1077" s="71"/>
      <c r="M1077" s="5"/>
    </row>
    <row r="1078" spans="1:13" s="3" customFormat="1">
      <c r="A1078" s="1"/>
      <c r="B1078" s="8"/>
      <c r="C1078" s="5"/>
      <c r="D1078" s="12"/>
      <c r="E1078" s="23"/>
      <c r="F1078" s="9"/>
      <c r="G1078" s="5"/>
      <c r="H1078" s="16"/>
      <c r="I1078" s="69"/>
      <c r="J1078" s="70"/>
      <c r="K1078" s="71"/>
      <c r="L1078" s="71"/>
      <c r="M1078" s="5"/>
    </row>
    <row r="1079" spans="1:13" s="3" customFormat="1">
      <c r="A1079" s="1"/>
      <c r="B1079" s="8"/>
      <c r="C1079" s="5"/>
      <c r="D1079" s="12"/>
      <c r="E1079" s="23"/>
      <c r="F1079" s="9"/>
      <c r="G1079" s="5"/>
      <c r="H1079" s="16"/>
      <c r="I1079" s="69"/>
      <c r="J1079" s="70"/>
      <c r="K1079" s="71"/>
      <c r="L1079" s="71"/>
      <c r="M1079" s="5"/>
    </row>
    <row r="1080" spans="1:13" s="3" customFormat="1">
      <c r="A1080" s="1"/>
      <c r="B1080" s="8"/>
      <c r="C1080" s="5"/>
      <c r="D1080" s="12"/>
      <c r="E1080" s="23"/>
      <c r="F1080" s="9"/>
      <c r="G1080" s="5"/>
      <c r="H1080" s="16"/>
      <c r="I1080" s="69"/>
      <c r="J1080" s="70"/>
      <c r="K1080" s="71"/>
      <c r="L1080" s="71"/>
      <c r="M1080" s="5"/>
    </row>
    <row r="1081" spans="1:13" s="3" customFormat="1">
      <c r="A1081" s="1"/>
      <c r="B1081" s="8"/>
      <c r="C1081" s="5"/>
      <c r="D1081" s="12"/>
      <c r="E1081" s="23"/>
      <c r="F1081" s="9"/>
      <c r="G1081" s="5"/>
      <c r="H1081" s="16"/>
      <c r="I1081" s="69"/>
      <c r="J1081" s="70"/>
      <c r="K1081" s="71"/>
      <c r="L1081" s="71"/>
      <c r="M1081" s="5"/>
    </row>
    <row r="1082" spans="1:13" s="3" customFormat="1">
      <c r="A1082" s="1"/>
      <c r="B1082" s="8"/>
      <c r="C1082" s="5"/>
      <c r="D1082" s="12"/>
      <c r="E1082" s="23"/>
      <c r="F1082" s="9"/>
      <c r="G1082" s="5"/>
      <c r="H1082" s="16"/>
      <c r="I1082" s="69"/>
      <c r="J1082" s="70"/>
      <c r="K1082" s="71"/>
      <c r="L1082" s="71"/>
      <c r="M1082" s="5"/>
    </row>
    <row r="1083" spans="1:13" s="3" customFormat="1">
      <c r="A1083" s="1"/>
      <c r="B1083" s="8"/>
      <c r="C1083" s="5"/>
      <c r="D1083" s="12"/>
      <c r="E1083" s="23"/>
      <c r="F1083" s="9"/>
      <c r="G1083" s="5"/>
      <c r="H1083" s="16"/>
      <c r="I1083" s="69"/>
      <c r="J1083" s="70"/>
      <c r="K1083" s="71"/>
      <c r="L1083" s="71"/>
      <c r="M1083" s="5"/>
    </row>
    <row r="1084" spans="1:13" s="3" customFormat="1">
      <c r="A1084" s="1"/>
      <c r="B1084" s="8"/>
      <c r="C1084" s="5"/>
      <c r="D1084" s="12"/>
      <c r="E1084" s="23"/>
      <c r="F1084" s="9"/>
      <c r="G1084" s="5"/>
      <c r="H1084" s="16"/>
      <c r="I1084" s="69"/>
      <c r="J1084" s="70"/>
      <c r="K1084" s="71"/>
      <c r="L1084" s="71"/>
      <c r="M1084" s="5"/>
    </row>
    <row r="1085" spans="1:13" s="3" customFormat="1">
      <c r="A1085" s="1"/>
      <c r="B1085" s="8"/>
      <c r="C1085" s="5"/>
      <c r="D1085" s="12"/>
      <c r="E1085" s="23"/>
      <c r="F1085" s="9"/>
      <c r="G1085" s="5"/>
      <c r="H1085" s="16"/>
      <c r="I1085" s="69"/>
      <c r="J1085" s="70"/>
      <c r="K1085" s="71"/>
      <c r="L1085" s="71"/>
      <c r="M1085" s="5"/>
    </row>
    <row r="1086" spans="1:13" s="3" customFormat="1">
      <c r="A1086" s="1"/>
      <c r="B1086" s="8"/>
      <c r="C1086" s="5"/>
      <c r="D1086" s="12"/>
      <c r="E1086" s="23"/>
      <c r="F1086" s="9"/>
      <c r="G1086" s="5"/>
      <c r="H1086" s="16"/>
      <c r="I1086" s="69"/>
      <c r="J1086" s="70"/>
      <c r="K1086" s="71"/>
      <c r="L1086" s="71"/>
      <c r="M1086" s="5"/>
    </row>
    <row r="1087" spans="1:13" s="3" customFormat="1">
      <c r="A1087" s="1"/>
      <c r="B1087" s="8"/>
      <c r="C1087" s="5"/>
      <c r="D1087" s="12"/>
      <c r="E1087" s="23"/>
      <c r="F1087" s="9"/>
      <c r="G1087" s="5"/>
      <c r="H1087" s="16"/>
      <c r="I1087" s="69"/>
      <c r="J1087" s="70"/>
      <c r="K1087" s="71"/>
      <c r="L1087" s="71"/>
      <c r="M1087" s="5"/>
    </row>
    <row r="1088" spans="1:13" s="3" customFormat="1">
      <c r="A1088" s="1"/>
      <c r="B1088" s="8"/>
      <c r="C1088" s="5"/>
      <c r="D1088" s="12"/>
      <c r="E1088" s="23"/>
      <c r="F1088" s="9"/>
      <c r="G1088" s="5"/>
      <c r="H1088" s="16"/>
      <c r="I1088" s="69"/>
      <c r="J1088" s="70"/>
      <c r="K1088" s="71"/>
      <c r="L1088" s="71"/>
      <c r="M1088" s="5"/>
    </row>
    <row r="1089" spans="1:13" s="3" customFormat="1">
      <c r="A1089" s="1"/>
      <c r="B1089" s="8"/>
      <c r="C1089" s="5"/>
      <c r="D1089" s="12"/>
      <c r="E1089" s="23"/>
      <c r="F1089" s="9"/>
      <c r="G1089" s="5"/>
      <c r="H1089" s="16"/>
      <c r="I1089" s="69"/>
      <c r="J1089" s="70"/>
      <c r="K1089" s="71"/>
      <c r="L1089" s="71"/>
      <c r="M1089" s="5"/>
    </row>
    <row r="1090" spans="1:13" s="3" customFormat="1">
      <c r="A1090" s="1"/>
      <c r="B1090" s="8"/>
      <c r="C1090" s="5"/>
      <c r="D1090" s="12"/>
      <c r="E1090" s="23"/>
      <c r="F1090" s="9"/>
      <c r="G1090" s="5"/>
      <c r="H1090" s="16"/>
      <c r="I1090" s="69"/>
      <c r="J1090" s="70"/>
      <c r="K1090" s="71"/>
      <c r="L1090" s="71"/>
      <c r="M1090" s="5"/>
    </row>
    <row r="1091" spans="1:13" s="3" customFormat="1">
      <c r="A1091" s="1"/>
      <c r="B1091" s="8"/>
      <c r="C1091" s="5"/>
      <c r="D1091" s="12"/>
      <c r="E1091" s="23"/>
      <c r="F1091" s="9"/>
      <c r="G1091" s="5"/>
      <c r="H1091" s="16"/>
      <c r="I1091" s="69"/>
      <c r="J1091" s="70"/>
      <c r="K1091" s="71"/>
      <c r="L1091" s="71"/>
      <c r="M1091" s="5"/>
    </row>
    <row r="1092" spans="1:13" s="3" customFormat="1">
      <c r="A1092" s="1"/>
      <c r="B1092" s="8"/>
      <c r="C1092" s="5"/>
      <c r="D1092" s="12"/>
      <c r="E1092" s="23"/>
      <c r="F1092" s="9"/>
      <c r="G1092" s="5"/>
      <c r="H1092" s="16"/>
      <c r="I1092" s="69"/>
      <c r="J1092" s="70"/>
      <c r="K1092" s="71"/>
      <c r="L1092" s="71"/>
      <c r="M1092" s="5"/>
    </row>
    <row r="1093" spans="1:13" s="3" customFormat="1">
      <c r="A1093" s="1"/>
      <c r="B1093" s="8"/>
      <c r="C1093" s="5"/>
      <c r="D1093" s="12"/>
      <c r="E1093" s="23"/>
      <c r="F1093" s="9"/>
      <c r="G1093" s="5"/>
      <c r="H1093" s="16"/>
      <c r="I1093" s="69"/>
      <c r="J1093" s="70"/>
      <c r="K1093" s="71"/>
      <c r="L1093" s="71"/>
      <c r="M1093" s="5"/>
    </row>
    <row r="1094" spans="1:13" s="3" customFormat="1">
      <c r="A1094" s="1"/>
      <c r="B1094" s="8"/>
      <c r="C1094" s="5"/>
      <c r="D1094" s="12"/>
      <c r="E1094" s="23"/>
      <c r="F1094" s="9"/>
      <c r="G1094" s="5"/>
      <c r="H1094" s="16"/>
      <c r="I1094" s="69"/>
      <c r="J1094" s="70"/>
      <c r="K1094" s="71"/>
      <c r="L1094" s="71"/>
      <c r="M1094" s="5"/>
    </row>
    <row r="1095" spans="1:13" s="3" customFormat="1">
      <c r="A1095" s="1"/>
      <c r="B1095" s="8"/>
      <c r="C1095" s="5"/>
      <c r="D1095" s="12"/>
      <c r="E1095" s="23"/>
      <c r="F1095" s="9"/>
      <c r="G1095" s="5"/>
      <c r="H1095" s="16"/>
      <c r="I1095" s="69"/>
      <c r="J1095" s="70"/>
      <c r="K1095" s="71"/>
      <c r="L1095" s="71"/>
      <c r="M1095" s="5"/>
    </row>
    <row r="1096" spans="1:13" s="3" customFormat="1">
      <c r="A1096" s="1"/>
      <c r="B1096" s="8"/>
      <c r="C1096" s="5"/>
      <c r="D1096" s="12"/>
      <c r="E1096" s="23"/>
      <c r="F1096" s="9"/>
      <c r="G1096" s="5"/>
      <c r="H1096" s="16"/>
      <c r="I1096" s="69"/>
      <c r="J1096" s="70"/>
      <c r="K1096" s="71"/>
      <c r="L1096" s="71"/>
      <c r="M1096" s="5"/>
    </row>
    <row r="1097" spans="1:13" s="3" customFormat="1">
      <c r="A1097" s="1"/>
      <c r="B1097" s="8"/>
      <c r="C1097" s="5"/>
      <c r="D1097" s="12"/>
      <c r="E1097" s="23"/>
      <c r="F1097" s="9"/>
      <c r="G1097" s="5"/>
      <c r="H1097" s="16"/>
      <c r="I1097" s="69"/>
      <c r="J1097" s="70"/>
      <c r="K1097" s="71"/>
      <c r="L1097" s="71"/>
      <c r="M1097" s="5"/>
    </row>
    <row r="1098" spans="1:13" s="3" customFormat="1">
      <c r="A1098" s="1"/>
      <c r="B1098" s="8"/>
      <c r="C1098" s="5"/>
      <c r="D1098" s="12"/>
      <c r="E1098" s="23"/>
      <c r="F1098" s="9"/>
      <c r="G1098" s="5"/>
      <c r="H1098" s="16"/>
      <c r="I1098" s="69"/>
      <c r="J1098" s="70"/>
      <c r="K1098" s="71"/>
      <c r="L1098" s="71"/>
      <c r="M1098" s="5"/>
    </row>
    <row r="1099" spans="1:13" s="3" customFormat="1">
      <c r="A1099" s="1"/>
      <c r="B1099" s="8"/>
      <c r="C1099" s="5"/>
      <c r="D1099" s="12"/>
      <c r="E1099" s="23"/>
      <c r="F1099" s="9"/>
      <c r="G1099" s="5"/>
      <c r="H1099" s="16"/>
      <c r="I1099" s="69"/>
      <c r="J1099" s="70"/>
      <c r="K1099" s="71"/>
      <c r="L1099" s="71"/>
      <c r="M1099" s="5"/>
    </row>
    <row r="1100" spans="1:13" s="3" customFormat="1">
      <c r="A1100" s="1"/>
      <c r="B1100" s="8"/>
      <c r="C1100" s="5"/>
      <c r="D1100" s="12"/>
      <c r="E1100" s="23"/>
      <c r="F1100" s="9"/>
      <c r="G1100" s="5"/>
      <c r="H1100" s="16"/>
      <c r="I1100" s="69"/>
      <c r="J1100" s="70"/>
      <c r="K1100" s="71"/>
      <c r="L1100" s="71"/>
      <c r="M1100" s="5"/>
    </row>
    <row r="1101" spans="1:13" s="3" customFormat="1">
      <c r="A1101" s="1"/>
      <c r="B1101" s="8"/>
      <c r="C1101" s="5"/>
      <c r="D1101" s="12"/>
      <c r="E1101" s="23"/>
      <c r="F1101" s="9"/>
      <c r="G1101" s="5"/>
      <c r="H1101" s="16"/>
      <c r="I1101" s="69"/>
      <c r="J1101" s="70"/>
      <c r="K1101" s="71"/>
      <c r="L1101" s="71"/>
      <c r="M1101" s="5"/>
    </row>
    <row r="1102" spans="1:13" s="3" customFormat="1">
      <c r="A1102" s="1"/>
      <c r="B1102" s="8"/>
      <c r="C1102" s="5"/>
      <c r="D1102" s="12"/>
      <c r="E1102" s="23"/>
      <c r="F1102" s="9"/>
      <c r="G1102" s="5"/>
      <c r="H1102" s="16"/>
      <c r="I1102" s="69"/>
      <c r="J1102" s="70"/>
      <c r="K1102" s="71"/>
      <c r="L1102" s="71"/>
      <c r="M1102" s="5"/>
    </row>
    <row r="1103" spans="1:13" s="3" customFormat="1">
      <c r="A1103" s="1"/>
      <c r="B1103" s="8"/>
      <c r="C1103" s="5"/>
      <c r="D1103" s="12"/>
      <c r="E1103" s="23"/>
      <c r="F1103" s="9"/>
      <c r="G1103" s="5"/>
      <c r="H1103" s="16"/>
      <c r="I1103" s="69"/>
      <c r="J1103" s="70"/>
      <c r="K1103" s="71"/>
      <c r="L1103" s="71"/>
      <c r="M1103" s="5"/>
    </row>
    <row r="1104" spans="1:13" s="3" customFormat="1">
      <c r="A1104" s="1"/>
      <c r="B1104" s="8"/>
      <c r="C1104" s="5"/>
      <c r="D1104" s="12"/>
      <c r="E1104" s="23"/>
      <c r="F1104" s="9"/>
      <c r="G1104" s="5"/>
      <c r="H1104" s="16"/>
      <c r="I1104" s="69"/>
      <c r="J1104" s="70"/>
      <c r="K1104" s="71"/>
      <c r="L1104" s="71"/>
      <c r="M1104" s="5"/>
    </row>
    <row r="1105" spans="1:13" s="3" customFormat="1">
      <c r="A1105" s="1"/>
      <c r="B1105" s="8"/>
      <c r="C1105" s="5"/>
      <c r="D1105" s="12"/>
      <c r="E1105" s="23"/>
      <c r="F1105" s="9"/>
      <c r="G1105" s="5"/>
      <c r="H1105" s="16"/>
      <c r="I1105" s="69"/>
      <c r="J1105" s="70"/>
      <c r="K1105" s="71"/>
      <c r="L1105" s="71"/>
      <c r="M1105" s="5"/>
    </row>
    <row r="1106" spans="1:13" s="3" customFormat="1">
      <c r="A1106" s="1"/>
      <c r="B1106" s="8"/>
      <c r="C1106" s="5"/>
      <c r="D1106" s="12"/>
      <c r="E1106" s="23"/>
      <c r="F1106" s="9"/>
      <c r="G1106" s="5"/>
      <c r="H1106" s="16"/>
      <c r="I1106" s="69"/>
      <c r="J1106" s="70"/>
      <c r="K1106" s="71"/>
      <c r="L1106" s="71"/>
      <c r="M1106" s="5"/>
    </row>
    <row r="1107" spans="1:13" s="3" customFormat="1">
      <c r="A1107" s="1"/>
      <c r="B1107" s="8"/>
      <c r="C1107" s="5"/>
      <c r="D1107" s="12"/>
      <c r="E1107" s="23"/>
      <c r="F1107" s="9"/>
      <c r="G1107" s="5"/>
      <c r="H1107" s="16"/>
      <c r="I1107" s="69"/>
      <c r="J1107" s="70"/>
      <c r="K1107" s="71"/>
      <c r="L1107" s="71"/>
      <c r="M1107" s="5"/>
    </row>
    <row r="1108" spans="1:13" s="3" customFormat="1">
      <c r="A1108" s="1"/>
      <c r="B1108" s="8"/>
      <c r="C1108" s="5"/>
      <c r="D1108" s="12"/>
      <c r="E1108" s="23"/>
      <c r="F1108" s="9"/>
      <c r="G1108" s="5"/>
      <c r="H1108" s="16"/>
      <c r="I1108" s="69"/>
      <c r="J1108" s="70"/>
      <c r="K1108" s="71"/>
      <c r="L1108" s="71"/>
      <c r="M1108" s="5"/>
    </row>
    <row r="1109" spans="1:13" s="3" customFormat="1">
      <c r="A1109" s="1"/>
      <c r="B1109" s="8"/>
      <c r="C1109" s="5"/>
      <c r="D1109" s="12"/>
      <c r="E1109" s="23"/>
      <c r="F1109" s="9"/>
      <c r="G1109" s="5"/>
      <c r="H1109" s="16"/>
      <c r="I1109" s="69"/>
      <c r="J1109" s="70"/>
      <c r="K1109" s="71"/>
      <c r="L1109" s="71"/>
      <c r="M1109" s="5"/>
    </row>
    <row r="1110" spans="1:13" s="3" customFormat="1">
      <c r="A1110" s="1"/>
      <c r="B1110" s="8"/>
      <c r="C1110" s="5"/>
      <c r="D1110" s="12"/>
      <c r="E1110" s="23"/>
      <c r="F1110" s="9"/>
      <c r="G1110" s="5"/>
      <c r="H1110" s="16"/>
      <c r="I1110" s="69"/>
      <c r="J1110" s="70"/>
      <c r="K1110" s="71"/>
      <c r="L1110" s="71"/>
      <c r="M1110" s="5"/>
    </row>
    <row r="1111" spans="1:13" s="3" customFormat="1">
      <c r="A1111" s="1"/>
      <c r="B1111" s="8"/>
      <c r="C1111" s="5"/>
      <c r="D1111" s="12"/>
      <c r="E1111" s="23"/>
      <c r="F1111" s="9"/>
      <c r="G1111" s="5"/>
      <c r="H1111" s="16"/>
      <c r="I1111" s="69"/>
      <c r="J1111" s="70"/>
      <c r="K1111" s="71"/>
      <c r="L1111" s="71"/>
      <c r="M1111" s="5"/>
    </row>
    <row r="1112" spans="1:13" s="3" customFormat="1">
      <c r="A1112" s="1"/>
      <c r="B1112" s="8"/>
      <c r="C1112" s="5"/>
      <c r="D1112" s="12"/>
      <c r="E1112" s="23"/>
      <c r="F1112" s="9"/>
      <c r="G1112" s="5"/>
      <c r="H1112" s="16"/>
      <c r="I1112" s="69"/>
      <c r="J1112" s="70"/>
      <c r="K1112" s="71"/>
      <c r="L1112" s="71"/>
      <c r="M1112" s="5"/>
    </row>
    <row r="1113" spans="1:13" s="3" customFormat="1">
      <c r="A1113" s="1"/>
      <c r="B1113" s="8"/>
      <c r="C1113" s="5"/>
      <c r="D1113" s="12"/>
      <c r="E1113" s="23"/>
      <c r="F1113" s="9"/>
      <c r="G1113" s="5"/>
      <c r="H1113" s="16"/>
      <c r="I1113" s="69"/>
      <c r="J1113" s="70"/>
      <c r="K1113" s="71"/>
      <c r="L1113" s="71"/>
      <c r="M1113" s="5"/>
    </row>
    <row r="1114" spans="1:13" s="3" customFormat="1">
      <c r="A1114" s="1"/>
      <c r="B1114" s="8"/>
      <c r="C1114" s="5"/>
      <c r="D1114" s="12"/>
      <c r="E1114" s="23"/>
      <c r="F1114" s="9"/>
      <c r="G1114" s="5"/>
      <c r="H1114" s="16"/>
      <c r="I1114" s="69"/>
      <c r="J1114" s="70"/>
      <c r="K1114" s="71"/>
      <c r="L1114" s="71"/>
      <c r="M1114" s="5"/>
    </row>
    <row r="1115" spans="1:13" s="3" customFormat="1">
      <c r="A1115" s="1"/>
      <c r="B1115" s="8"/>
      <c r="C1115" s="5"/>
      <c r="D1115" s="12"/>
      <c r="E1115" s="23"/>
      <c r="F1115" s="9"/>
      <c r="G1115" s="5"/>
      <c r="H1115" s="16"/>
      <c r="I1115" s="69"/>
      <c r="J1115" s="70"/>
      <c r="K1115" s="71"/>
      <c r="L1115" s="71"/>
      <c r="M1115" s="5"/>
    </row>
    <row r="1116" spans="1:13" s="3" customFormat="1">
      <c r="A1116" s="1"/>
      <c r="B1116" s="8"/>
      <c r="C1116" s="5"/>
      <c r="D1116" s="12"/>
      <c r="E1116" s="23"/>
      <c r="F1116" s="9"/>
      <c r="G1116" s="5"/>
      <c r="H1116" s="16"/>
      <c r="I1116" s="69"/>
      <c r="J1116" s="70"/>
      <c r="K1116" s="71"/>
      <c r="L1116" s="71"/>
      <c r="M1116" s="5"/>
    </row>
    <row r="1117" spans="1:13" s="3" customFormat="1">
      <c r="A1117" s="1"/>
      <c r="B1117" s="8"/>
      <c r="C1117" s="5"/>
      <c r="D1117" s="12"/>
      <c r="E1117" s="23"/>
      <c r="F1117" s="9"/>
      <c r="G1117" s="5"/>
      <c r="H1117" s="16"/>
      <c r="I1117" s="69"/>
      <c r="J1117" s="70"/>
      <c r="K1117" s="71"/>
      <c r="L1117" s="71"/>
      <c r="M1117" s="5"/>
    </row>
    <row r="1118" spans="1:13" s="3" customFormat="1">
      <c r="A1118" s="1"/>
      <c r="B1118" s="8"/>
      <c r="C1118" s="5"/>
      <c r="D1118" s="12"/>
      <c r="E1118" s="23"/>
      <c r="F1118" s="9"/>
      <c r="G1118" s="5"/>
      <c r="H1118" s="16"/>
      <c r="I1118" s="69"/>
      <c r="J1118" s="70"/>
      <c r="K1118" s="71"/>
      <c r="L1118" s="71"/>
      <c r="M1118" s="5"/>
    </row>
    <row r="1119" spans="1:13" s="3" customFormat="1">
      <c r="A1119" s="1"/>
      <c r="B1119" s="8"/>
      <c r="C1119" s="5"/>
      <c r="D1119" s="12"/>
      <c r="E1119" s="23"/>
      <c r="F1119" s="9"/>
      <c r="G1119" s="5"/>
      <c r="H1119" s="16"/>
      <c r="I1119" s="69"/>
      <c r="J1119" s="70"/>
      <c r="K1119" s="71"/>
      <c r="L1119" s="71"/>
      <c r="M1119" s="5"/>
    </row>
    <row r="1120" spans="1:13" s="3" customFormat="1">
      <c r="A1120" s="1"/>
      <c r="B1120" s="8"/>
      <c r="C1120" s="5"/>
      <c r="D1120" s="12"/>
      <c r="E1120" s="23"/>
      <c r="F1120" s="9"/>
      <c r="G1120" s="5"/>
      <c r="H1120" s="16"/>
      <c r="I1120" s="69"/>
      <c r="J1120" s="70"/>
      <c r="K1120" s="71"/>
      <c r="L1120" s="71"/>
      <c r="M1120" s="5"/>
    </row>
    <row r="1121" spans="1:13" s="3" customFormat="1">
      <c r="A1121" s="1"/>
      <c r="B1121" s="8"/>
      <c r="C1121" s="5"/>
      <c r="D1121" s="12"/>
      <c r="E1121" s="23"/>
      <c r="F1121" s="9"/>
      <c r="G1121" s="5"/>
      <c r="H1121" s="16"/>
      <c r="I1121" s="69"/>
      <c r="J1121" s="70"/>
      <c r="K1121" s="71"/>
      <c r="L1121" s="71"/>
      <c r="M1121" s="5"/>
    </row>
    <row r="1122" spans="1:13" s="3" customFormat="1">
      <c r="A1122" s="1"/>
      <c r="B1122" s="8"/>
      <c r="C1122" s="5"/>
      <c r="D1122" s="12"/>
      <c r="E1122" s="23"/>
      <c r="F1122" s="9"/>
      <c r="G1122" s="5"/>
      <c r="H1122" s="16"/>
      <c r="I1122" s="69"/>
      <c r="J1122" s="70"/>
      <c r="K1122" s="71"/>
      <c r="L1122" s="71"/>
      <c r="M1122" s="5"/>
    </row>
    <row r="1123" spans="1:13" s="3" customFormat="1">
      <c r="A1123" s="1"/>
      <c r="B1123" s="8"/>
      <c r="C1123" s="5"/>
      <c r="D1123" s="12"/>
      <c r="E1123" s="23"/>
      <c r="F1123" s="9"/>
      <c r="G1123" s="5"/>
      <c r="H1123" s="16"/>
      <c r="I1123" s="69"/>
      <c r="J1123" s="70"/>
      <c r="K1123" s="71"/>
      <c r="L1123" s="71"/>
      <c r="M1123" s="5"/>
    </row>
    <row r="1124" spans="1:13" s="3" customFormat="1">
      <c r="A1124" s="1"/>
      <c r="B1124" s="8"/>
      <c r="C1124" s="5"/>
      <c r="D1124" s="12"/>
      <c r="E1124" s="23"/>
      <c r="F1124" s="9"/>
      <c r="G1124" s="5"/>
      <c r="H1124" s="16"/>
      <c r="I1124" s="69"/>
      <c r="J1124" s="70"/>
      <c r="K1124" s="71"/>
      <c r="L1124" s="71"/>
      <c r="M1124" s="5"/>
    </row>
    <row r="1125" spans="1:13" s="3" customFormat="1">
      <c r="A1125" s="1"/>
      <c r="B1125" s="8"/>
      <c r="C1125" s="5"/>
      <c r="D1125" s="12"/>
      <c r="E1125" s="23"/>
      <c r="F1125" s="9"/>
      <c r="G1125" s="5"/>
      <c r="H1125" s="16"/>
      <c r="I1125" s="69"/>
      <c r="J1125" s="70"/>
      <c r="K1125" s="71"/>
      <c r="L1125" s="71"/>
      <c r="M1125" s="5"/>
    </row>
    <row r="1126" spans="1:13" s="3" customFormat="1">
      <c r="A1126" s="1"/>
      <c r="B1126" s="8"/>
      <c r="C1126" s="5"/>
      <c r="D1126" s="12"/>
      <c r="E1126" s="23"/>
      <c r="F1126" s="9"/>
      <c r="G1126" s="5"/>
      <c r="H1126" s="16"/>
      <c r="I1126" s="69"/>
      <c r="J1126" s="70"/>
      <c r="K1126" s="71"/>
      <c r="L1126" s="71"/>
      <c r="M1126" s="5"/>
    </row>
    <row r="1127" spans="1:13" s="3" customFormat="1">
      <c r="A1127" s="1"/>
      <c r="B1127" s="8"/>
      <c r="C1127" s="5"/>
      <c r="D1127" s="12"/>
      <c r="E1127" s="23"/>
      <c r="F1127" s="9"/>
      <c r="G1127" s="5"/>
      <c r="H1127" s="16"/>
      <c r="I1127" s="69"/>
      <c r="J1127" s="70"/>
      <c r="K1127" s="71"/>
      <c r="L1127" s="71"/>
      <c r="M1127" s="5"/>
    </row>
    <row r="1128" spans="1:13" s="3" customFormat="1">
      <c r="A1128" s="1"/>
      <c r="B1128" s="8"/>
      <c r="C1128" s="5"/>
      <c r="D1128" s="12"/>
      <c r="E1128" s="23"/>
      <c r="F1128" s="9"/>
      <c r="G1128" s="5"/>
      <c r="H1128" s="16"/>
      <c r="I1128" s="69"/>
      <c r="J1128" s="70"/>
      <c r="K1128" s="71"/>
      <c r="L1128" s="71"/>
      <c r="M1128" s="5"/>
    </row>
    <row r="1129" spans="1:13" s="3" customFormat="1">
      <c r="A1129" s="1"/>
      <c r="B1129" s="8"/>
      <c r="C1129" s="5"/>
      <c r="D1129" s="12"/>
      <c r="E1129" s="23"/>
      <c r="F1129" s="9"/>
      <c r="G1129" s="5"/>
      <c r="H1129" s="16"/>
      <c r="I1129" s="69"/>
      <c r="J1129" s="70"/>
      <c r="K1129" s="71"/>
      <c r="L1129" s="71"/>
      <c r="M1129" s="5"/>
    </row>
    <row r="1130" spans="1:13" s="3" customFormat="1">
      <c r="A1130" s="1"/>
      <c r="B1130" s="8"/>
      <c r="C1130" s="5"/>
      <c r="D1130" s="12"/>
      <c r="E1130" s="23"/>
      <c r="F1130" s="9"/>
      <c r="G1130" s="5"/>
      <c r="H1130" s="16"/>
      <c r="I1130" s="69"/>
      <c r="J1130" s="70"/>
      <c r="K1130" s="71"/>
      <c r="L1130" s="71"/>
      <c r="M1130" s="5"/>
    </row>
    <row r="1131" spans="1:13" s="3" customFormat="1">
      <c r="A1131" s="1"/>
      <c r="B1131" s="8"/>
      <c r="C1131" s="5"/>
      <c r="D1131" s="12"/>
      <c r="E1131" s="23"/>
      <c r="F1131" s="9"/>
      <c r="G1131" s="5"/>
      <c r="H1131" s="16"/>
      <c r="I1131" s="69"/>
      <c r="J1131" s="70"/>
      <c r="K1131" s="71"/>
      <c r="L1131" s="71"/>
      <c r="M1131" s="5"/>
    </row>
    <row r="1132" spans="1:13" s="3" customFormat="1">
      <c r="A1132" s="1"/>
      <c r="B1132" s="8"/>
      <c r="C1132" s="5"/>
      <c r="D1132" s="12"/>
      <c r="E1132" s="23"/>
      <c r="F1132" s="9"/>
      <c r="G1132" s="5"/>
      <c r="H1132" s="16"/>
      <c r="I1132" s="69"/>
      <c r="J1132" s="70"/>
      <c r="K1132" s="71"/>
      <c r="L1132" s="71"/>
      <c r="M1132" s="5"/>
    </row>
    <row r="1133" spans="1:13" s="3" customFormat="1">
      <c r="A1133" s="1"/>
      <c r="B1133" s="8"/>
      <c r="C1133" s="5"/>
      <c r="D1133" s="12"/>
      <c r="E1133" s="23"/>
      <c r="F1133" s="9"/>
      <c r="G1133" s="5"/>
      <c r="H1133" s="16"/>
      <c r="I1133" s="69"/>
      <c r="J1133" s="70"/>
      <c r="K1133" s="71"/>
      <c r="L1133" s="71"/>
      <c r="M1133" s="5"/>
    </row>
    <row r="1134" spans="1:13" s="3" customFormat="1">
      <c r="A1134" s="1"/>
      <c r="B1134" s="8"/>
      <c r="C1134" s="5"/>
      <c r="D1134" s="12"/>
      <c r="E1134" s="23"/>
      <c r="F1134" s="9"/>
      <c r="G1134" s="5"/>
      <c r="H1134" s="16"/>
      <c r="I1134" s="69"/>
      <c r="J1134" s="70"/>
      <c r="K1134" s="71"/>
      <c r="L1134" s="71"/>
      <c r="M1134" s="5"/>
    </row>
    <row r="1135" spans="1:13" s="3" customFormat="1">
      <c r="A1135" s="1"/>
      <c r="B1135" s="8"/>
      <c r="C1135" s="5"/>
      <c r="D1135" s="12"/>
      <c r="E1135" s="23"/>
      <c r="F1135" s="9"/>
      <c r="G1135" s="5"/>
      <c r="H1135" s="16"/>
      <c r="I1135" s="69"/>
      <c r="J1135" s="70"/>
      <c r="K1135" s="71"/>
      <c r="L1135" s="71"/>
      <c r="M1135" s="5"/>
    </row>
    <row r="1136" spans="1:13" s="3" customFormat="1">
      <c r="A1136" s="1"/>
      <c r="B1136" s="8"/>
      <c r="C1136" s="5"/>
      <c r="D1136" s="12"/>
      <c r="E1136" s="23"/>
      <c r="F1136" s="9"/>
      <c r="G1136" s="5"/>
      <c r="H1136" s="16"/>
      <c r="I1136" s="69"/>
      <c r="J1136" s="70"/>
      <c r="K1136" s="71"/>
      <c r="L1136" s="71"/>
      <c r="M1136" s="5"/>
    </row>
    <row r="1137" spans="1:13" s="3" customFormat="1">
      <c r="A1137" s="1"/>
      <c r="B1137" s="8"/>
      <c r="C1137" s="5"/>
      <c r="D1137" s="12"/>
      <c r="E1137" s="23"/>
      <c r="F1137" s="9"/>
      <c r="G1137" s="5"/>
      <c r="H1137" s="16"/>
      <c r="I1137" s="69"/>
      <c r="J1137" s="70"/>
      <c r="K1137" s="71"/>
      <c r="L1137" s="71"/>
      <c r="M1137" s="5"/>
    </row>
    <row r="1138" spans="1:13" s="3" customFormat="1">
      <c r="A1138" s="1"/>
      <c r="B1138" s="8"/>
      <c r="C1138" s="5"/>
      <c r="D1138" s="12"/>
      <c r="E1138" s="23"/>
      <c r="F1138" s="9"/>
      <c r="G1138" s="5"/>
      <c r="H1138" s="16"/>
      <c r="I1138" s="69"/>
      <c r="J1138" s="70"/>
      <c r="K1138" s="71"/>
      <c r="L1138" s="71"/>
      <c r="M1138" s="5"/>
    </row>
    <row r="1139" spans="1:13" s="3" customFormat="1">
      <c r="A1139" s="1"/>
      <c r="B1139" s="8"/>
      <c r="C1139" s="5"/>
      <c r="D1139" s="12"/>
      <c r="E1139" s="23"/>
      <c r="F1139" s="9"/>
      <c r="G1139" s="5"/>
      <c r="H1139" s="16"/>
      <c r="I1139" s="69"/>
      <c r="J1139" s="70"/>
      <c r="K1139" s="71"/>
      <c r="L1139" s="71"/>
      <c r="M1139" s="5"/>
    </row>
    <row r="1140" spans="1:13" s="3" customFormat="1">
      <c r="A1140" s="1"/>
      <c r="B1140" s="8"/>
      <c r="C1140" s="5"/>
      <c r="D1140" s="12"/>
      <c r="E1140" s="23"/>
      <c r="F1140" s="9"/>
      <c r="G1140" s="5"/>
      <c r="H1140" s="16"/>
      <c r="I1140" s="69"/>
      <c r="J1140" s="70"/>
      <c r="K1140" s="71"/>
      <c r="L1140" s="71"/>
      <c r="M1140" s="5"/>
    </row>
    <row r="1141" spans="1:13" s="3" customFormat="1">
      <c r="A1141" s="1"/>
      <c r="B1141" s="8"/>
      <c r="C1141" s="5"/>
      <c r="D1141" s="12"/>
      <c r="E1141" s="23"/>
      <c r="F1141" s="9"/>
      <c r="G1141" s="5"/>
      <c r="H1141" s="16"/>
      <c r="I1141" s="69"/>
      <c r="J1141" s="70"/>
      <c r="K1141" s="71"/>
      <c r="L1141" s="71"/>
      <c r="M1141" s="5"/>
    </row>
    <row r="1142" spans="1:13" s="3" customFormat="1">
      <c r="A1142" s="1"/>
      <c r="B1142" s="8"/>
      <c r="C1142" s="5"/>
      <c r="D1142" s="12"/>
      <c r="E1142" s="23"/>
      <c r="F1142" s="9"/>
      <c r="G1142" s="5"/>
      <c r="H1142" s="16"/>
      <c r="I1142" s="69"/>
      <c r="J1142" s="70"/>
      <c r="K1142" s="71"/>
      <c r="L1142" s="71"/>
      <c r="M1142" s="5"/>
    </row>
    <row r="1143" spans="1:13" s="3" customFormat="1">
      <c r="A1143" s="1"/>
      <c r="B1143" s="8"/>
      <c r="C1143" s="5"/>
      <c r="D1143" s="12"/>
      <c r="E1143" s="23"/>
      <c r="F1143" s="9"/>
      <c r="G1143" s="5"/>
      <c r="H1143" s="16"/>
      <c r="I1143" s="69"/>
      <c r="J1143" s="70"/>
      <c r="K1143" s="71"/>
      <c r="L1143" s="71"/>
      <c r="M1143" s="5"/>
    </row>
    <row r="1144" spans="1:13" s="3" customFormat="1">
      <c r="A1144" s="1"/>
      <c r="B1144" s="8"/>
      <c r="C1144" s="5"/>
      <c r="D1144" s="12"/>
      <c r="E1144" s="23"/>
      <c r="F1144" s="9"/>
      <c r="G1144" s="5"/>
      <c r="H1144" s="16"/>
      <c r="I1144" s="69"/>
      <c r="J1144" s="70"/>
      <c r="K1144" s="71"/>
      <c r="L1144" s="71"/>
      <c r="M1144" s="5"/>
    </row>
    <row r="1145" spans="1:13" s="3" customFormat="1">
      <c r="A1145" s="1"/>
      <c r="B1145" s="8"/>
      <c r="C1145" s="5"/>
      <c r="D1145" s="12"/>
      <c r="E1145" s="23"/>
      <c r="F1145" s="9"/>
      <c r="G1145" s="5"/>
      <c r="H1145" s="16"/>
      <c r="I1145" s="69"/>
      <c r="J1145" s="70"/>
      <c r="K1145" s="71"/>
      <c r="L1145" s="71"/>
      <c r="M1145" s="5"/>
    </row>
    <row r="1146" spans="1:13" s="3" customFormat="1">
      <c r="A1146" s="1"/>
      <c r="B1146" s="8"/>
      <c r="C1146" s="5"/>
      <c r="D1146" s="12"/>
      <c r="E1146" s="23"/>
      <c r="F1146" s="9"/>
      <c r="G1146" s="5"/>
      <c r="H1146" s="16"/>
      <c r="I1146" s="69"/>
      <c r="J1146" s="70"/>
      <c r="K1146" s="71"/>
      <c r="L1146" s="71"/>
      <c r="M1146" s="5"/>
    </row>
    <row r="1147" spans="1:13" s="3" customFormat="1">
      <c r="A1147" s="1"/>
      <c r="B1147" s="8"/>
      <c r="C1147" s="5"/>
      <c r="D1147" s="12"/>
      <c r="E1147" s="23"/>
      <c r="F1147" s="9"/>
      <c r="G1147" s="5"/>
      <c r="H1147" s="16"/>
      <c r="I1147" s="69"/>
      <c r="J1147" s="70"/>
      <c r="K1147" s="71"/>
      <c r="L1147" s="71"/>
      <c r="M1147" s="5"/>
    </row>
    <row r="1148" spans="1:13" s="3" customFormat="1">
      <c r="A1148" s="1"/>
      <c r="B1148" s="8"/>
      <c r="C1148" s="5"/>
      <c r="D1148" s="12"/>
      <c r="E1148" s="23"/>
      <c r="F1148" s="9"/>
      <c r="G1148" s="5"/>
      <c r="H1148" s="16"/>
      <c r="I1148" s="69"/>
      <c r="J1148" s="70"/>
      <c r="K1148" s="71"/>
      <c r="L1148" s="71"/>
      <c r="M1148" s="5"/>
    </row>
    <row r="1149" spans="1:13" s="3" customFormat="1">
      <c r="A1149" s="1"/>
      <c r="B1149" s="8"/>
      <c r="C1149" s="5"/>
      <c r="D1149" s="12"/>
      <c r="E1149" s="23"/>
      <c r="F1149" s="9"/>
      <c r="G1149" s="5"/>
      <c r="H1149" s="16"/>
      <c r="I1149" s="69"/>
      <c r="J1149" s="70"/>
      <c r="K1149" s="71"/>
      <c r="L1149" s="71"/>
      <c r="M1149" s="5"/>
    </row>
    <row r="1150" spans="1:13" s="3" customFormat="1">
      <c r="A1150" s="1"/>
      <c r="B1150" s="8"/>
      <c r="C1150" s="5"/>
      <c r="D1150" s="12"/>
      <c r="E1150" s="23"/>
      <c r="F1150" s="9"/>
      <c r="G1150" s="5"/>
      <c r="H1150" s="16"/>
      <c r="I1150" s="69"/>
      <c r="J1150" s="70"/>
      <c r="K1150" s="71"/>
      <c r="L1150" s="71"/>
      <c r="M1150" s="5"/>
    </row>
    <row r="1151" spans="1:13" s="3" customFormat="1">
      <c r="A1151" s="1"/>
      <c r="B1151" s="8"/>
      <c r="C1151" s="5"/>
      <c r="D1151" s="12"/>
      <c r="E1151" s="23"/>
      <c r="F1151" s="9"/>
      <c r="G1151" s="5"/>
      <c r="H1151" s="16"/>
      <c r="I1151" s="69"/>
      <c r="J1151" s="70"/>
      <c r="K1151" s="71"/>
      <c r="L1151" s="71"/>
      <c r="M1151" s="5"/>
    </row>
    <row r="1152" spans="1:13" s="3" customFormat="1">
      <c r="A1152" s="1"/>
      <c r="B1152" s="8"/>
      <c r="C1152" s="5"/>
      <c r="D1152" s="12"/>
      <c r="E1152" s="23"/>
      <c r="F1152" s="9"/>
      <c r="G1152" s="5"/>
      <c r="H1152" s="16"/>
      <c r="I1152" s="69"/>
      <c r="J1152" s="70"/>
      <c r="K1152" s="71"/>
      <c r="L1152" s="71"/>
      <c r="M1152" s="5"/>
    </row>
    <row r="1153" spans="1:13" s="3" customFormat="1">
      <c r="A1153" s="1"/>
      <c r="B1153" s="8"/>
      <c r="C1153" s="5"/>
      <c r="D1153" s="12"/>
      <c r="E1153" s="23"/>
      <c r="F1153" s="9"/>
      <c r="G1153" s="5"/>
      <c r="H1153" s="16"/>
      <c r="I1153" s="69"/>
      <c r="J1153" s="70"/>
      <c r="K1153" s="71"/>
      <c r="L1153" s="71"/>
      <c r="M1153" s="5"/>
    </row>
    <row r="1154" spans="1:13" s="3" customFormat="1">
      <c r="A1154" s="1"/>
      <c r="B1154" s="8"/>
      <c r="C1154" s="5"/>
      <c r="D1154" s="12"/>
      <c r="E1154" s="23"/>
      <c r="F1154" s="9"/>
      <c r="G1154" s="5"/>
      <c r="H1154" s="16"/>
      <c r="I1154" s="69"/>
      <c r="J1154" s="70"/>
      <c r="K1154" s="71"/>
      <c r="L1154" s="71"/>
      <c r="M1154" s="5"/>
    </row>
    <row r="1155" spans="1:13" s="3" customFormat="1">
      <c r="A1155" s="1"/>
      <c r="B1155" s="8"/>
      <c r="C1155" s="5"/>
      <c r="D1155" s="12"/>
      <c r="E1155" s="23"/>
      <c r="F1155" s="9"/>
      <c r="G1155" s="5"/>
      <c r="H1155" s="16"/>
      <c r="I1155" s="69"/>
      <c r="J1155" s="70"/>
      <c r="K1155" s="71"/>
      <c r="L1155" s="71"/>
      <c r="M1155" s="5"/>
    </row>
    <row r="1156" spans="1:13" s="3" customFormat="1">
      <c r="A1156" s="1"/>
      <c r="B1156" s="8"/>
      <c r="C1156" s="5"/>
      <c r="D1156" s="12"/>
      <c r="E1156" s="23"/>
      <c r="F1156" s="9"/>
      <c r="G1156" s="5"/>
      <c r="H1156" s="16"/>
      <c r="I1156" s="69"/>
      <c r="J1156" s="70"/>
      <c r="K1156" s="71"/>
      <c r="L1156" s="71"/>
      <c r="M1156" s="5"/>
    </row>
    <row r="1157" spans="1:13" s="3" customFormat="1">
      <c r="A1157" s="1"/>
      <c r="B1157" s="8"/>
      <c r="C1157" s="5"/>
      <c r="D1157" s="12"/>
      <c r="E1157" s="23"/>
      <c r="F1157" s="9"/>
      <c r="G1157" s="5"/>
      <c r="H1157" s="16"/>
      <c r="I1157" s="69"/>
      <c r="J1157" s="70"/>
      <c r="K1157" s="71"/>
      <c r="L1157" s="71"/>
      <c r="M1157" s="5"/>
    </row>
    <row r="1158" spans="1:13" s="3" customFormat="1">
      <c r="A1158" s="1"/>
      <c r="B1158" s="8"/>
      <c r="C1158" s="5"/>
      <c r="D1158" s="12"/>
      <c r="E1158" s="23"/>
      <c r="F1158" s="9"/>
      <c r="G1158" s="5"/>
      <c r="H1158" s="16"/>
      <c r="I1158" s="69"/>
      <c r="J1158" s="70"/>
      <c r="K1158" s="71"/>
      <c r="L1158" s="71"/>
      <c r="M1158" s="5"/>
    </row>
    <row r="1159" spans="1:13" s="3" customFormat="1">
      <c r="A1159" s="1"/>
      <c r="B1159" s="8"/>
      <c r="C1159" s="5"/>
      <c r="D1159" s="12"/>
      <c r="E1159" s="23"/>
      <c r="F1159" s="9"/>
      <c r="G1159" s="5"/>
      <c r="H1159" s="16"/>
      <c r="I1159" s="69"/>
      <c r="J1159" s="70"/>
      <c r="K1159" s="71"/>
      <c r="L1159" s="71"/>
      <c r="M1159" s="5"/>
    </row>
    <row r="1160" spans="1:13" s="3" customFormat="1">
      <c r="A1160" s="1"/>
      <c r="B1160" s="8"/>
      <c r="C1160" s="5"/>
      <c r="D1160" s="12"/>
      <c r="E1160" s="23"/>
      <c r="F1160" s="9"/>
      <c r="G1160" s="5"/>
      <c r="H1160" s="16"/>
      <c r="I1160" s="69"/>
      <c r="J1160" s="70"/>
      <c r="K1160" s="71"/>
      <c r="L1160" s="71"/>
      <c r="M1160" s="5"/>
    </row>
    <row r="1161" spans="1:13" s="3" customFormat="1">
      <c r="A1161" s="1"/>
      <c r="B1161" s="8"/>
      <c r="C1161" s="5"/>
      <c r="D1161" s="12"/>
      <c r="E1161" s="23"/>
      <c r="F1161" s="9"/>
      <c r="G1161" s="5"/>
      <c r="H1161" s="16"/>
      <c r="I1161" s="69"/>
      <c r="J1161" s="70"/>
      <c r="K1161" s="71"/>
      <c r="L1161" s="71"/>
      <c r="M1161" s="5"/>
    </row>
    <row r="1162" spans="1:13" s="3" customFormat="1">
      <c r="A1162" s="1"/>
      <c r="B1162" s="8"/>
      <c r="C1162" s="5"/>
      <c r="D1162" s="12"/>
      <c r="E1162" s="23"/>
      <c r="F1162" s="9"/>
      <c r="G1162" s="5"/>
      <c r="H1162" s="16"/>
      <c r="I1162" s="69"/>
      <c r="J1162" s="70"/>
      <c r="K1162" s="71"/>
      <c r="L1162" s="71"/>
      <c r="M1162" s="5"/>
    </row>
    <row r="1163" spans="1:13" s="3" customFormat="1">
      <c r="A1163" s="1"/>
      <c r="B1163" s="8"/>
      <c r="C1163" s="5"/>
      <c r="D1163" s="12"/>
      <c r="E1163" s="23"/>
      <c r="F1163" s="9"/>
      <c r="G1163" s="5"/>
      <c r="H1163" s="16"/>
      <c r="I1163" s="69"/>
      <c r="J1163" s="70"/>
      <c r="K1163" s="71"/>
      <c r="L1163" s="71"/>
      <c r="M1163" s="5"/>
    </row>
    <row r="1164" spans="1:13" s="3" customFormat="1">
      <c r="A1164" s="1"/>
      <c r="B1164" s="8"/>
      <c r="C1164" s="5"/>
      <c r="D1164" s="12"/>
      <c r="E1164" s="23"/>
      <c r="F1164" s="9"/>
      <c r="G1164" s="5"/>
      <c r="H1164" s="16"/>
      <c r="I1164" s="69"/>
      <c r="J1164" s="70"/>
      <c r="K1164" s="71"/>
      <c r="L1164" s="71"/>
      <c r="M1164" s="5"/>
    </row>
    <row r="1165" spans="1:13" s="3" customFormat="1">
      <c r="A1165" s="1"/>
      <c r="B1165" s="8"/>
      <c r="C1165" s="5"/>
      <c r="D1165" s="12"/>
      <c r="E1165" s="23"/>
      <c r="F1165" s="9"/>
      <c r="G1165" s="5"/>
      <c r="H1165" s="16"/>
      <c r="I1165" s="69"/>
      <c r="J1165" s="70"/>
      <c r="K1165" s="71"/>
      <c r="L1165" s="71"/>
      <c r="M1165" s="5"/>
    </row>
    <row r="1166" spans="1:13" s="3" customFormat="1">
      <c r="A1166" s="1"/>
      <c r="B1166" s="8"/>
      <c r="C1166" s="5"/>
      <c r="D1166" s="12"/>
      <c r="E1166" s="23"/>
      <c r="F1166" s="9"/>
      <c r="G1166" s="5"/>
      <c r="H1166" s="16"/>
      <c r="I1166" s="69"/>
      <c r="J1166" s="70"/>
      <c r="K1166" s="71"/>
      <c r="L1166" s="71"/>
      <c r="M1166" s="5"/>
    </row>
    <row r="1167" spans="1:13" s="3" customFormat="1">
      <c r="A1167" s="1"/>
      <c r="B1167" s="8"/>
      <c r="C1167" s="5"/>
      <c r="D1167" s="12"/>
      <c r="E1167" s="23"/>
      <c r="F1167" s="9"/>
      <c r="G1167" s="5"/>
      <c r="H1167" s="16"/>
      <c r="I1167" s="69"/>
      <c r="J1167" s="70"/>
      <c r="K1167" s="71"/>
      <c r="L1167" s="71"/>
      <c r="M1167" s="5"/>
    </row>
    <row r="1168" spans="1:13" s="3" customFormat="1">
      <c r="A1168" s="1"/>
      <c r="B1168" s="8"/>
      <c r="C1168" s="5"/>
      <c r="D1168" s="12"/>
      <c r="E1168" s="23"/>
      <c r="F1168" s="9"/>
      <c r="G1168" s="5"/>
      <c r="H1168" s="16"/>
      <c r="I1168" s="69"/>
      <c r="J1168" s="70"/>
      <c r="K1168" s="71"/>
      <c r="L1168" s="71"/>
      <c r="M1168" s="5"/>
    </row>
    <row r="1169" spans="1:13" s="3" customFormat="1">
      <c r="A1169" s="1"/>
      <c r="B1169" s="8"/>
      <c r="C1169" s="5"/>
      <c r="D1169" s="12"/>
      <c r="E1169" s="23"/>
      <c r="F1169" s="9"/>
      <c r="G1169" s="5"/>
      <c r="H1169" s="16"/>
      <c r="I1169" s="69"/>
      <c r="J1169" s="70"/>
      <c r="K1169" s="71"/>
      <c r="L1169" s="71"/>
      <c r="M1169" s="5"/>
    </row>
    <row r="1170" spans="1:13" s="3" customFormat="1">
      <c r="A1170" s="1"/>
      <c r="B1170" s="8"/>
      <c r="C1170" s="5"/>
      <c r="D1170" s="12"/>
      <c r="E1170" s="23"/>
      <c r="F1170" s="9"/>
      <c r="G1170" s="5"/>
      <c r="H1170" s="16"/>
      <c r="I1170" s="69"/>
      <c r="J1170" s="70"/>
      <c r="K1170" s="71"/>
      <c r="L1170" s="71"/>
      <c r="M1170" s="5"/>
    </row>
    <row r="1171" spans="1:13" s="3" customFormat="1">
      <c r="A1171" s="1"/>
      <c r="B1171" s="8"/>
      <c r="C1171" s="5"/>
      <c r="D1171" s="12"/>
      <c r="E1171" s="23"/>
      <c r="F1171" s="9"/>
      <c r="G1171" s="5"/>
      <c r="H1171" s="16"/>
      <c r="I1171" s="69"/>
      <c r="J1171" s="70"/>
      <c r="K1171" s="71"/>
      <c r="L1171" s="71"/>
      <c r="M1171" s="5"/>
    </row>
    <row r="1172" spans="1:13" s="3" customFormat="1">
      <c r="A1172" s="1"/>
      <c r="B1172" s="8"/>
      <c r="C1172" s="5"/>
      <c r="D1172" s="12"/>
      <c r="E1172" s="23"/>
      <c r="F1172" s="9"/>
      <c r="G1172" s="5"/>
      <c r="H1172" s="16"/>
      <c r="I1172" s="69"/>
      <c r="J1172" s="70"/>
      <c r="K1172" s="71"/>
      <c r="L1172" s="71"/>
      <c r="M1172" s="5"/>
    </row>
    <row r="1173" spans="1:13" s="3" customFormat="1">
      <c r="A1173" s="1"/>
      <c r="B1173" s="8"/>
      <c r="C1173" s="5"/>
      <c r="D1173" s="12"/>
      <c r="E1173" s="23"/>
      <c r="F1173" s="9"/>
      <c r="G1173" s="5"/>
      <c r="H1173" s="16"/>
      <c r="I1173" s="69"/>
      <c r="J1173" s="70"/>
      <c r="K1173" s="71"/>
      <c r="L1173" s="71"/>
      <c r="M1173" s="5"/>
    </row>
    <row r="1174" spans="1:13" s="3" customFormat="1">
      <c r="A1174" s="1"/>
      <c r="B1174" s="8"/>
      <c r="C1174" s="5"/>
      <c r="D1174" s="12"/>
      <c r="E1174" s="23"/>
      <c r="F1174" s="9"/>
      <c r="G1174" s="5"/>
      <c r="H1174" s="16"/>
      <c r="I1174" s="69"/>
      <c r="J1174" s="70"/>
      <c r="K1174" s="71"/>
      <c r="L1174" s="71"/>
      <c r="M1174" s="5"/>
    </row>
    <row r="1175" spans="1:13" s="3" customFormat="1">
      <c r="A1175" s="1"/>
      <c r="B1175" s="8"/>
      <c r="C1175" s="5"/>
      <c r="D1175" s="12"/>
      <c r="E1175" s="23"/>
      <c r="F1175" s="9"/>
      <c r="G1175" s="5"/>
      <c r="H1175" s="16"/>
      <c r="I1175" s="69"/>
      <c r="J1175" s="70"/>
      <c r="K1175" s="71"/>
      <c r="L1175" s="71"/>
      <c r="M1175" s="5"/>
    </row>
    <row r="1176" spans="1:13" s="3" customFormat="1">
      <c r="A1176" s="1"/>
      <c r="B1176" s="8"/>
      <c r="C1176" s="5"/>
      <c r="D1176" s="12"/>
      <c r="E1176" s="23"/>
      <c r="F1176" s="9"/>
      <c r="G1176" s="5"/>
      <c r="H1176" s="16"/>
      <c r="I1176" s="69"/>
      <c r="J1176" s="70"/>
      <c r="K1176" s="71"/>
      <c r="L1176" s="71"/>
      <c r="M1176" s="5"/>
    </row>
    <row r="1177" spans="1:13" s="3" customFormat="1">
      <c r="A1177" s="1"/>
      <c r="B1177" s="8"/>
      <c r="C1177" s="5"/>
      <c r="D1177" s="12"/>
      <c r="E1177" s="23"/>
      <c r="F1177" s="9"/>
      <c r="G1177" s="5"/>
      <c r="H1177" s="16"/>
      <c r="I1177" s="69"/>
      <c r="J1177" s="70"/>
      <c r="K1177" s="71"/>
      <c r="L1177" s="71"/>
      <c r="M1177" s="5"/>
    </row>
    <row r="1178" spans="1:13" s="3" customFormat="1">
      <c r="A1178" s="1"/>
      <c r="B1178" s="8"/>
      <c r="C1178" s="5"/>
      <c r="D1178" s="12"/>
      <c r="E1178" s="23"/>
      <c r="F1178" s="9"/>
      <c r="G1178" s="5"/>
      <c r="H1178" s="16"/>
      <c r="I1178" s="69"/>
      <c r="J1178" s="70"/>
      <c r="K1178" s="71"/>
      <c r="L1178" s="71"/>
      <c r="M1178" s="5"/>
    </row>
    <row r="1179" spans="1:13" s="3" customFormat="1">
      <c r="A1179" s="1"/>
      <c r="B1179" s="8"/>
      <c r="C1179" s="5"/>
      <c r="D1179" s="12"/>
      <c r="E1179" s="23"/>
      <c r="F1179" s="9"/>
      <c r="G1179" s="5"/>
      <c r="H1179" s="16"/>
      <c r="I1179" s="69"/>
      <c r="J1179" s="70"/>
      <c r="K1179" s="71"/>
      <c r="L1179" s="71"/>
      <c r="M1179" s="5"/>
    </row>
    <row r="1180" spans="1:13" s="3" customFormat="1">
      <c r="A1180" s="1"/>
      <c r="B1180" s="8"/>
      <c r="C1180" s="5"/>
      <c r="D1180" s="12"/>
      <c r="E1180" s="23"/>
      <c r="F1180" s="9"/>
      <c r="G1180" s="5"/>
      <c r="H1180" s="16"/>
      <c r="I1180" s="69"/>
      <c r="J1180" s="70"/>
      <c r="K1180" s="71"/>
      <c r="L1180" s="71"/>
      <c r="M1180" s="5"/>
    </row>
    <row r="1181" spans="1:13" s="3" customFormat="1">
      <c r="A1181" s="1"/>
      <c r="B1181" s="8"/>
      <c r="C1181" s="5"/>
      <c r="D1181" s="12"/>
      <c r="E1181" s="23"/>
      <c r="F1181" s="9"/>
      <c r="G1181" s="5"/>
      <c r="H1181" s="16"/>
      <c r="I1181" s="69"/>
      <c r="J1181" s="70"/>
      <c r="K1181" s="71"/>
      <c r="L1181" s="71"/>
      <c r="M1181" s="5"/>
    </row>
    <row r="1182" spans="1:13" s="3" customFormat="1">
      <c r="A1182" s="1"/>
      <c r="B1182" s="8"/>
      <c r="C1182" s="5"/>
      <c r="D1182" s="12"/>
      <c r="E1182" s="23"/>
      <c r="F1182" s="9"/>
      <c r="G1182" s="5"/>
      <c r="H1182" s="16"/>
      <c r="I1182" s="69"/>
      <c r="J1182" s="70"/>
      <c r="K1182" s="71"/>
      <c r="L1182" s="71"/>
      <c r="M1182" s="5"/>
    </row>
    <row r="1183" spans="1:13" s="3" customFormat="1">
      <c r="A1183" s="1"/>
      <c r="B1183" s="8"/>
      <c r="C1183" s="5"/>
      <c r="D1183" s="12"/>
      <c r="E1183" s="23"/>
      <c r="F1183" s="9"/>
      <c r="G1183" s="5"/>
      <c r="H1183" s="16"/>
      <c r="I1183" s="69"/>
      <c r="J1183" s="70"/>
      <c r="K1183" s="71"/>
      <c r="L1183" s="71"/>
      <c r="M1183" s="5"/>
    </row>
    <row r="1184" spans="1:13" s="3" customFormat="1">
      <c r="A1184" s="1"/>
      <c r="B1184" s="8"/>
      <c r="C1184" s="5"/>
      <c r="D1184" s="12"/>
      <c r="E1184" s="23"/>
      <c r="F1184" s="9"/>
      <c r="G1184" s="5"/>
      <c r="H1184" s="16"/>
      <c r="I1184" s="69"/>
      <c r="J1184" s="70"/>
      <c r="K1184" s="71"/>
      <c r="L1184" s="71"/>
      <c r="M1184" s="5"/>
    </row>
    <row r="1185" spans="1:13" s="3" customFormat="1">
      <c r="A1185" s="1"/>
      <c r="B1185" s="8"/>
      <c r="C1185" s="5"/>
      <c r="D1185" s="12"/>
      <c r="E1185" s="23"/>
      <c r="F1185" s="9"/>
      <c r="G1185" s="5"/>
      <c r="H1185" s="16"/>
      <c r="I1185" s="69"/>
      <c r="J1185" s="70"/>
      <c r="K1185" s="71"/>
      <c r="L1185" s="71"/>
      <c r="M1185" s="5"/>
    </row>
    <row r="1186" spans="1:13" s="3" customFormat="1">
      <c r="A1186" s="1"/>
      <c r="B1186" s="8"/>
      <c r="C1186" s="5"/>
      <c r="D1186" s="12"/>
      <c r="E1186" s="23"/>
      <c r="F1186" s="9"/>
      <c r="G1186" s="5"/>
      <c r="H1186" s="16"/>
      <c r="I1186" s="69"/>
      <c r="J1186" s="70"/>
      <c r="K1186" s="71"/>
      <c r="L1186" s="71"/>
      <c r="M1186" s="5"/>
    </row>
    <row r="1187" spans="1:13" s="3" customFormat="1">
      <c r="A1187" s="1"/>
      <c r="B1187" s="8"/>
      <c r="C1187" s="5"/>
      <c r="D1187" s="12"/>
      <c r="E1187" s="23"/>
      <c r="F1187" s="9"/>
      <c r="G1187" s="5"/>
      <c r="H1187" s="16"/>
      <c r="I1187" s="69"/>
      <c r="J1187" s="70"/>
      <c r="K1187" s="71"/>
      <c r="L1187" s="71"/>
      <c r="M1187" s="5"/>
    </row>
    <row r="1188" spans="1:13" s="3" customFormat="1">
      <c r="A1188" s="1"/>
      <c r="B1188" s="8"/>
      <c r="C1188" s="5"/>
      <c r="D1188" s="12"/>
      <c r="E1188" s="23"/>
      <c r="F1188" s="9"/>
      <c r="G1188" s="5"/>
      <c r="H1188" s="16"/>
      <c r="I1188" s="69"/>
      <c r="J1188" s="70"/>
      <c r="K1188" s="71"/>
      <c r="L1188" s="71"/>
      <c r="M1188" s="5"/>
    </row>
    <row r="1189" spans="1:13" s="3" customFormat="1">
      <c r="A1189" s="1"/>
      <c r="B1189" s="8"/>
      <c r="C1189" s="5"/>
      <c r="D1189" s="12"/>
      <c r="E1189" s="23"/>
      <c r="F1189" s="9"/>
      <c r="G1189" s="5"/>
      <c r="H1189" s="16"/>
      <c r="I1189" s="69"/>
      <c r="J1189" s="70"/>
      <c r="K1189" s="71"/>
      <c r="L1189" s="71"/>
      <c r="M1189" s="5"/>
    </row>
    <row r="1190" spans="1:13" s="3" customFormat="1">
      <c r="A1190" s="1"/>
      <c r="B1190" s="8"/>
      <c r="C1190" s="5"/>
      <c r="D1190" s="12"/>
      <c r="E1190" s="23"/>
      <c r="F1190" s="9"/>
      <c r="G1190" s="5"/>
      <c r="H1190" s="16"/>
      <c r="I1190" s="69"/>
      <c r="J1190" s="70"/>
      <c r="K1190" s="71"/>
      <c r="L1190" s="71"/>
      <c r="M1190" s="5"/>
    </row>
    <row r="1191" spans="1:13" s="3" customFormat="1">
      <c r="A1191" s="1"/>
      <c r="B1191" s="8"/>
      <c r="C1191" s="5"/>
      <c r="D1191" s="12"/>
      <c r="E1191" s="23"/>
      <c r="F1191" s="9"/>
      <c r="G1191" s="5"/>
      <c r="H1191" s="16"/>
      <c r="I1191" s="69"/>
      <c r="J1191" s="70"/>
      <c r="K1191" s="71"/>
      <c r="L1191" s="71"/>
      <c r="M1191" s="5"/>
    </row>
    <row r="1192" spans="1:13" s="3" customFormat="1">
      <c r="A1192" s="1"/>
      <c r="B1192" s="8"/>
      <c r="C1192" s="5"/>
      <c r="D1192" s="12"/>
      <c r="E1192" s="23"/>
      <c r="F1192" s="9"/>
      <c r="G1192" s="5"/>
      <c r="H1192" s="16"/>
      <c r="I1192" s="69"/>
      <c r="J1192" s="70"/>
      <c r="K1192" s="71"/>
      <c r="L1192" s="71"/>
      <c r="M1192" s="5"/>
    </row>
    <row r="1193" spans="1:13" s="3" customFormat="1">
      <c r="A1193" s="1"/>
      <c r="B1193" s="8"/>
      <c r="C1193" s="5"/>
      <c r="D1193" s="12"/>
      <c r="E1193" s="23"/>
      <c r="F1193" s="9"/>
      <c r="G1193" s="5"/>
      <c r="H1193" s="16"/>
      <c r="I1193" s="69"/>
      <c r="J1193" s="70"/>
      <c r="K1193" s="71"/>
      <c r="L1193" s="71"/>
      <c r="M1193" s="5"/>
    </row>
    <row r="1194" spans="1:13" s="3" customFormat="1">
      <c r="A1194" s="1"/>
      <c r="B1194" s="8"/>
      <c r="C1194" s="5"/>
      <c r="D1194" s="12"/>
      <c r="E1194" s="23"/>
      <c r="F1194" s="9"/>
      <c r="G1194" s="5"/>
      <c r="H1194" s="16"/>
      <c r="I1194" s="69"/>
      <c r="J1194" s="70"/>
      <c r="K1194" s="71"/>
      <c r="L1194" s="71"/>
      <c r="M1194" s="5"/>
    </row>
    <row r="1195" spans="1:13" s="3" customFormat="1">
      <c r="A1195" s="1"/>
      <c r="B1195" s="8"/>
      <c r="C1195" s="5"/>
      <c r="D1195" s="12"/>
      <c r="E1195" s="23"/>
      <c r="F1195" s="9"/>
      <c r="G1195" s="5"/>
      <c r="H1195" s="16"/>
      <c r="I1195" s="69"/>
      <c r="J1195" s="70"/>
      <c r="K1195" s="71"/>
      <c r="L1195" s="71"/>
      <c r="M1195" s="5"/>
    </row>
    <row r="1196" spans="1:13" s="3" customFormat="1">
      <c r="A1196" s="1"/>
      <c r="B1196" s="8"/>
      <c r="C1196" s="5"/>
      <c r="D1196" s="12"/>
      <c r="E1196" s="23"/>
      <c r="F1196" s="9"/>
      <c r="G1196" s="5"/>
      <c r="H1196" s="16"/>
      <c r="I1196" s="69"/>
      <c r="J1196" s="70"/>
      <c r="K1196" s="71"/>
      <c r="L1196" s="71"/>
      <c r="M1196" s="5"/>
    </row>
    <row r="1197" spans="1:13" s="3" customFormat="1">
      <c r="A1197" s="1"/>
      <c r="B1197" s="8"/>
      <c r="C1197" s="5"/>
      <c r="D1197" s="12"/>
      <c r="E1197" s="23"/>
      <c r="F1197" s="9"/>
      <c r="G1197" s="5"/>
      <c r="H1197" s="16"/>
      <c r="I1197" s="69"/>
      <c r="J1197" s="70"/>
      <c r="K1197" s="71"/>
      <c r="L1197" s="71"/>
      <c r="M1197" s="5"/>
    </row>
    <row r="1198" spans="1:13" s="3" customFormat="1">
      <c r="A1198" s="1"/>
      <c r="B1198" s="8"/>
      <c r="C1198" s="5"/>
      <c r="D1198" s="12"/>
      <c r="E1198" s="23"/>
      <c r="F1198" s="9"/>
      <c r="G1198" s="5"/>
      <c r="H1198" s="16"/>
      <c r="I1198" s="69"/>
      <c r="J1198" s="70"/>
      <c r="K1198" s="71"/>
      <c r="L1198" s="71"/>
      <c r="M1198" s="5"/>
    </row>
    <row r="1199" spans="1:13" s="3" customFormat="1">
      <c r="A1199" s="1"/>
      <c r="B1199" s="8"/>
      <c r="C1199" s="5"/>
      <c r="D1199" s="12"/>
      <c r="E1199" s="23"/>
      <c r="F1199" s="9"/>
      <c r="G1199" s="5"/>
      <c r="H1199" s="16"/>
      <c r="I1199" s="69"/>
      <c r="J1199" s="70"/>
      <c r="K1199" s="71"/>
      <c r="L1199" s="71"/>
      <c r="M1199" s="5"/>
    </row>
    <row r="1200" spans="1:13" s="3" customFormat="1">
      <c r="A1200" s="1"/>
      <c r="B1200" s="8"/>
      <c r="C1200" s="5"/>
      <c r="D1200" s="12"/>
      <c r="E1200" s="23"/>
      <c r="F1200" s="9"/>
      <c r="G1200" s="5"/>
      <c r="H1200" s="16"/>
      <c r="I1200" s="69"/>
      <c r="J1200" s="70"/>
      <c r="K1200" s="71"/>
      <c r="L1200" s="71"/>
      <c r="M1200" s="5"/>
    </row>
    <row r="1201" spans="1:13" s="3" customFormat="1">
      <c r="A1201" s="1"/>
      <c r="B1201" s="8"/>
      <c r="C1201" s="5"/>
      <c r="D1201" s="12"/>
      <c r="E1201" s="23"/>
      <c r="F1201" s="9"/>
      <c r="G1201" s="5"/>
      <c r="H1201" s="16"/>
      <c r="I1201" s="69"/>
      <c r="J1201" s="70"/>
      <c r="K1201" s="71"/>
      <c r="L1201" s="71"/>
      <c r="M1201" s="5"/>
    </row>
    <row r="1202" spans="1:13" s="3" customFormat="1">
      <c r="A1202" s="1"/>
      <c r="B1202" s="8"/>
      <c r="C1202" s="5"/>
      <c r="D1202" s="12"/>
      <c r="E1202" s="23"/>
      <c r="F1202" s="9"/>
      <c r="G1202" s="5"/>
      <c r="H1202" s="16"/>
      <c r="I1202" s="69"/>
      <c r="J1202" s="70"/>
      <c r="K1202" s="71"/>
      <c r="L1202" s="71"/>
      <c r="M1202" s="5"/>
    </row>
    <row r="1203" spans="1:13" s="3" customFormat="1">
      <c r="A1203" s="1"/>
      <c r="B1203" s="8"/>
      <c r="C1203" s="5"/>
      <c r="D1203" s="12"/>
      <c r="E1203" s="23"/>
      <c r="F1203" s="9"/>
      <c r="G1203" s="5"/>
      <c r="H1203" s="16"/>
      <c r="I1203" s="69"/>
      <c r="J1203" s="70"/>
      <c r="K1203" s="71"/>
      <c r="L1203" s="71"/>
      <c r="M1203" s="5"/>
    </row>
    <row r="1204" spans="1:13" s="3" customFormat="1">
      <c r="A1204" s="1"/>
      <c r="B1204" s="8"/>
      <c r="C1204" s="5"/>
      <c r="D1204" s="12"/>
      <c r="E1204" s="23"/>
      <c r="F1204" s="9"/>
      <c r="G1204" s="5"/>
      <c r="H1204" s="16"/>
      <c r="I1204" s="69"/>
      <c r="J1204" s="70"/>
      <c r="K1204" s="71"/>
      <c r="L1204" s="71"/>
      <c r="M1204" s="5"/>
    </row>
    <row r="1205" spans="1:13" s="3" customFormat="1">
      <c r="A1205" s="1"/>
      <c r="B1205" s="8"/>
      <c r="C1205" s="5"/>
      <c r="D1205" s="12"/>
      <c r="E1205" s="23"/>
      <c r="F1205" s="9"/>
      <c r="G1205" s="5"/>
      <c r="H1205" s="16"/>
      <c r="I1205" s="69"/>
      <c r="J1205" s="70"/>
      <c r="K1205" s="71"/>
      <c r="L1205" s="71"/>
      <c r="M1205" s="5"/>
    </row>
    <row r="1206" spans="1:13" s="3" customFormat="1">
      <c r="A1206" s="1"/>
      <c r="B1206" s="8"/>
      <c r="C1206" s="5"/>
      <c r="D1206" s="12"/>
      <c r="E1206" s="23"/>
      <c r="F1206" s="9"/>
      <c r="G1206" s="5"/>
      <c r="H1206" s="16"/>
      <c r="I1206" s="69"/>
      <c r="J1206" s="70"/>
      <c r="K1206" s="71"/>
      <c r="L1206" s="71"/>
      <c r="M1206" s="5"/>
    </row>
    <row r="1207" spans="1:13" s="3" customFormat="1">
      <c r="A1207" s="1"/>
      <c r="B1207" s="8"/>
      <c r="C1207" s="5"/>
      <c r="D1207" s="12"/>
      <c r="E1207" s="23"/>
      <c r="F1207" s="9"/>
      <c r="G1207" s="5"/>
      <c r="H1207" s="16"/>
      <c r="I1207" s="69"/>
      <c r="J1207" s="70"/>
      <c r="K1207" s="71"/>
      <c r="L1207" s="71"/>
      <c r="M1207" s="5"/>
    </row>
    <row r="1208" spans="1:13" s="3" customFormat="1">
      <c r="A1208" s="1"/>
      <c r="B1208" s="8"/>
      <c r="C1208" s="5"/>
      <c r="D1208" s="12"/>
      <c r="E1208" s="23"/>
      <c r="F1208" s="9"/>
      <c r="G1208" s="5"/>
      <c r="H1208" s="16"/>
      <c r="I1208" s="69"/>
      <c r="J1208" s="70"/>
      <c r="K1208" s="71"/>
      <c r="L1208" s="71"/>
      <c r="M1208" s="5"/>
    </row>
    <row r="1209" spans="1:13" s="3" customFormat="1">
      <c r="A1209" s="1"/>
      <c r="B1209" s="8"/>
      <c r="C1209" s="5"/>
      <c r="D1209" s="12"/>
      <c r="E1209" s="23"/>
      <c r="F1209" s="9"/>
      <c r="G1209" s="5"/>
      <c r="H1209" s="16"/>
      <c r="I1209" s="69"/>
      <c r="J1209" s="70"/>
      <c r="K1209" s="71"/>
      <c r="L1209" s="71"/>
      <c r="M1209" s="5"/>
    </row>
    <row r="1210" spans="1:13" s="3" customFormat="1">
      <c r="A1210" s="1"/>
      <c r="B1210" s="8"/>
      <c r="C1210" s="5"/>
      <c r="D1210" s="12"/>
      <c r="E1210" s="23"/>
      <c r="F1210" s="9"/>
      <c r="G1210" s="5"/>
      <c r="H1210" s="16"/>
      <c r="I1210" s="69"/>
      <c r="J1210" s="70"/>
      <c r="K1210" s="71"/>
      <c r="L1210" s="71"/>
      <c r="M1210" s="5"/>
    </row>
    <row r="1211" spans="1:13" s="3" customFormat="1">
      <c r="A1211" s="1"/>
      <c r="B1211" s="8"/>
      <c r="C1211" s="5"/>
      <c r="D1211" s="12"/>
      <c r="E1211" s="23"/>
      <c r="F1211" s="9"/>
      <c r="G1211" s="5"/>
      <c r="H1211" s="16"/>
      <c r="I1211" s="69"/>
      <c r="J1211" s="70"/>
      <c r="K1211" s="71"/>
      <c r="L1211" s="71"/>
      <c r="M1211" s="5"/>
    </row>
    <row r="1212" spans="1:13" s="3" customFormat="1">
      <c r="A1212" s="1"/>
      <c r="B1212" s="8"/>
      <c r="C1212" s="5"/>
      <c r="D1212" s="12"/>
      <c r="E1212" s="23"/>
      <c r="F1212" s="9"/>
      <c r="G1212" s="5"/>
      <c r="H1212" s="16"/>
      <c r="I1212" s="69"/>
      <c r="J1212" s="70"/>
      <c r="K1212" s="71"/>
      <c r="L1212" s="71"/>
      <c r="M1212" s="5"/>
    </row>
    <row r="1213" spans="1:13" s="3" customFormat="1">
      <c r="A1213" s="1"/>
      <c r="B1213" s="8"/>
      <c r="C1213" s="5"/>
      <c r="D1213" s="12"/>
      <c r="E1213" s="23"/>
      <c r="F1213" s="9"/>
      <c r="G1213" s="5"/>
      <c r="H1213" s="16"/>
      <c r="I1213" s="69"/>
      <c r="J1213" s="70"/>
      <c r="K1213" s="71"/>
      <c r="L1213" s="71"/>
      <c r="M1213" s="5"/>
    </row>
    <row r="1214" spans="1:13" s="3" customFormat="1">
      <c r="A1214" s="1"/>
      <c r="B1214" s="8"/>
      <c r="C1214" s="5"/>
      <c r="D1214" s="12"/>
      <c r="E1214" s="23"/>
      <c r="F1214" s="9"/>
      <c r="G1214" s="5"/>
      <c r="H1214" s="16"/>
      <c r="I1214" s="69"/>
      <c r="J1214" s="70"/>
      <c r="K1214" s="71"/>
      <c r="L1214" s="71"/>
      <c r="M1214" s="5"/>
    </row>
    <row r="1215" spans="1:13" s="3" customFormat="1">
      <c r="A1215" s="1"/>
      <c r="B1215" s="8"/>
      <c r="C1215" s="5"/>
      <c r="D1215" s="12"/>
      <c r="E1215" s="23"/>
      <c r="F1215" s="9"/>
      <c r="G1215" s="5"/>
      <c r="H1215" s="16"/>
      <c r="I1215" s="69"/>
      <c r="J1215" s="70"/>
      <c r="K1215" s="71"/>
      <c r="L1215" s="71"/>
      <c r="M1215" s="5"/>
    </row>
    <row r="1216" spans="1:13" s="3" customFormat="1">
      <c r="A1216" s="1"/>
      <c r="B1216" s="8"/>
      <c r="C1216" s="5"/>
      <c r="D1216" s="12"/>
      <c r="E1216" s="23"/>
      <c r="F1216" s="9"/>
      <c r="G1216" s="5"/>
      <c r="H1216" s="16"/>
      <c r="I1216" s="69"/>
      <c r="J1216" s="70"/>
      <c r="K1216" s="71"/>
      <c r="L1216" s="71"/>
      <c r="M1216" s="5"/>
    </row>
    <row r="1217" spans="1:13" s="3" customFormat="1">
      <c r="A1217" s="1"/>
      <c r="B1217" s="8"/>
      <c r="C1217" s="5"/>
      <c r="D1217" s="12"/>
      <c r="E1217" s="23"/>
      <c r="F1217" s="9"/>
      <c r="G1217" s="5"/>
      <c r="H1217" s="16"/>
      <c r="I1217" s="69"/>
      <c r="J1217" s="70"/>
      <c r="K1217" s="71"/>
      <c r="L1217" s="71"/>
      <c r="M1217" s="5"/>
    </row>
    <row r="1218" spans="1:13" s="3" customFormat="1">
      <c r="A1218" s="1"/>
      <c r="B1218" s="8"/>
      <c r="C1218" s="5"/>
      <c r="D1218" s="12"/>
      <c r="E1218" s="23"/>
      <c r="F1218" s="9"/>
      <c r="G1218" s="5"/>
      <c r="H1218" s="16"/>
      <c r="I1218" s="69"/>
      <c r="J1218" s="70"/>
      <c r="K1218" s="71"/>
      <c r="L1218" s="71"/>
      <c r="M1218" s="5"/>
    </row>
    <row r="1219" spans="1:13" s="3" customFormat="1">
      <c r="A1219" s="1"/>
      <c r="B1219" s="8"/>
      <c r="C1219" s="5"/>
      <c r="D1219" s="12"/>
      <c r="E1219" s="23"/>
      <c r="F1219" s="9"/>
      <c r="G1219" s="5"/>
      <c r="H1219" s="16"/>
      <c r="I1219" s="69"/>
      <c r="J1219" s="70"/>
      <c r="K1219" s="71"/>
      <c r="L1219" s="71"/>
      <c r="M1219" s="5"/>
    </row>
    <row r="1220" spans="1:13" s="3" customFormat="1">
      <c r="A1220" s="1"/>
      <c r="B1220" s="8"/>
      <c r="C1220" s="5"/>
      <c r="D1220" s="12"/>
      <c r="E1220" s="23"/>
      <c r="F1220" s="9"/>
      <c r="G1220" s="5"/>
      <c r="H1220" s="16"/>
      <c r="I1220" s="69"/>
      <c r="J1220" s="70"/>
      <c r="K1220" s="71"/>
      <c r="L1220" s="71"/>
      <c r="M1220" s="5"/>
    </row>
    <row r="1221" spans="1:13" s="3" customFormat="1">
      <c r="A1221" s="1"/>
      <c r="B1221" s="8"/>
      <c r="C1221" s="5"/>
      <c r="D1221" s="12"/>
      <c r="E1221" s="23"/>
      <c r="F1221" s="9"/>
      <c r="G1221" s="5"/>
      <c r="H1221" s="16"/>
      <c r="I1221" s="69"/>
      <c r="J1221" s="70"/>
      <c r="K1221" s="71"/>
      <c r="L1221" s="71"/>
      <c r="M1221" s="5"/>
    </row>
    <row r="1222" spans="1:13" s="3" customFormat="1">
      <c r="A1222" s="1"/>
      <c r="B1222" s="8"/>
      <c r="C1222" s="5"/>
      <c r="D1222" s="12"/>
      <c r="E1222" s="23"/>
      <c r="F1222" s="9"/>
      <c r="G1222" s="5"/>
      <c r="H1222" s="16"/>
      <c r="I1222" s="69"/>
      <c r="J1222" s="70"/>
      <c r="K1222" s="71"/>
      <c r="L1222" s="71"/>
      <c r="M1222" s="5"/>
    </row>
    <row r="1223" spans="1:13" s="3" customFormat="1">
      <c r="A1223" s="1"/>
      <c r="B1223" s="8"/>
      <c r="C1223" s="5"/>
      <c r="D1223" s="12"/>
      <c r="E1223" s="23"/>
      <c r="F1223" s="9"/>
      <c r="G1223" s="5"/>
      <c r="H1223" s="16"/>
      <c r="I1223" s="69"/>
      <c r="J1223" s="70"/>
      <c r="K1223" s="71"/>
      <c r="L1223" s="71"/>
      <c r="M1223" s="5"/>
    </row>
    <row r="1224" spans="1:13" s="3" customFormat="1">
      <c r="A1224" s="1"/>
      <c r="B1224" s="8"/>
      <c r="C1224" s="5"/>
      <c r="D1224" s="12"/>
      <c r="E1224" s="23"/>
      <c r="F1224" s="9"/>
      <c r="G1224" s="5"/>
      <c r="H1224" s="16"/>
      <c r="I1224" s="69"/>
      <c r="J1224" s="70"/>
      <c r="K1224" s="71"/>
      <c r="L1224" s="71"/>
      <c r="M1224" s="5"/>
    </row>
    <row r="1225" spans="1:13" s="3" customFormat="1">
      <c r="A1225" s="1"/>
      <c r="B1225" s="8"/>
      <c r="C1225" s="5"/>
      <c r="D1225" s="12"/>
      <c r="E1225" s="23"/>
      <c r="F1225" s="9"/>
      <c r="G1225" s="5"/>
      <c r="H1225" s="16"/>
      <c r="I1225" s="69"/>
      <c r="J1225" s="70"/>
      <c r="K1225" s="71"/>
      <c r="L1225" s="71"/>
      <c r="M1225" s="5"/>
    </row>
    <row r="1226" spans="1:13" s="3" customFormat="1">
      <c r="A1226" s="1"/>
      <c r="B1226" s="8"/>
      <c r="C1226" s="5"/>
      <c r="D1226" s="12"/>
      <c r="E1226" s="23"/>
      <c r="F1226" s="9"/>
      <c r="G1226" s="5"/>
      <c r="H1226" s="16"/>
      <c r="I1226" s="69"/>
      <c r="J1226" s="70"/>
      <c r="K1226" s="71"/>
      <c r="L1226" s="71"/>
      <c r="M1226" s="5"/>
    </row>
    <row r="1227" spans="1:13" s="3" customFormat="1">
      <c r="A1227" s="1"/>
      <c r="B1227" s="8"/>
      <c r="C1227" s="5"/>
      <c r="D1227" s="12"/>
      <c r="E1227" s="23"/>
      <c r="F1227" s="9"/>
      <c r="G1227" s="5"/>
      <c r="H1227" s="16"/>
      <c r="I1227" s="69"/>
      <c r="J1227" s="70"/>
      <c r="K1227" s="71"/>
      <c r="L1227" s="71"/>
      <c r="M1227" s="5"/>
    </row>
    <row r="1228" spans="1:13" s="3" customFormat="1">
      <c r="A1228" s="1"/>
      <c r="B1228" s="8"/>
      <c r="C1228" s="5"/>
      <c r="D1228" s="12"/>
      <c r="E1228" s="23"/>
      <c r="F1228" s="9"/>
      <c r="G1228" s="5"/>
      <c r="H1228" s="16"/>
      <c r="I1228" s="69"/>
      <c r="J1228" s="70"/>
      <c r="K1228" s="71"/>
      <c r="L1228" s="71"/>
      <c r="M1228" s="5"/>
    </row>
    <row r="1229" spans="1:13" s="3" customFormat="1">
      <c r="A1229" s="1"/>
      <c r="B1229" s="8"/>
      <c r="C1229" s="5"/>
      <c r="D1229" s="12"/>
      <c r="E1229" s="23"/>
      <c r="F1229" s="9"/>
      <c r="G1229" s="5"/>
      <c r="H1229" s="16"/>
      <c r="I1229" s="69"/>
      <c r="J1229" s="70"/>
      <c r="K1229" s="71"/>
      <c r="L1229" s="71"/>
      <c r="M1229" s="5"/>
    </row>
    <row r="1230" spans="1:13" s="3" customFormat="1">
      <c r="A1230" s="1"/>
      <c r="B1230" s="8"/>
      <c r="C1230" s="5"/>
      <c r="D1230" s="12"/>
      <c r="E1230" s="23"/>
      <c r="F1230" s="9"/>
      <c r="G1230" s="5"/>
      <c r="H1230" s="16"/>
      <c r="I1230" s="69"/>
      <c r="J1230" s="70"/>
      <c r="K1230" s="71"/>
      <c r="L1230" s="71"/>
      <c r="M1230" s="5"/>
    </row>
    <row r="1231" spans="1:13" s="3" customFormat="1">
      <c r="A1231" s="1"/>
      <c r="B1231" s="8"/>
      <c r="C1231" s="5"/>
      <c r="D1231" s="12"/>
      <c r="E1231" s="23"/>
      <c r="F1231" s="9"/>
      <c r="G1231" s="5"/>
      <c r="H1231" s="16"/>
      <c r="I1231" s="69"/>
      <c r="J1231" s="70"/>
      <c r="K1231" s="71"/>
      <c r="L1231" s="71"/>
      <c r="M1231" s="5"/>
    </row>
    <row r="1232" spans="1:13" s="3" customFormat="1">
      <c r="A1232" s="1"/>
      <c r="B1232" s="8"/>
      <c r="C1232" s="5"/>
      <c r="D1232" s="12"/>
      <c r="E1232" s="23"/>
      <c r="F1232" s="9"/>
      <c r="G1232" s="5"/>
      <c r="H1232" s="16"/>
      <c r="I1232" s="69"/>
      <c r="J1232" s="70"/>
      <c r="K1232" s="71"/>
      <c r="L1232" s="71"/>
      <c r="M1232" s="5"/>
    </row>
    <row r="1233" spans="1:13" s="3" customFormat="1">
      <c r="A1233" s="1"/>
      <c r="B1233" s="8"/>
      <c r="C1233" s="5"/>
      <c r="D1233" s="12"/>
      <c r="E1233" s="23"/>
      <c r="F1233" s="9"/>
      <c r="G1233" s="5"/>
      <c r="H1233" s="16"/>
      <c r="I1233" s="69"/>
      <c r="J1233" s="70"/>
      <c r="K1233" s="71"/>
      <c r="L1233" s="71"/>
      <c r="M1233" s="5"/>
    </row>
    <row r="1234" spans="1:13" s="3" customFormat="1">
      <c r="A1234" s="1"/>
      <c r="B1234" s="8"/>
      <c r="C1234" s="5"/>
      <c r="D1234" s="12"/>
      <c r="E1234" s="23"/>
      <c r="F1234" s="9"/>
      <c r="G1234" s="5"/>
      <c r="H1234" s="16"/>
      <c r="I1234" s="69"/>
      <c r="J1234" s="70"/>
      <c r="K1234" s="71"/>
      <c r="L1234" s="71"/>
      <c r="M1234" s="5"/>
    </row>
    <row r="1235" spans="1:13" s="3" customFormat="1">
      <c r="A1235" s="1"/>
      <c r="B1235" s="8"/>
      <c r="C1235" s="5"/>
      <c r="D1235" s="12"/>
      <c r="E1235" s="23"/>
      <c r="F1235" s="9"/>
      <c r="G1235" s="5"/>
      <c r="H1235" s="16"/>
      <c r="I1235" s="69"/>
      <c r="J1235" s="70"/>
      <c r="K1235" s="71"/>
      <c r="L1235" s="71"/>
      <c r="M1235" s="5"/>
    </row>
    <row r="1236" spans="1:13" s="3" customFormat="1">
      <c r="A1236" s="1"/>
      <c r="B1236" s="8"/>
      <c r="C1236" s="5"/>
      <c r="D1236" s="12"/>
      <c r="E1236" s="23"/>
      <c r="F1236" s="9"/>
      <c r="G1236" s="5"/>
      <c r="H1236" s="16"/>
      <c r="I1236" s="69"/>
      <c r="J1236" s="70"/>
      <c r="K1236" s="71"/>
      <c r="L1236" s="71"/>
      <c r="M1236" s="5"/>
    </row>
    <row r="1237" spans="1:13" s="3" customFormat="1">
      <c r="A1237" s="1"/>
      <c r="B1237" s="8"/>
      <c r="C1237" s="5"/>
      <c r="D1237" s="12"/>
      <c r="E1237" s="23"/>
      <c r="F1237" s="9"/>
      <c r="G1237" s="5"/>
      <c r="H1237" s="16"/>
      <c r="I1237" s="69"/>
      <c r="J1237" s="70"/>
      <c r="K1237" s="71"/>
      <c r="L1237" s="71"/>
      <c r="M1237" s="5"/>
    </row>
    <row r="1238" spans="1:13" s="3" customFormat="1">
      <c r="A1238" s="1"/>
      <c r="B1238" s="8"/>
      <c r="C1238" s="5"/>
      <c r="D1238" s="12"/>
      <c r="E1238" s="23"/>
      <c r="F1238" s="9"/>
      <c r="G1238" s="5"/>
      <c r="H1238" s="16"/>
      <c r="I1238" s="69"/>
      <c r="J1238" s="70"/>
      <c r="K1238" s="71"/>
      <c r="L1238" s="71"/>
      <c r="M1238" s="5"/>
    </row>
    <row r="1239" spans="1:13" s="3" customFormat="1">
      <c r="A1239" s="1"/>
      <c r="B1239" s="8"/>
      <c r="C1239" s="5"/>
      <c r="D1239" s="12"/>
      <c r="E1239" s="23"/>
      <c r="F1239" s="9"/>
      <c r="G1239" s="5"/>
      <c r="H1239" s="16"/>
      <c r="I1239" s="69"/>
      <c r="J1239" s="70"/>
      <c r="K1239" s="71"/>
      <c r="L1239" s="71"/>
      <c r="M1239" s="5"/>
    </row>
    <row r="1240" spans="1:13" s="3" customFormat="1">
      <c r="A1240" s="1"/>
      <c r="B1240" s="8"/>
      <c r="C1240" s="5"/>
      <c r="D1240" s="12"/>
      <c r="E1240" s="23"/>
      <c r="F1240" s="9"/>
      <c r="G1240" s="5"/>
      <c r="H1240" s="16"/>
      <c r="I1240" s="69"/>
      <c r="J1240" s="70"/>
      <c r="K1240" s="71"/>
      <c r="L1240" s="71"/>
      <c r="M1240" s="5"/>
    </row>
    <row r="1241" spans="1:13" s="3" customFormat="1">
      <c r="A1241" s="1"/>
      <c r="B1241" s="8"/>
      <c r="C1241" s="5"/>
      <c r="D1241" s="12"/>
      <c r="E1241" s="23"/>
      <c r="F1241" s="9"/>
      <c r="G1241" s="5"/>
      <c r="H1241" s="16"/>
      <c r="I1241" s="69"/>
      <c r="J1241" s="70"/>
      <c r="K1241" s="71"/>
      <c r="L1241" s="71"/>
      <c r="M1241" s="5"/>
    </row>
    <row r="1242" spans="1:13" s="3" customFormat="1">
      <c r="A1242" s="1"/>
      <c r="B1242" s="8"/>
      <c r="C1242" s="5"/>
      <c r="D1242" s="12"/>
      <c r="E1242" s="23"/>
      <c r="F1242" s="9"/>
      <c r="G1242" s="5"/>
      <c r="H1242" s="16"/>
      <c r="I1242" s="69"/>
      <c r="J1242" s="70"/>
      <c r="K1242" s="71"/>
      <c r="L1242" s="71"/>
      <c r="M1242" s="5"/>
    </row>
    <row r="1243" spans="1:13" s="3" customFormat="1">
      <c r="A1243" s="1"/>
      <c r="B1243" s="8"/>
      <c r="C1243" s="5"/>
      <c r="D1243" s="12"/>
      <c r="E1243" s="23"/>
      <c r="F1243" s="9"/>
      <c r="G1243" s="5"/>
      <c r="H1243" s="16"/>
      <c r="I1243" s="69"/>
      <c r="J1243" s="70"/>
      <c r="K1243" s="71"/>
      <c r="L1243" s="71"/>
      <c r="M1243" s="5"/>
    </row>
    <row r="1244" spans="1:13" s="3" customFormat="1">
      <c r="A1244" s="1"/>
      <c r="B1244" s="8"/>
      <c r="C1244" s="5"/>
      <c r="D1244" s="12"/>
      <c r="E1244" s="23"/>
      <c r="F1244" s="9"/>
      <c r="G1244" s="5"/>
      <c r="H1244" s="16"/>
      <c r="I1244" s="69"/>
      <c r="J1244" s="70"/>
      <c r="K1244" s="71"/>
      <c r="L1244" s="71"/>
      <c r="M1244" s="5"/>
    </row>
    <row r="1245" spans="1:13" s="3" customFormat="1">
      <c r="A1245" s="1"/>
      <c r="B1245" s="8"/>
      <c r="C1245" s="5"/>
      <c r="D1245" s="12"/>
      <c r="E1245" s="23"/>
      <c r="F1245" s="9"/>
      <c r="G1245" s="5"/>
      <c r="H1245" s="16"/>
      <c r="I1245" s="69"/>
      <c r="J1245" s="70"/>
      <c r="K1245" s="71"/>
      <c r="L1245" s="71"/>
      <c r="M1245" s="5"/>
    </row>
    <row r="1246" spans="1:13" s="3" customFormat="1">
      <c r="A1246" s="1"/>
      <c r="B1246" s="8"/>
      <c r="C1246" s="5"/>
      <c r="D1246" s="12"/>
      <c r="E1246" s="23"/>
      <c r="F1246" s="9"/>
      <c r="G1246" s="5"/>
      <c r="H1246" s="16"/>
      <c r="I1246" s="69"/>
      <c r="J1246" s="70"/>
      <c r="K1246" s="71"/>
      <c r="L1246" s="71"/>
      <c r="M1246" s="5"/>
    </row>
    <row r="1247" spans="1:13" s="3" customFormat="1">
      <c r="A1247" s="1"/>
      <c r="B1247" s="8"/>
      <c r="C1247" s="5"/>
      <c r="D1247" s="12"/>
      <c r="E1247" s="23"/>
      <c r="F1247" s="9"/>
      <c r="G1247" s="5"/>
      <c r="H1247" s="16"/>
      <c r="I1247" s="69"/>
      <c r="J1247" s="70"/>
      <c r="K1247" s="71"/>
      <c r="L1247" s="71"/>
      <c r="M1247" s="5"/>
    </row>
    <row r="1248" spans="1:13" s="3" customFormat="1">
      <c r="A1248" s="1"/>
      <c r="B1248" s="8"/>
      <c r="C1248" s="5"/>
      <c r="D1248" s="12"/>
      <c r="E1248" s="23"/>
      <c r="F1248" s="9"/>
      <c r="G1248" s="5"/>
      <c r="H1248" s="16"/>
      <c r="I1248" s="69"/>
      <c r="J1248" s="70"/>
      <c r="K1248" s="71"/>
      <c r="L1248" s="71"/>
      <c r="M1248" s="5"/>
    </row>
    <row r="1249" spans="1:13" s="3" customFormat="1">
      <c r="A1249" s="1"/>
      <c r="B1249" s="8"/>
      <c r="C1249" s="5"/>
      <c r="D1249" s="12"/>
      <c r="E1249" s="23"/>
      <c r="F1249" s="9"/>
      <c r="G1249" s="5"/>
      <c r="H1249" s="16"/>
      <c r="I1249" s="69"/>
      <c r="J1249" s="70"/>
      <c r="K1249" s="71"/>
      <c r="L1249" s="71"/>
      <c r="M1249" s="5"/>
    </row>
    <row r="1250" spans="1:13" s="3" customFormat="1">
      <c r="A1250" s="1"/>
      <c r="B1250" s="8"/>
      <c r="C1250" s="5"/>
      <c r="D1250" s="12"/>
      <c r="E1250" s="23"/>
      <c r="F1250" s="9"/>
      <c r="G1250" s="5"/>
      <c r="H1250" s="16"/>
      <c r="I1250" s="69"/>
      <c r="J1250" s="70"/>
      <c r="K1250" s="71"/>
      <c r="L1250" s="71"/>
      <c r="M1250" s="5"/>
    </row>
    <row r="1251" spans="1:13" s="3" customFormat="1">
      <c r="A1251" s="1"/>
      <c r="B1251" s="8"/>
      <c r="C1251" s="5"/>
      <c r="D1251" s="12"/>
      <c r="E1251" s="23"/>
      <c r="F1251" s="9"/>
      <c r="G1251" s="5"/>
      <c r="H1251" s="16"/>
      <c r="I1251" s="69"/>
      <c r="J1251" s="70"/>
      <c r="K1251" s="71"/>
      <c r="L1251" s="71"/>
      <c r="M1251" s="5"/>
    </row>
    <row r="1252" spans="1:13" s="3" customFormat="1">
      <c r="A1252" s="1"/>
      <c r="B1252" s="8"/>
      <c r="C1252" s="5"/>
      <c r="D1252" s="12"/>
      <c r="E1252" s="23"/>
      <c r="F1252" s="9"/>
      <c r="G1252" s="5"/>
      <c r="H1252" s="16"/>
      <c r="I1252" s="69"/>
      <c r="J1252" s="70"/>
      <c r="K1252" s="71"/>
      <c r="L1252" s="71"/>
      <c r="M1252" s="5"/>
    </row>
    <row r="1253" spans="1:13" s="3" customFormat="1">
      <c r="A1253" s="1"/>
      <c r="B1253" s="8"/>
      <c r="C1253" s="5"/>
      <c r="D1253" s="12"/>
      <c r="E1253" s="23"/>
      <c r="F1253" s="9"/>
      <c r="G1253" s="5"/>
      <c r="H1253" s="16"/>
      <c r="I1253" s="69"/>
      <c r="J1253" s="70"/>
      <c r="K1253" s="71"/>
      <c r="L1253" s="71"/>
      <c r="M1253" s="5"/>
    </row>
    <row r="1254" spans="1:13" s="3" customFormat="1">
      <c r="A1254" s="1"/>
      <c r="B1254" s="8"/>
      <c r="C1254" s="5"/>
      <c r="D1254" s="12"/>
      <c r="E1254" s="23"/>
      <c r="F1254" s="9"/>
      <c r="G1254" s="5"/>
      <c r="H1254" s="16"/>
      <c r="I1254" s="69"/>
      <c r="J1254" s="70"/>
      <c r="K1254" s="71"/>
      <c r="L1254" s="71"/>
      <c r="M1254" s="5"/>
    </row>
    <row r="1255" spans="1:13" s="3" customFormat="1">
      <c r="A1255" s="1"/>
      <c r="B1255" s="8"/>
      <c r="C1255" s="5"/>
      <c r="D1255" s="12"/>
      <c r="E1255" s="23"/>
      <c r="F1255" s="9"/>
      <c r="G1255" s="5"/>
      <c r="H1255" s="16"/>
      <c r="I1255" s="69"/>
      <c r="J1255" s="70"/>
      <c r="K1255" s="71"/>
      <c r="L1255" s="71"/>
      <c r="M1255" s="5"/>
    </row>
    <row r="1256" spans="1:13" s="3" customFormat="1">
      <c r="A1256" s="1"/>
      <c r="B1256" s="8"/>
      <c r="C1256" s="5"/>
      <c r="D1256" s="12"/>
      <c r="E1256" s="23"/>
      <c r="F1256" s="9"/>
      <c r="G1256" s="5"/>
      <c r="H1256" s="16"/>
      <c r="I1256" s="69"/>
      <c r="J1256" s="70"/>
      <c r="K1256" s="71"/>
      <c r="L1256" s="71"/>
      <c r="M1256" s="5"/>
    </row>
    <row r="1257" spans="1:13" s="3" customFormat="1">
      <c r="A1257" s="1"/>
      <c r="B1257" s="8"/>
      <c r="C1257" s="5"/>
      <c r="D1257" s="12"/>
      <c r="E1257" s="23"/>
      <c r="F1257" s="9"/>
      <c r="G1257" s="5"/>
      <c r="H1257" s="16"/>
      <c r="I1257" s="69"/>
      <c r="J1257" s="70"/>
      <c r="K1257" s="71"/>
      <c r="L1257" s="71"/>
      <c r="M1257" s="5"/>
    </row>
    <row r="1258" spans="1:13" s="3" customFormat="1">
      <c r="A1258" s="1"/>
      <c r="B1258" s="8"/>
      <c r="C1258" s="5"/>
      <c r="D1258" s="12"/>
      <c r="E1258" s="23"/>
      <c r="F1258" s="9"/>
      <c r="G1258" s="5"/>
      <c r="H1258" s="16"/>
      <c r="I1258" s="69"/>
      <c r="J1258" s="70"/>
      <c r="K1258" s="71"/>
      <c r="L1258" s="71"/>
      <c r="M1258" s="5"/>
    </row>
    <row r="1259" spans="1:13" s="3" customFormat="1">
      <c r="A1259" s="1"/>
      <c r="B1259" s="8"/>
      <c r="C1259" s="5"/>
      <c r="D1259" s="12"/>
      <c r="E1259" s="23"/>
      <c r="F1259" s="9"/>
      <c r="G1259" s="5"/>
      <c r="H1259" s="16"/>
      <c r="I1259" s="69"/>
      <c r="J1259" s="70"/>
      <c r="K1259" s="71"/>
      <c r="L1259" s="71"/>
      <c r="M1259" s="5"/>
    </row>
    <row r="1260" spans="1:13" s="3" customFormat="1">
      <c r="A1260" s="1"/>
      <c r="B1260" s="8"/>
      <c r="C1260" s="5"/>
      <c r="D1260" s="12"/>
      <c r="E1260" s="23"/>
      <c r="F1260" s="9"/>
      <c r="G1260" s="5"/>
      <c r="H1260" s="16"/>
      <c r="I1260" s="69"/>
      <c r="J1260" s="70"/>
      <c r="K1260" s="71"/>
      <c r="L1260" s="71"/>
      <c r="M1260" s="5"/>
    </row>
    <row r="1261" spans="1:13" s="3" customFormat="1">
      <c r="A1261" s="1"/>
      <c r="B1261" s="8"/>
      <c r="C1261" s="5"/>
      <c r="D1261" s="12"/>
      <c r="E1261" s="23"/>
      <c r="F1261" s="9"/>
      <c r="G1261" s="5"/>
      <c r="H1261" s="16"/>
      <c r="I1261" s="69"/>
      <c r="J1261" s="70"/>
      <c r="K1261" s="71"/>
      <c r="L1261" s="71"/>
      <c r="M1261" s="5"/>
    </row>
    <row r="1262" spans="1:13" s="3" customFormat="1">
      <c r="A1262" s="1"/>
      <c r="B1262" s="8"/>
      <c r="C1262" s="5"/>
      <c r="D1262" s="12"/>
      <c r="E1262" s="23"/>
      <c r="F1262" s="9"/>
      <c r="G1262" s="5"/>
      <c r="H1262" s="16"/>
      <c r="I1262" s="69"/>
      <c r="J1262" s="70"/>
      <c r="K1262" s="71"/>
      <c r="L1262" s="71"/>
      <c r="M1262" s="5"/>
    </row>
    <row r="1263" spans="1:13" s="3" customFormat="1">
      <c r="A1263" s="1"/>
      <c r="B1263" s="8"/>
      <c r="C1263" s="5"/>
      <c r="D1263" s="12"/>
      <c r="E1263" s="23"/>
      <c r="F1263" s="9"/>
      <c r="G1263" s="5"/>
      <c r="H1263" s="16"/>
      <c r="I1263" s="69"/>
      <c r="J1263" s="70"/>
      <c r="K1263" s="71"/>
      <c r="L1263" s="71"/>
      <c r="M1263" s="5"/>
    </row>
    <row r="1264" spans="1:13" s="3" customFormat="1">
      <c r="A1264" s="1"/>
      <c r="B1264" s="8"/>
      <c r="C1264" s="5"/>
      <c r="D1264" s="12"/>
      <c r="E1264" s="23"/>
      <c r="F1264" s="9"/>
      <c r="G1264" s="5"/>
      <c r="H1264" s="16"/>
      <c r="I1264" s="69"/>
      <c r="J1264" s="70"/>
      <c r="K1264" s="71"/>
      <c r="L1264" s="71"/>
      <c r="M1264" s="5"/>
    </row>
    <row r="1265" spans="1:13" s="3" customFormat="1">
      <c r="A1265" s="1"/>
      <c r="B1265" s="8"/>
      <c r="C1265" s="5"/>
      <c r="D1265" s="12"/>
      <c r="E1265" s="23"/>
      <c r="F1265" s="9"/>
      <c r="G1265" s="5"/>
      <c r="H1265" s="16"/>
      <c r="I1265" s="69"/>
      <c r="J1265" s="70"/>
      <c r="K1265" s="71"/>
      <c r="L1265" s="71"/>
      <c r="M1265" s="5"/>
    </row>
    <row r="1266" spans="1:13" s="3" customFormat="1">
      <c r="A1266" s="1"/>
      <c r="B1266" s="8"/>
      <c r="C1266" s="5"/>
      <c r="D1266" s="12"/>
      <c r="E1266" s="23"/>
      <c r="F1266" s="9"/>
      <c r="G1266" s="5"/>
      <c r="H1266" s="16"/>
      <c r="I1266" s="69"/>
      <c r="J1266" s="70"/>
      <c r="K1266" s="71"/>
      <c r="L1266" s="71"/>
      <c r="M1266" s="5"/>
    </row>
    <row r="1267" spans="1:13" s="3" customFormat="1">
      <c r="A1267" s="1"/>
      <c r="B1267" s="8"/>
      <c r="C1267" s="5"/>
      <c r="D1267" s="12"/>
      <c r="E1267" s="23"/>
      <c r="F1267" s="9"/>
      <c r="G1267" s="5"/>
      <c r="H1267" s="16"/>
      <c r="I1267" s="69"/>
      <c r="J1267" s="70"/>
      <c r="K1267" s="71"/>
      <c r="L1267" s="71"/>
      <c r="M1267" s="5"/>
    </row>
    <row r="1268" spans="1:13" s="3" customFormat="1">
      <c r="A1268" s="1"/>
      <c r="B1268" s="8"/>
      <c r="C1268" s="5"/>
      <c r="D1268" s="12"/>
      <c r="E1268" s="23"/>
      <c r="F1268" s="9"/>
      <c r="G1268" s="5"/>
      <c r="H1268" s="16"/>
      <c r="I1268" s="69"/>
      <c r="J1268" s="70"/>
      <c r="K1268" s="71"/>
      <c r="L1268" s="71"/>
      <c r="M1268" s="5"/>
    </row>
    <row r="1269" spans="1:13" s="3" customFormat="1">
      <c r="A1269" s="1"/>
      <c r="B1269" s="8"/>
      <c r="C1269" s="5"/>
      <c r="D1269" s="12"/>
      <c r="E1269" s="23"/>
      <c r="F1269" s="9"/>
      <c r="G1269" s="5"/>
      <c r="H1269" s="16"/>
      <c r="I1269" s="69"/>
      <c r="J1269" s="70"/>
      <c r="K1269" s="71"/>
      <c r="L1269" s="71"/>
      <c r="M1269" s="5"/>
    </row>
    <row r="1270" spans="1:13" s="3" customFormat="1">
      <c r="A1270" s="1"/>
      <c r="B1270" s="8"/>
      <c r="C1270" s="5"/>
      <c r="D1270" s="12"/>
      <c r="E1270" s="23"/>
      <c r="F1270" s="9"/>
      <c r="G1270" s="5"/>
      <c r="H1270" s="16"/>
      <c r="I1270" s="69"/>
      <c r="J1270" s="70"/>
      <c r="K1270" s="71"/>
      <c r="L1270" s="71"/>
      <c r="M1270" s="5"/>
    </row>
    <row r="1271" spans="1:13" s="3" customFormat="1">
      <c r="A1271" s="1"/>
      <c r="B1271" s="8"/>
      <c r="C1271" s="5"/>
      <c r="D1271" s="12"/>
      <c r="E1271" s="23"/>
      <c r="F1271" s="9"/>
      <c r="G1271" s="5"/>
      <c r="H1271" s="16"/>
      <c r="I1271" s="69"/>
      <c r="J1271" s="70"/>
      <c r="K1271" s="71"/>
      <c r="L1271" s="71"/>
      <c r="M1271" s="5"/>
    </row>
    <row r="1272" spans="1:13" s="3" customFormat="1">
      <c r="A1272" s="1"/>
      <c r="B1272" s="8"/>
      <c r="C1272" s="5"/>
      <c r="D1272" s="12"/>
      <c r="E1272" s="23"/>
      <c r="F1272" s="9"/>
      <c r="G1272" s="5"/>
      <c r="H1272" s="16"/>
      <c r="I1272" s="69"/>
      <c r="J1272" s="70"/>
      <c r="K1272" s="71"/>
      <c r="L1272" s="71"/>
      <c r="M1272" s="5"/>
    </row>
    <row r="1273" spans="1:13" s="3" customFormat="1">
      <c r="A1273" s="1"/>
      <c r="B1273" s="8"/>
      <c r="C1273" s="5"/>
      <c r="D1273" s="12"/>
      <c r="E1273" s="23"/>
      <c r="F1273" s="9"/>
      <c r="G1273" s="5"/>
      <c r="H1273" s="16"/>
      <c r="I1273" s="69"/>
      <c r="J1273" s="70"/>
      <c r="K1273" s="71"/>
      <c r="L1273" s="71"/>
      <c r="M1273" s="5"/>
    </row>
    <row r="1274" spans="1:13" s="3" customFormat="1">
      <c r="A1274" s="1"/>
      <c r="B1274" s="8"/>
      <c r="C1274" s="5"/>
      <c r="D1274" s="12"/>
      <c r="E1274" s="23"/>
      <c r="F1274" s="9"/>
      <c r="G1274" s="5"/>
      <c r="H1274" s="16"/>
      <c r="I1274" s="69"/>
      <c r="J1274" s="70"/>
      <c r="K1274" s="71"/>
      <c r="L1274" s="71"/>
      <c r="M1274" s="5"/>
    </row>
    <row r="1275" spans="1:13" s="3" customFormat="1">
      <c r="A1275" s="1"/>
      <c r="B1275" s="8"/>
      <c r="C1275" s="5"/>
      <c r="D1275" s="12"/>
      <c r="E1275" s="23"/>
      <c r="F1275" s="9"/>
      <c r="G1275" s="5"/>
      <c r="H1275" s="16"/>
      <c r="I1275" s="69"/>
      <c r="J1275" s="70"/>
      <c r="K1275" s="71"/>
      <c r="L1275" s="71"/>
      <c r="M1275" s="5"/>
    </row>
    <row r="1276" spans="1:13" s="3" customFormat="1">
      <c r="A1276" s="1"/>
      <c r="B1276" s="8"/>
      <c r="C1276" s="5"/>
      <c r="D1276" s="12"/>
      <c r="E1276" s="23"/>
      <c r="F1276" s="9"/>
      <c r="G1276" s="5"/>
      <c r="H1276" s="16"/>
      <c r="I1276" s="69"/>
      <c r="J1276" s="70"/>
      <c r="K1276" s="71"/>
      <c r="L1276" s="71"/>
      <c r="M1276" s="5"/>
    </row>
    <row r="1277" spans="1:13" s="3" customFormat="1">
      <c r="A1277" s="1"/>
      <c r="B1277" s="8"/>
      <c r="C1277" s="5"/>
      <c r="D1277" s="12"/>
      <c r="E1277" s="23"/>
      <c r="F1277" s="9"/>
      <c r="G1277" s="5"/>
      <c r="H1277" s="16"/>
      <c r="I1277" s="69"/>
      <c r="J1277" s="70"/>
      <c r="K1277" s="71"/>
      <c r="L1277" s="71"/>
      <c r="M1277" s="5"/>
    </row>
    <row r="1278" spans="1:13" s="3" customFormat="1">
      <c r="A1278" s="1"/>
      <c r="B1278" s="8"/>
      <c r="C1278" s="5"/>
      <c r="D1278" s="12"/>
      <c r="E1278" s="23"/>
      <c r="F1278" s="9"/>
      <c r="G1278" s="5"/>
      <c r="H1278" s="16"/>
      <c r="I1278" s="69"/>
      <c r="J1278" s="70"/>
      <c r="K1278" s="71"/>
      <c r="L1278" s="71"/>
      <c r="M1278" s="5"/>
    </row>
    <row r="1279" spans="1:13" s="3" customFormat="1">
      <c r="A1279" s="1"/>
      <c r="B1279" s="8"/>
      <c r="C1279" s="5"/>
      <c r="D1279" s="12"/>
      <c r="E1279" s="23"/>
      <c r="F1279" s="9"/>
      <c r="G1279" s="5"/>
      <c r="H1279" s="16"/>
      <c r="I1279" s="69"/>
      <c r="J1279" s="70"/>
      <c r="K1279" s="71"/>
      <c r="L1279" s="71"/>
      <c r="M1279" s="5"/>
    </row>
    <row r="1280" spans="1:13" s="3" customFormat="1">
      <c r="A1280" s="1"/>
      <c r="B1280" s="8"/>
      <c r="C1280" s="5"/>
      <c r="D1280" s="12"/>
      <c r="E1280" s="23"/>
      <c r="F1280" s="9"/>
      <c r="G1280" s="5"/>
      <c r="H1280" s="16"/>
      <c r="I1280" s="69"/>
      <c r="J1280" s="70"/>
      <c r="K1280" s="71"/>
      <c r="L1280" s="71"/>
      <c r="M1280" s="5"/>
    </row>
    <row r="1281" spans="1:13" s="3" customFormat="1">
      <c r="A1281" s="1"/>
      <c r="B1281" s="8"/>
      <c r="C1281" s="5"/>
      <c r="D1281" s="12"/>
      <c r="E1281" s="23"/>
      <c r="F1281" s="9"/>
      <c r="G1281" s="5"/>
      <c r="H1281" s="16"/>
      <c r="I1281" s="69"/>
      <c r="J1281" s="70"/>
      <c r="K1281" s="71"/>
      <c r="L1281" s="71"/>
      <c r="M1281" s="5"/>
    </row>
    <row r="1282" spans="1:13" s="3" customFormat="1">
      <c r="A1282" s="1"/>
      <c r="B1282" s="8"/>
      <c r="C1282" s="5"/>
      <c r="D1282" s="12"/>
      <c r="E1282" s="23"/>
      <c r="F1282" s="9"/>
      <c r="G1282" s="5"/>
      <c r="H1282" s="16"/>
      <c r="I1282" s="69"/>
      <c r="J1282" s="70"/>
      <c r="K1282" s="71"/>
      <c r="L1282" s="71"/>
      <c r="M1282" s="5"/>
    </row>
    <row r="1283" spans="1:13" s="3" customFormat="1">
      <c r="A1283" s="1"/>
      <c r="B1283" s="8"/>
      <c r="C1283" s="5"/>
      <c r="D1283" s="12"/>
      <c r="E1283" s="23"/>
      <c r="F1283" s="9"/>
      <c r="G1283" s="5"/>
      <c r="H1283" s="16"/>
      <c r="I1283" s="69"/>
      <c r="J1283" s="70"/>
      <c r="K1283" s="71"/>
      <c r="L1283" s="71"/>
      <c r="M1283" s="5"/>
    </row>
    <row r="1284" spans="1:13" s="3" customFormat="1">
      <c r="A1284" s="1"/>
      <c r="B1284" s="8"/>
      <c r="C1284" s="5"/>
      <c r="D1284" s="12"/>
      <c r="E1284" s="23"/>
      <c r="F1284" s="9"/>
      <c r="G1284" s="5"/>
      <c r="H1284" s="16"/>
      <c r="I1284" s="69"/>
      <c r="J1284" s="70"/>
      <c r="K1284" s="71"/>
      <c r="L1284" s="71"/>
      <c r="M1284" s="5"/>
    </row>
    <row r="1285" spans="1:13" s="3" customFormat="1">
      <c r="A1285" s="1"/>
      <c r="B1285" s="8"/>
      <c r="C1285" s="5"/>
      <c r="D1285" s="12"/>
      <c r="E1285" s="23"/>
      <c r="F1285" s="9"/>
      <c r="G1285" s="5"/>
      <c r="H1285" s="16"/>
      <c r="I1285" s="69"/>
      <c r="J1285" s="70"/>
      <c r="K1285" s="71"/>
      <c r="L1285" s="71"/>
      <c r="M1285" s="5"/>
    </row>
    <row r="1286" spans="1:13" s="3" customFormat="1">
      <c r="A1286" s="1"/>
      <c r="B1286" s="8"/>
      <c r="C1286" s="5"/>
      <c r="D1286" s="12"/>
      <c r="E1286" s="23"/>
      <c r="F1286" s="9"/>
      <c r="G1286" s="5"/>
      <c r="H1286" s="16"/>
      <c r="I1286" s="69"/>
      <c r="J1286" s="70"/>
      <c r="K1286" s="71"/>
      <c r="L1286" s="71"/>
      <c r="M1286" s="5"/>
    </row>
    <row r="1287" spans="1:13" s="3" customFormat="1">
      <c r="A1287" s="1"/>
      <c r="B1287" s="8"/>
      <c r="C1287" s="5"/>
      <c r="D1287" s="12"/>
      <c r="E1287" s="23"/>
      <c r="F1287" s="9"/>
      <c r="G1287" s="5"/>
      <c r="H1287" s="16"/>
      <c r="I1287" s="69"/>
      <c r="J1287" s="70"/>
      <c r="K1287" s="71"/>
      <c r="L1287" s="71"/>
      <c r="M1287" s="5"/>
    </row>
    <row r="1288" spans="1:13" s="3" customFormat="1">
      <c r="A1288" s="1"/>
      <c r="B1288" s="8"/>
      <c r="C1288" s="5"/>
      <c r="D1288" s="12"/>
      <c r="E1288" s="23"/>
      <c r="F1288" s="9"/>
      <c r="G1288" s="5"/>
      <c r="H1288" s="16"/>
      <c r="I1288" s="69"/>
      <c r="J1288" s="70"/>
      <c r="K1288" s="71"/>
      <c r="L1288" s="71"/>
      <c r="M1288" s="5"/>
    </row>
    <row r="1289" spans="1:13" s="3" customFormat="1">
      <c r="A1289" s="1"/>
      <c r="B1289" s="8"/>
      <c r="C1289" s="5"/>
      <c r="D1289" s="12"/>
      <c r="E1289" s="23"/>
      <c r="F1289" s="9"/>
      <c r="G1289" s="5"/>
      <c r="H1289" s="16"/>
      <c r="I1289" s="69"/>
      <c r="J1289" s="70"/>
      <c r="K1289" s="71"/>
      <c r="L1289" s="71"/>
      <c r="M1289" s="5"/>
    </row>
    <row r="1290" spans="1:13" s="3" customFormat="1">
      <c r="A1290" s="1"/>
      <c r="B1290" s="8"/>
      <c r="C1290" s="5"/>
      <c r="D1290" s="12"/>
      <c r="E1290" s="23"/>
      <c r="F1290" s="9"/>
      <c r="G1290" s="5"/>
      <c r="H1290" s="16"/>
      <c r="I1290" s="69"/>
      <c r="J1290" s="70"/>
      <c r="K1290" s="71"/>
      <c r="L1290" s="71"/>
      <c r="M1290" s="5"/>
    </row>
    <row r="1291" spans="1:13" s="3" customFormat="1">
      <c r="A1291" s="1"/>
      <c r="B1291" s="8"/>
      <c r="C1291" s="5"/>
      <c r="D1291" s="12"/>
      <c r="E1291" s="23"/>
      <c r="F1291" s="9"/>
      <c r="G1291" s="5"/>
      <c r="H1291" s="16"/>
      <c r="I1291" s="69"/>
      <c r="J1291" s="70"/>
      <c r="K1291" s="71"/>
      <c r="L1291" s="71"/>
      <c r="M1291" s="5"/>
    </row>
    <row r="1292" spans="1:13" s="3" customFormat="1">
      <c r="A1292" s="1"/>
      <c r="B1292" s="8"/>
      <c r="C1292" s="5"/>
      <c r="D1292" s="12"/>
      <c r="E1292" s="23"/>
      <c r="F1292" s="9"/>
      <c r="G1292" s="5"/>
      <c r="H1292" s="16"/>
      <c r="I1292" s="69"/>
      <c r="J1292" s="70"/>
      <c r="K1292" s="71"/>
      <c r="L1292" s="71"/>
      <c r="M1292" s="5"/>
    </row>
    <row r="1293" spans="1:13" s="3" customFormat="1">
      <c r="A1293" s="1"/>
      <c r="B1293" s="8"/>
      <c r="C1293" s="5"/>
      <c r="D1293" s="12"/>
      <c r="E1293" s="23"/>
      <c r="F1293" s="9"/>
      <c r="G1293" s="5"/>
      <c r="H1293" s="16"/>
      <c r="I1293" s="69"/>
      <c r="J1293" s="70"/>
      <c r="K1293" s="71"/>
      <c r="L1293" s="71"/>
      <c r="M1293" s="5"/>
    </row>
    <row r="1294" spans="1:13" s="3" customFormat="1">
      <c r="A1294" s="1"/>
      <c r="B1294" s="8"/>
      <c r="C1294" s="5"/>
      <c r="D1294" s="12"/>
      <c r="E1294" s="23"/>
      <c r="F1294" s="9"/>
      <c r="G1294" s="5"/>
      <c r="H1294" s="16"/>
      <c r="I1294" s="69"/>
      <c r="J1294" s="70"/>
      <c r="K1294" s="71"/>
      <c r="L1294" s="71"/>
      <c r="M1294" s="5"/>
    </row>
    <row r="1295" spans="1:13" s="3" customFormat="1">
      <c r="A1295" s="1"/>
      <c r="B1295" s="8"/>
      <c r="C1295" s="5"/>
      <c r="D1295" s="12"/>
      <c r="E1295" s="23"/>
      <c r="F1295" s="9"/>
      <c r="G1295" s="5"/>
      <c r="H1295" s="16"/>
      <c r="I1295" s="69"/>
      <c r="J1295" s="70"/>
      <c r="K1295" s="71"/>
      <c r="L1295" s="71"/>
      <c r="M1295" s="5"/>
    </row>
    <row r="1296" spans="1:13" s="3" customFormat="1">
      <c r="A1296" s="1"/>
      <c r="B1296" s="8"/>
      <c r="C1296" s="5"/>
      <c r="D1296" s="12"/>
      <c r="E1296" s="23"/>
      <c r="F1296" s="9"/>
      <c r="G1296" s="5"/>
      <c r="H1296" s="16"/>
      <c r="I1296" s="69"/>
      <c r="J1296" s="70"/>
      <c r="K1296" s="71"/>
      <c r="L1296" s="71"/>
      <c r="M1296" s="5"/>
    </row>
    <row r="1297" spans="1:13" s="3" customFormat="1">
      <c r="A1297" s="1"/>
      <c r="B1297" s="8"/>
      <c r="C1297" s="5"/>
      <c r="D1297" s="12"/>
      <c r="E1297" s="23"/>
      <c r="F1297" s="9"/>
      <c r="G1297" s="5"/>
      <c r="H1297" s="16"/>
      <c r="I1297" s="69"/>
      <c r="J1297" s="70"/>
      <c r="K1297" s="71"/>
      <c r="L1297" s="71"/>
      <c r="M1297" s="5"/>
    </row>
    <row r="1298" spans="1:13" s="3" customFormat="1">
      <c r="A1298" s="1"/>
      <c r="B1298" s="8"/>
      <c r="C1298" s="5"/>
      <c r="D1298" s="12"/>
      <c r="E1298" s="23"/>
      <c r="F1298" s="9"/>
      <c r="G1298" s="5"/>
      <c r="H1298" s="16"/>
      <c r="I1298" s="69"/>
      <c r="J1298" s="70"/>
      <c r="K1298" s="71"/>
      <c r="L1298" s="71"/>
      <c r="M1298" s="5"/>
    </row>
    <row r="1299" spans="1:13" s="3" customFormat="1">
      <c r="A1299" s="1"/>
      <c r="B1299" s="8"/>
      <c r="C1299" s="5"/>
      <c r="D1299" s="12"/>
      <c r="E1299" s="23"/>
      <c r="F1299" s="9"/>
      <c r="G1299" s="5"/>
      <c r="H1299" s="16"/>
      <c r="I1299" s="69"/>
      <c r="J1299" s="70"/>
      <c r="K1299" s="71"/>
      <c r="L1299" s="71"/>
      <c r="M1299" s="5"/>
    </row>
    <row r="1300" spans="1:13" s="3" customFormat="1">
      <c r="A1300" s="1"/>
      <c r="B1300" s="8"/>
      <c r="C1300" s="5"/>
      <c r="D1300" s="12"/>
      <c r="E1300" s="23"/>
      <c r="F1300" s="9"/>
      <c r="G1300" s="5"/>
      <c r="H1300" s="16"/>
      <c r="I1300" s="69"/>
      <c r="J1300" s="70"/>
      <c r="K1300" s="71"/>
      <c r="L1300" s="71"/>
      <c r="M1300" s="5"/>
    </row>
    <row r="1301" spans="1:13" s="3" customFormat="1">
      <c r="A1301" s="1"/>
      <c r="B1301" s="8"/>
      <c r="C1301" s="5"/>
      <c r="D1301" s="12"/>
      <c r="E1301" s="23"/>
      <c r="F1301" s="9"/>
      <c r="G1301" s="5"/>
      <c r="H1301" s="16"/>
      <c r="I1301" s="69"/>
      <c r="J1301" s="70"/>
      <c r="K1301" s="71"/>
      <c r="L1301" s="71"/>
      <c r="M1301" s="5"/>
    </row>
    <row r="1302" spans="1:13" s="3" customFormat="1">
      <c r="A1302" s="1"/>
      <c r="B1302" s="8"/>
      <c r="C1302" s="5"/>
      <c r="D1302" s="12"/>
      <c r="E1302" s="23"/>
      <c r="F1302" s="9"/>
      <c r="G1302" s="5"/>
      <c r="H1302" s="16"/>
      <c r="I1302" s="69"/>
      <c r="J1302" s="70"/>
      <c r="K1302" s="71"/>
      <c r="L1302" s="71"/>
      <c r="M1302" s="5"/>
    </row>
    <row r="1303" spans="1:13" s="3" customFormat="1">
      <c r="A1303" s="1"/>
      <c r="B1303" s="8"/>
      <c r="C1303" s="5"/>
      <c r="D1303" s="12"/>
      <c r="E1303" s="23"/>
      <c r="F1303" s="9"/>
      <c r="G1303" s="5"/>
      <c r="H1303" s="16"/>
      <c r="I1303" s="69"/>
      <c r="J1303" s="70"/>
      <c r="K1303" s="71"/>
      <c r="L1303" s="71"/>
      <c r="M1303" s="5"/>
    </row>
    <row r="1304" spans="1:13" s="3" customFormat="1">
      <c r="A1304" s="1"/>
      <c r="B1304" s="8"/>
      <c r="C1304" s="5"/>
      <c r="D1304" s="12"/>
      <c r="E1304" s="23"/>
      <c r="F1304" s="9"/>
      <c r="G1304" s="5"/>
      <c r="H1304" s="16"/>
      <c r="I1304" s="69"/>
      <c r="J1304" s="70"/>
      <c r="K1304" s="71"/>
      <c r="L1304" s="71"/>
      <c r="M1304" s="5"/>
    </row>
    <row r="1305" spans="1:13" s="3" customFormat="1">
      <c r="A1305" s="1"/>
      <c r="B1305" s="8"/>
      <c r="C1305" s="5"/>
      <c r="D1305" s="12"/>
      <c r="E1305" s="23"/>
      <c r="F1305" s="9"/>
      <c r="G1305" s="5"/>
      <c r="H1305" s="16"/>
      <c r="I1305" s="69"/>
      <c r="J1305" s="70"/>
      <c r="K1305" s="71"/>
      <c r="L1305" s="71"/>
      <c r="M1305" s="5"/>
    </row>
    <row r="1306" spans="1:13" s="3" customFormat="1">
      <c r="A1306" s="1"/>
      <c r="B1306" s="8"/>
      <c r="C1306" s="5"/>
      <c r="D1306" s="12"/>
      <c r="E1306" s="23"/>
      <c r="F1306" s="9"/>
      <c r="G1306" s="5"/>
      <c r="H1306" s="16"/>
      <c r="I1306" s="69"/>
      <c r="J1306" s="70"/>
      <c r="K1306" s="71"/>
      <c r="L1306" s="71"/>
      <c r="M1306" s="5"/>
    </row>
    <row r="1307" spans="1:13" s="3" customFormat="1">
      <c r="A1307" s="1"/>
      <c r="B1307" s="8"/>
      <c r="C1307" s="5"/>
      <c r="D1307" s="12"/>
      <c r="E1307" s="23"/>
      <c r="F1307" s="9"/>
      <c r="G1307" s="5"/>
      <c r="H1307" s="16"/>
      <c r="I1307" s="69"/>
      <c r="J1307" s="70"/>
      <c r="K1307" s="71"/>
      <c r="L1307" s="71"/>
      <c r="M1307" s="5"/>
    </row>
    <row r="1308" spans="1:13" s="3" customFormat="1">
      <c r="A1308" s="1"/>
      <c r="B1308" s="8"/>
      <c r="C1308" s="5"/>
      <c r="D1308" s="12"/>
      <c r="E1308" s="23"/>
      <c r="F1308" s="9"/>
      <c r="G1308" s="5"/>
      <c r="H1308" s="16"/>
      <c r="I1308" s="69"/>
      <c r="J1308" s="70"/>
      <c r="K1308" s="71"/>
      <c r="L1308" s="71"/>
      <c r="M1308" s="5"/>
    </row>
    <row r="1309" spans="1:13" s="3" customFormat="1">
      <c r="A1309" s="1"/>
      <c r="B1309" s="8"/>
      <c r="C1309" s="5"/>
      <c r="D1309" s="12"/>
      <c r="E1309" s="23"/>
      <c r="F1309" s="9"/>
      <c r="G1309" s="5"/>
      <c r="H1309" s="16"/>
      <c r="I1309" s="69"/>
      <c r="J1309" s="70"/>
      <c r="K1309" s="71"/>
      <c r="L1309" s="71"/>
      <c r="M1309" s="5"/>
    </row>
    <row r="1310" spans="1:13" s="3" customFormat="1">
      <c r="A1310" s="1"/>
      <c r="B1310" s="8"/>
      <c r="C1310" s="5"/>
      <c r="D1310" s="12"/>
      <c r="E1310" s="23"/>
      <c r="F1310" s="9"/>
      <c r="G1310" s="5"/>
      <c r="H1310" s="16"/>
      <c r="I1310" s="69"/>
      <c r="J1310" s="70"/>
      <c r="K1310" s="71"/>
      <c r="L1310" s="71"/>
      <c r="M1310" s="5"/>
    </row>
    <row r="1311" spans="1:13" s="3" customFormat="1">
      <c r="A1311" s="1"/>
      <c r="B1311" s="8"/>
      <c r="C1311" s="5"/>
      <c r="D1311" s="12"/>
      <c r="E1311" s="23"/>
      <c r="F1311" s="9"/>
      <c r="G1311" s="5"/>
      <c r="H1311" s="16"/>
      <c r="I1311" s="69"/>
      <c r="J1311" s="70"/>
      <c r="K1311" s="71"/>
      <c r="L1311" s="71"/>
      <c r="M1311" s="5"/>
    </row>
    <row r="1312" spans="1:13" s="3" customFormat="1">
      <c r="A1312" s="1"/>
      <c r="B1312" s="8"/>
      <c r="C1312" s="5"/>
      <c r="D1312" s="12"/>
      <c r="E1312" s="23"/>
      <c r="F1312" s="9"/>
      <c r="G1312" s="5"/>
      <c r="H1312" s="16"/>
      <c r="I1312" s="69"/>
      <c r="J1312" s="70"/>
      <c r="K1312" s="71"/>
      <c r="L1312" s="71"/>
      <c r="M1312" s="5"/>
    </row>
    <row r="1313" spans="1:13" s="3" customFormat="1">
      <c r="A1313" s="1"/>
      <c r="B1313" s="8"/>
      <c r="C1313" s="5"/>
      <c r="D1313" s="12"/>
      <c r="E1313" s="23"/>
      <c r="F1313" s="9"/>
      <c r="G1313" s="5"/>
      <c r="H1313" s="16"/>
      <c r="I1313" s="69"/>
      <c r="J1313" s="70"/>
      <c r="K1313" s="71"/>
      <c r="L1313" s="71"/>
      <c r="M1313" s="5"/>
    </row>
    <row r="1314" spans="1:13" s="3" customFormat="1">
      <c r="A1314" s="1"/>
      <c r="B1314" s="8"/>
      <c r="C1314" s="5"/>
      <c r="D1314" s="12"/>
      <c r="E1314" s="23"/>
      <c r="F1314" s="9"/>
      <c r="G1314" s="5"/>
      <c r="H1314" s="16"/>
      <c r="I1314" s="69"/>
      <c r="J1314" s="70"/>
      <c r="K1314" s="71"/>
      <c r="L1314" s="71"/>
      <c r="M1314" s="5"/>
    </row>
    <row r="1315" spans="1:13" s="3" customFormat="1">
      <c r="A1315" s="1"/>
      <c r="B1315" s="8"/>
      <c r="C1315" s="5"/>
      <c r="D1315" s="12"/>
      <c r="E1315" s="23"/>
      <c r="F1315" s="9"/>
      <c r="G1315" s="5"/>
      <c r="H1315" s="16"/>
      <c r="I1315" s="69"/>
      <c r="J1315" s="70"/>
      <c r="K1315" s="71"/>
      <c r="L1315" s="71"/>
      <c r="M1315" s="5"/>
    </row>
    <row r="1316" spans="1:13" s="3" customFormat="1">
      <c r="A1316" s="1"/>
      <c r="B1316" s="8"/>
      <c r="C1316" s="5"/>
      <c r="D1316" s="12"/>
      <c r="E1316" s="23"/>
      <c r="F1316" s="9"/>
      <c r="G1316" s="5"/>
      <c r="H1316" s="16"/>
      <c r="I1316" s="69"/>
      <c r="J1316" s="70"/>
      <c r="K1316" s="71"/>
      <c r="L1316" s="71"/>
      <c r="M1316" s="5"/>
    </row>
    <row r="1317" spans="1:13" s="3" customFormat="1">
      <c r="A1317" s="1"/>
      <c r="B1317" s="8"/>
      <c r="C1317" s="5"/>
      <c r="D1317" s="12"/>
      <c r="E1317" s="23"/>
      <c r="F1317" s="9"/>
      <c r="G1317" s="5"/>
      <c r="H1317" s="16"/>
      <c r="I1317" s="69"/>
      <c r="J1317" s="70"/>
      <c r="K1317" s="71"/>
      <c r="L1317" s="71"/>
      <c r="M1317" s="5"/>
    </row>
    <row r="1318" spans="1:13" s="3" customFormat="1">
      <c r="A1318" s="1"/>
      <c r="B1318" s="8"/>
      <c r="C1318" s="5"/>
      <c r="D1318" s="12"/>
      <c r="E1318" s="23"/>
      <c r="F1318" s="9"/>
      <c r="G1318" s="5"/>
      <c r="H1318" s="16"/>
      <c r="I1318" s="69"/>
      <c r="J1318" s="70"/>
      <c r="K1318" s="71"/>
      <c r="L1318" s="71"/>
      <c r="M1318" s="5"/>
    </row>
    <row r="1319" spans="1:13" s="3" customFormat="1">
      <c r="A1319" s="1"/>
      <c r="B1319" s="8"/>
      <c r="C1319" s="5"/>
      <c r="D1319" s="12"/>
      <c r="E1319" s="23"/>
      <c r="F1319" s="9"/>
      <c r="G1319" s="5"/>
      <c r="H1319" s="16"/>
      <c r="I1319" s="69"/>
      <c r="J1319" s="70"/>
      <c r="K1319" s="71"/>
      <c r="L1319" s="71"/>
      <c r="M1319" s="5"/>
    </row>
    <row r="1320" spans="1:13" s="3" customFormat="1">
      <c r="A1320" s="1"/>
      <c r="B1320" s="8"/>
      <c r="C1320" s="5"/>
      <c r="D1320" s="12"/>
      <c r="E1320" s="23"/>
      <c r="F1320" s="9"/>
      <c r="G1320" s="5"/>
      <c r="H1320" s="16"/>
      <c r="I1320" s="69"/>
      <c r="J1320" s="70"/>
      <c r="K1320" s="71"/>
      <c r="L1320" s="71"/>
      <c r="M1320" s="5"/>
    </row>
    <row r="1321" spans="1:13" s="3" customFormat="1">
      <c r="A1321" s="1"/>
      <c r="B1321" s="8"/>
      <c r="C1321" s="5"/>
      <c r="D1321" s="12"/>
      <c r="E1321" s="23"/>
      <c r="F1321" s="9"/>
      <c r="G1321" s="5"/>
      <c r="H1321" s="16"/>
      <c r="I1321" s="69"/>
      <c r="J1321" s="70"/>
      <c r="K1321" s="71"/>
      <c r="L1321" s="71"/>
      <c r="M1321" s="5"/>
    </row>
    <row r="1322" spans="1:13" s="3" customFormat="1">
      <c r="A1322" s="1"/>
      <c r="B1322" s="8"/>
      <c r="C1322" s="5"/>
      <c r="D1322" s="12"/>
      <c r="E1322" s="23"/>
      <c r="F1322" s="9"/>
      <c r="G1322" s="5"/>
      <c r="H1322" s="16"/>
      <c r="I1322" s="69"/>
      <c r="J1322" s="70"/>
      <c r="K1322" s="71"/>
      <c r="L1322" s="71"/>
      <c r="M1322" s="5"/>
    </row>
    <row r="1323" spans="1:13" s="3" customFormat="1">
      <c r="A1323" s="1"/>
      <c r="B1323" s="8"/>
      <c r="C1323" s="5"/>
      <c r="D1323" s="12"/>
      <c r="E1323" s="23"/>
      <c r="F1323" s="9"/>
      <c r="G1323" s="5"/>
      <c r="H1323" s="16"/>
      <c r="I1323" s="69"/>
      <c r="J1323" s="70"/>
      <c r="K1323" s="71"/>
      <c r="L1323" s="71"/>
      <c r="M1323" s="5"/>
    </row>
    <row r="1324" spans="1:13" s="3" customFormat="1">
      <c r="A1324" s="1"/>
      <c r="B1324" s="8"/>
      <c r="C1324" s="5"/>
      <c r="D1324" s="12"/>
      <c r="E1324" s="23"/>
      <c r="F1324" s="9"/>
      <c r="G1324" s="5"/>
      <c r="H1324" s="16"/>
      <c r="I1324" s="69"/>
      <c r="J1324" s="70"/>
      <c r="K1324" s="71"/>
      <c r="L1324" s="71"/>
      <c r="M1324" s="5"/>
    </row>
    <row r="1325" spans="1:13" s="3" customFormat="1">
      <c r="A1325" s="1"/>
      <c r="B1325" s="8"/>
      <c r="C1325" s="5"/>
      <c r="D1325" s="12"/>
      <c r="E1325" s="23"/>
      <c r="F1325" s="9"/>
      <c r="G1325" s="5"/>
      <c r="H1325" s="16"/>
      <c r="I1325" s="69"/>
      <c r="J1325" s="70"/>
      <c r="K1325" s="71"/>
      <c r="L1325" s="71"/>
      <c r="M1325" s="5"/>
    </row>
    <row r="1326" spans="1:13" s="3" customFormat="1">
      <c r="A1326" s="1"/>
      <c r="B1326" s="8"/>
      <c r="C1326" s="5"/>
      <c r="D1326" s="12"/>
      <c r="E1326" s="23"/>
      <c r="F1326" s="9"/>
      <c r="G1326" s="5"/>
      <c r="H1326" s="16"/>
      <c r="I1326" s="69"/>
      <c r="J1326" s="70"/>
      <c r="K1326" s="71"/>
      <c r="L1326" s="71"/>
      <c r="M1326" s="5"/>
    </row>
    <row r="1327" spans="1:13" s="3" customFormat="1">
      <c r="A1327" s="1"/>
      <c r="B1327" s="8"/>
      <c r="C1327" s="5"/>
      <c r="D1327" s="12"/>
      <c r="E1327" s="23"/>
      <c r="F1327" s="9"/>
      <c r="G1327" s="5"/>
      <c r="H1327" s="16"/>
      <c r="I1327" s="69"/>
      <c r="J1327" s="70"/>
      <c r="K1327" s="71"/>
      <c r="L1327" s="71"/>
      <c r="M1327" s="5"/>
    </row>
    <row r="1328" spans="1:13" s="3" customFormat="1">
      <c r="A1328" s="1"/>
      <c r="B1328" s="8"/>
      <c r="C1328" s="5"/>
      <c r="D1328" s="12"/>
      <c r="E1328" s="23"/>
      <c r="F1328" s="9"/>
      <c r="G1328" s="5"/>
      <c r="H1328" s="16"/>
      <c r="I1328" s="69"/>
      <c r="J1328" s="70"/>
      <c r="K1328" s="71"/>
      <c r="L1328" s="71"/>
      <c r="M1328" s="5"/>
    </row>
    <row r="1329" spans="1:13" s="3" customFormat="1">
      <c r="A1329" s="1"/>
      <c r="B1329" s="8"/>
      <c r="C1329" s="5"/>
      <c r="D1329" s="12"/>
      <c r="E1329" s="23"/>
      <c r="F1329" s="9"/>
      <c r="G1329" s="5"/>
      <c r="H1329" s="16"/>
      <c r="I1329" s="69"/>
      <c r="J1329" s="70"/>
      <c r="K1329" s="71"/>
      <c r="L1329" s="71"/>
      <c r="M1329" s="5"/>
    </row>
    <row r="1330" spans="1:13" s="3" customFormat="1">
      <c r="A1330" s="1"/>
      <c r="B1330" s="8"/>
      <c r="C1330" s="5"/>
      <c r="D1330" s="12"/>
      <c r="E1330" s="23"/>
      <c r="F1330" s="9"/>
      <c r="G1330" s="5"/>
      <c r="H1330" s="16"/>
      <c r="I1330" s="69"/>
      <c r="J1330" s="70"/>
      <c r="K1330" s="71"/>
      <c r="L1330" s="71"/>
      <c r="M1330" s="5"/>
    </row>
    <row r="1331" spans="1:13" s="3" customFormat="1">
      <c r="A1331" s="1"/>
      <c r="B1331" s="8"/>
      <c r="C1331" s="5"/>
      <c r="D1331" s="12"/>
      <c r="E1331" s="23"/>
      <c r="F1331" s="9"/>
      <c r="G1331" s="5"/>
      <c r="H1331" s="16"/>
      <c r="I1331" s="69"/>
      <c r="J1331" s="70"/>
      <c r="K1331" s="71"/>
      <c r="L1331" s="71"/>
      <c r="M1331" s="5"/>
    </row>
    <row r="1332" spans="1:13" s="3" customFormat="1">
      <c r="A1332" s="1"/>
      <c r="B1332" s="8"/>
      <c r="C1332" s="5"/>
      <c r="D1332" s="12"/>
      <c r="E1332" s="23"/>
      <c r="F1332" s="9"/>
      <c r="G1332" s="5"/>
      <c r="H1332" s="16"/>
      <c r="I1332" s="69"/>
      <c r="J1332" s="70"/>
      <c r="K1332" s="71"/>
      <c r="L1332" s="71"/>
      <c r="M1332" s="5"/>
    </row>
    <row r="1333" spans="1:13" s="3" customFormat="1">
      <c r="A1333" s="1"/>
      <c r="B1333" s="8"/>
      <c r="C1333" s="5"/>
      <c r="D1333" s="12"/>
      <c r="E1333" s="23"/>
      <c r="F1333" s="9"/>
      <c r="G1333" s="5"/>
      <c r="H1333" s="16"/>
      <c r="I1333" s="69"/>
      <c r="J1333" s="70"/>
      <c r="K1333" s="71"/>
      <c r="L1333" s="71"/>
      <c r="M1333" s="5"/>
    </row>
    <row r="1334" spans="1:13" s="3" customFormat="1">
      <c r="A1334" s="1"/>
      <c r="B1334" s="8"/>
      <c r="C1334" s="5"/>
      <c r="D1334" s="12"/>
      <c r="E1334" s="23"/>
      <c r="F1334" s="9"/>
      <c r="G1334" s="5"/>
      <c r="H1334" s="16"/>
      <c r="I1334" s="69"/>
      <c r="J1334" s="70"/>
      <c r="K1334" s="71"/>
      <c r="L1334" s="71"/>
      <c r="M1334" s="5"/>
    </row>
    <row r="1335" spans="1:13" s="3" customFormat="1">
      <c r="A1335" s="1"/>
      <c r="B1335" s="8"/>
      <c r="C1335" s="5"/>
      <c r="D1335" s="12"/>
      <c r="E1335" s="23"/>
      <c r="F1335" s="9"/>
      <c r="G1335" s="5"/>
      <c r="H1335" s="16"/>
      <c r="I1335" s="69"/>
      <c r="J1335" s="70"/>
      <c r="K1335" s="71"/>
      <c r="L1335" s="71"/>
      <c r="M1335" s="5"/>
    </row>
    <row r="1336" spans="1:13" s="3" customFormat="1">
      <c r="A1336" s="1"/>
      <c r="B1336" s="8"/>
      <c r="C1336" s="5"/>
      <c r="D1336" s="12"/>
      <c r="E1336" s="23"/>
      <c r="F1336" s="9"/>
      <c r="G1336" s="5"/>
      <c r="H1336" s="16"/>
      <c r="I1336" s="69"/>
      <c r="J1336" s="70"/>
      <c r="K1336" s="71"/>
      <c r="L1336" s="71"/>
      <c r="M1336" s="5"/>
    </row>
    <row r="1337" spans="1:13" s="3" customFormat="1">
      <c r="A1337" s="1"/>
      <c r="B1337" s="8"/>
      <c r="C1337" s="5"/>
      <c r="D1337" s="12"/>
      <c r="E1337" s="23"/>
      <c r="F1337" s="9"/>
      <c r="G1337" s="5"/>
      <c r="H1337" s="16"/>
      <c r="I1337" s="69"/>
      <c r="J1337" s="70"/>
      <c r="K1337" s="71"/>
      <c r="L1337" s="71"/>
      <c r="M1337" s="5"/>
    </row>
    <row r="1338" spans="1:13" s="3" customFormat="1">
      <c r="A1338" s="1"/>
      <c r="B1338" s="8"/>
      <c r="C1338" s="5"/>
      <c r="D1338" s="12"/>
      <c r="E1338" s="23"/>
      <c r="F1338" s="9"/>
      <c r="G1338" s="5"/>
      <c r="H1338" s="16"/>
      <c r="I1338" s="69"/>
      <c r="J1338" s="70"/>
      <c r="K1338" s="71"/>
      <c r="L1338" s="71"/>
      <c r="M1338" s="5"/>
    </row>
    <row r="1339" spans="1:13" s="3" customFormat="1">
      <c r="A1339" s="1"/>
      <c r="B1339" s="8"/>
      <c r="C1339" s="5"/>
      <c r="D1339" s="12"/>
      <c r="E1339" s="23"/>
      <c r="F1339" s="9"/>
      <c r="G1339" s="5"/>
      <c r="H1339" s="16"/>
      <c r="I1339" s="69"/>
      <c r="J1339" s="70"/>
      <c r="K1339" s="71"/>
      <c r="L1339" s="71"/>
      <c r="M1339" s="5"/>
    </row>
    <row r="1340" spans="1:13" s="3" customFormat="1">
      <c r="A1340" s="1"/>
      <c r="B1340" s="8"/>
      <c r="C1340" s="5"/>
      <c r="D1340" s="12"/>
      <c r="E1340" s="23"/>
      <c r="F1340" s="9"/>
      <c r="G1340" s="5"/>
      <c r="H1340" s="16"/>
      <c r="I1340" s="69"/>
      <c r="J1340" s="70"/>
      <c r="K1340" s="71"/>
      <c r="L1340" s="71"/>
      <c r="M1340" s="5"/>
    </row>
    <row r="1341" spans="1:13" s="3" customFormat="1">
      <c r="A1341" s="1"/>
      <c r="B1341" s="8"/>
      <c r="C1341" s="5"/>
      <c r="D1341" s="12"/>
      <c r="E1341" s="23"/>
      <c r="F1341" s="9"/>
      <c r="G1341" s="5"/>
      <c r="H1341" s="16"/>
      <c r="I1341" s="69"/>
      <c r="J1341" s="70"/>
      <c r="K1341" s="71"/>
      <c r="L1341" s="71"/>
      <c r="M1341" s="5"/>
    </row>
    <row r="1342" spans="1:13" s="3" customFormat="1">
      <c r="A1342" s="1"/>
      <c r="B1342" s="8"/>
      <c r="C1342" s="5"/>
      <c r="D1342" s="12"/>
      <c r="E1342" s="23"/>
      <c r="F1342" s="9"/>
      <c r="G1342" s="5"/>
      <c r="H1342" s="16"/>
      <c r="I1342" s="69"/>
      <c r="J1342" s="70"/>
      <c r="K1342" s="71"/>
      <c r="L1342" s="71"/>
      <c r="M1342" s="5"/>
    </row>
    <row r="1343" spans="1:13" s="3" customFormat="1">
      <c r="A1343" s="1"/>
      <c r="B1343" s="8"/>
      <c r="C1343" s="5"/>
      <c r="D1343" s="12"/>
      <c r="E1343" s="23"/>
      <c r="F1343" s="9"/>
      <c r="G1343" s="5"/>
      <c r="H1343" s="16"/>
      <c r="I1343" s="69"/>
      <c r="J1343" s="70"/>
      <c r="K1343" s="71"/>
      <c r="L1343" s="71"/>
      <c r="M1343" s="5"/>
    </row>
    <row r="1344" spans="1:13" s="3" customFormat="1">
      <c r="A1344" s="1"/>
      <c r="B1344" s="8"/>
      <c r="C1344" s="5"/>
      <c r="D1344" s="12"/>
      <c r="E1344" s="23"/>
      <c r="F1344" s="9"/>
      <c r="G1344" s="5"/>
      <c r="H1344" s="16"/>
      <c r="I1344" s="69"/>
      <c r="J1344" s="70"/>
      <c r="K1344" s="71"/>
      <c r="L1344" s="71"/>
      <c r="M1344" s="5"/>
    </row>
    <row r="1345" spans="1:13" s="3" customFormat="1">
      <c r="A1345" s="1"/>
      <c r="B1345" s="8"/>
      <c r="C1345" s="5"/>
      <c r="D1345" s="12"/>
      <c r="E1345" s="23"/>
      <c r="F1345" s="9"/>
      <c r="G1345" s="5"/>
      <c r="H1345" s="16"/>
      <c r="I1345" s="69"/>
      <c r="J1345" s="70"/>
      <c r="K1345" s="71"/>
      <c r="L1345" s="71"/>
      <c r="M1345" s="5"/>
    </row>
    <row r="1346" spans="1:13" s="3" customFormat="1">
      <c r="A1346" s="1"/>
      <c r="B1346" s="8"/>
      <c r="C1346" s="5"/>
      <c r="D1346" s="12"/>
      <c r="E1346" s="23"/>
      <c r="F1346" s="9"/>
      <c r="G1346" s="5"/>
      <c r="H1346" s="16"/>
      <c r="I1346" s="69"/>
      <c r="J1346" s="70"/>
      <c r="K1346" s="71"/>
      <c r="L1346" s="71"/>
      <c r="M1346" s="5"/>
    </row>
    <row r="1347" spans="1:13" s="3" customFormat="1">
      <c r="A1347" s="1"/>
      <c r="B1347" s="8"/>
      <c r="C1347" s="5"/>
      <c r="D1347" s="12"/>
      <c r="E1347" s="23"/>
      <c r="F1347" s="9"/>
      <c r="G1347" s="5"/>
      <c r="H1347" s="16"/>
      <c r="I1347" s="69"/>
      <c r="J1347" s="70"/>
      <c r="K1347" s="71"/>
      <c r="L1347" s="71"/>
      <c r="M1347" s="5"/>
    </row>
    <row r="1348" spans="1:13" s="3" customFormat="1">
      <c r="A1348" s="1"/>
      <c r="B1348" s="8"/>
      <c r="C1348" s="5"/>
      <c r="D1348" s="12"/>
      <c r="E1348" s="23"/>
      <c r="F1348" s="9"/>
      <c r="G1348" s="5"/>
      <c r="H1348" s="16"/>
      <c r="I1348" s="69"/>
      <c r="J1348" s="70"/>
      <c r="K1348" s="71"/>
      <c r="L1348" s="71"/>
      <c r="M1348" s="5"/>
    </row>
    <row r="1349" spans="1:13" s="3" customFormat="1">
      <c r="A1349" s="1"/>
      <c r="B1349" s="8"/>
      <c r="C1349" s="5"/>
      <c r="D1349" s="12"/>
      <c r="E1349" s="23"/>
      <c r="F1349" s="9"/>
      <c r="G1349" s="5"/>
      <c r="H1349" s="16"/>
      <c r="I1349" s="69"/>
      <c r="J1349" s="70"/>
      <c r="K1349" s="71"/>
      <c r="L1349" s="71"/>
      <c r="M1349" s="5"/>
    </row>
    <row r="1350" spans="1:13" s="3" customFormat="1">
      <c r="A1350" s="1"/>
      <c r="B1350" s="8"/>
      <c r="C1350" s="5"/>
      <c r="D1350" s="12"/>
      <c r="E1350" s="23"/>
      <c r="F1350" s="9"/>
      <c r="G1350" s="5"/>
      <c r="H1350" s="16"/>
      <c r="I1350" s="69"/>
      <c r="J1350" s="70"/>
      <c r="K1350" s="71"/>
      <c r="L1350" s="71"/>
      <c r="M1350" s="5"/>
    </row>
    <row r="1351" spans="1:13" s="3" customFormat="1">
      <c r="A1351" s="1"/>
      <c r="B1351" s="8"/>
      <c r="C1351" s="5"/>
      <c r="D1351" s="12"/>
      <c r="E1351" s="23"/>
      <c r="F1351" s="9"/>
      <c r="G1351" s="5"/>
      <c r="H1351" s="16"/>
      <c r="I1351" s="69"/>
      <c r="J1351" s="70"/>
      <c r="K1351" s="71"/>
      <c r="L1351" s="71"/>
      <c r="M1351" s="5"/>
    </row>
    <row r="1352" spans="1:13" s="3" customFormat="1">
      <c r="A1352" s="1"/>
      <c r="B1352" s="8"/>
      <c r="C1352" s="5"/>
      <c r="D1352" s="12"/>
      <c r="E1352" s="23"/>
      <c r="F1352" s="9"/>
      <c r="G1352" s="5"/>
      <c r="H1352" s="16"/>
      <c r="I1352" s="69"/>
      <c r="J1352" s="70"/>
      <c r="K1352" s="71"/>
      <c r="L1352" s="71"/>
      <c r="M1352" s="5"/>
    </row>
    <row r="1353" spans="1:13" s="3" customFormat="1">
      <c r="A1353" s="1"/>
      <c r="B1353" s="8"/>
      <c r="C1353" s="5"/>
      <c r="D1353" s="12"/>
      <c r="E1353" s="23"/>
      <c r="F1353" s="9"/>
      <c r="G1353" s="5"/>
      <c r="H1353" s="16"/>
      <c r="I1353" s="69"/>
      <c r="J1353" s="70"/>
      <c r="K1353" s="71"/>
      <c r="L1353" s="71"/>
      <c r="M1353" s="5"/>
    </row>
    <row r="1354" spans="1:13" s="3" customFormat="1">
      <c r="A1354" s="1"/>
      <c r="B1354" s="8"/>
      <c r="C1354" s="5"/>
      <c r="D1354" s="12"/>
      <c r="E1354" s="23"/>
      <c r="F1354" s="9"/>
      <c r="G1354" s="5"/>
      <c r="H1354" s="16"/>
      <c r="I1354" s="69"/>
      <c r="J1354" s="70"/>
      <c r="K1354" s="71"/>
      <c r="L1354" s="71"/>
      <c r="M1354" s="5"/>
    </row>
    <row r="1355" spans="1:13" s="3" customFormat="1">
      <c r="A1355" s="1"/>
      <c r="B1355" s="8"/>
      <c r="C1355" s="5"/>
      <c r="D1355" s="12"/>
      <c r="E1355" s="23"/>
      <c r="F1355" s="9"/>
      <c r="G1355" s="5"/>
      <c r="H1355" s="16"/>
      <c r="I1355" s="69"/>
      <c r="J1355" s="70"/>
      <c r="K1355" s="71"/>
      <c r="L1355" s="71"/>
      <c r="M1355" s="5"/>
    </row>
    <row r="1356" spans="1:13" s="3" customFormat="1">
      <c r="A1356" s="1"/>
      <c r="B1356" s="8"/>
      <c r="C1356" s="5"/>
      <c r="D1356" s="12"/>
      <c r="E1356" s="23"/>
      <c r="F1356" s="9"/>
      <c r="G1356" s="5"/>
      <c r="H1356" s="16"/>
      <c r="I1356" s="69"/>
      <c r="J1356" s="70"/>
      <c r="K1356" s="71"/>
      <c r="L1356" s="71"/>
      <c r="M1356" s="5"/>
    </row>
    <row r="1357" spans="1:13" s="3" customFormat="1">
      <c r="A1357" s="1"/>
      <c r="B1357" s="8"/>
      <c r="C1357" s="5"/>
      <c r="D1357" s="12"/>
      <c r="E1357" s="23"/>
      <c r="F1357" s="9"/>
      <c r="G1357" s="5"/>
      <c r="H1357" s="16"/>
      <c r="I1357" s="69"/>
      <c r="J1357" s="70"/>
      <c r="K1357" s="71"/>
      <c r="L1357" s="71"/>
      <c r="M1357" s="5"/>
    </row>
    <row r="1358" spans="1:13" s="3" customFormat="1">
      <c r="A1358" s="1"/>
      <c r="B1358" s="8"/>
      <c r="C1358" s="5"/>
      <c r="D1358" s="12"/>
      <c r="E1358" s="23"/>
      <c r="F1358" s="9"/>
      <c r="G1358" s="5"/>
      <c r="H1358" s="16"/>
      <c r="I1358" s="69"/>
      <c r="J1358" s="70"/>
      <c r="K1358" s="71"/>
      <c r="L1358" s="71"/>
      <c r="M1358" s="5"/>
    </row>
    <row r="1359" spans="1:13" s="3" customFormat="1">
      <c r="A1359" s="1"/>
      <c r="B1359" s="8"/>
      <c r="C1359" s="5"/>
      <c r="D1359" s="12"/>
      <c r="E1359" s="23"/>
      <c r="F1359" s="9"/>
      <c r="G1359" s="5"/>
      <c r="H1359" s="16"/>
      <c r="I1359" s="69"/>
      <c r="J1359" s="70"/>
      <c r="K1359" s="71"/>
      <c r="L1359" s="71"/>
      <c r="M1359" s="5"/>
    </row>
    <row r="1360" spans="1:13" s="3" customFormat="1">
      <c r="A1360" s="1"/>
      <c r="B1360" s="8"/>
      <c r="C1360" s="5"/>
      <c r="D1360" s="12"/>
      <c r="E1360" s="23"/>
      <c r="F1360" s="9"/>
      <c r="G1360" s="5"/>
      <c r="H1360" s="16"/>
      <c r="I1360" s="69"/>
      <c r="J1360" s="70"/>
      <c r="K1360" s="71"/>
      <c r="L1360" s="71"/>
      <c r="M1360" s="5"/>
    </row>
    <row r="1361" spans="1:13" s="3" customFormat="1">
      <c r="A1361" s="1"/>
      <c r="B1361" s="8"/>
      <c r="C1361" s="5"/>
      <c r="D1361" s="12"/>
      <c r="E1361" s="23"/>
      <c r="F1361" s="9"/>
      <c r="G1361" s="5"/>
      <c r="H1361" s="16"/>
      <c r="I1361" s="69"/>
      <c r="J1361" s="70"/>
      <c r="K1361" s="71"/>
      <c r="L1361" s="71"/>
      <c r="M1361" s="5"/>
    </row>
    <row r="1362" spans="1:13" s="3" customFormat="1">
      <c r="A1362" s="1"/>
      <c r="B1362" s="8"/>
      <c r="C1362" s="5"/>
      <c r="D1362" s="12"/>
      <c r="E1362" s="23"/>
      <c r="F1362" s="9"/>
      <c r="G1362" s="5"/>
      <c r="H1362" s="16"/>
      <c r="I1362" s="69"/>
      <c r="J1362" s="70"/>
      <c r="K1362" s="71"/>
      <c r="L1362" s="71"/>
      <c r="M1362" s="5"/>
    </row>
    <row r="1363" spans="1:13" s="3" customFormat="1">
      <c r="A1363" s="1"/>
      <c r="B1363" s="8"/>
      <c r="C1363" s="5"/>
      <c r="D1363" s="12"/>
      <c r="E1363" s="23"/>
      <c r="F1363" s="9"/>
      <c r="G1363" s="5"/>
      <c r="H1363" s="16"/>
      <c r="I1363" s="69"/>
      <c r="J1363" s="70"/>
      <c r="K1363" s="71"/>
      <c r="L1363" s="71"/>
      <c r="M1363" s="5"/>
    </row>
    <row r="1364" spans="1:13" s="3" customFormat="1">
      <c r="A1364" s="1"/>
      <c r="B1364" s="8"/>
      <c r="C1364" s="5"/>
      <c r="D1364" s="12"/>
      <c r="E1364" s="23"/>
      <c r="F1364" s="9"/>
      <c r="G1364" s="5"/>
      <c r="H1364" s="16"/>
      <c r="I1364" s="69"/>
      <c r="J1364" s="70"/>
      <c r="K1364" s="71"/>
      <c r="L1364" s="71"/>
      <c r="M1364" s="5"/>
    </row>
    <row r="1365" spans="1:13" s="3" customFormat="1">
      <c r="A1365" s="1"/>
      <c r="B1365" s="8"/>
      <c r="C1365" s="5"/>
      <c r="D1365" s="12"/>
      <c r="E1365" s="23"/>
      <c r="F1365" s="9"/>
      <c r="G1365" s="5"/>
      <c r="H1365" s="16"/>
      <c r="I1365" s="69"/>
      <c r="J1365" s="70"/>
      <c r="K1365" s="71"/>
      <c r="L1365" s="71"/>
      <c r="M1365" s="5"/>
    </row>
    <row r="1366" spans="1:13" s="3" customFormat="1">
      <c r="A1366" s="1"/>
      <c r="B1366" s="8"/>
      <c r="C1366" s="5"/>
      <c r="D1366" s="12"/>
      <c r="E1366" s="23"/>
      <c r="F1366" s="9"/>
      <c r="G1366" s="5"/>
      <c r="H1366" s="16"/>
      <c r="I1366" s="69"/>
      <c r="J1366" s="70"/>
      <c r="K1366" s="71"/>
      <c r="L1366" s="71"/>
      <c r="M1366" s="5"/>
    </row>
    <row r="1367" spans="1:13" s="3" customFormat="1">
      <c r="A1367" s="1"/>
      <c r="B1367" s="8"/>
      <c r="C1367" s="5"/>
      <c r="D1367" s="12"/>
      <c r="E1367" s="23"/>
      <c r="F1367" s="9"/>
      <c r="G1367" s="5"/>
      <c r="H1367" s="16"/>
      <c r="I1367" s="69"/>
      <c r="J1367" s="70"/>
      <c r="K1367" s="71"/>
      <c r="L1367" s="71"/>
      <c r="M1367" s="5"/>
    </row>
    <row r="1368" spans="1:13" s="3" customFormat="1">
      <c r="A1368" s="1"/>
      <c r="B1368" s="8"/>
      <c r="C1368" s="5"/>
      <c r="D1368" s="12"/>
      <c r="E1368" s="23"/>
      <c r="F1368" s="9"/>
      <c r="G1368" s="5"/>
      <c r="H1368" s="16"/>
      <c r="I1368" s="69"/>
      <c r="J1368" s="70"/>
      <c r="K1368" s="71"/>
      <c r="L1368" s="71"/>
      <c r="M1368" s="5"/>
    </row>
    <row r="1369" spans="1:13" s="3" customFormat="1">
      <c r="A1369" s="1"/>
      <c r="B1369" s="8"/>
      <c r="C1369" s="5"/>
      <c r="D1369" s="12"/>
      <c r="E1369" s="23"/>
      <c r="F1369" s="9"/>
      <c r="G1369" s="5"/>
      <c r="H1369" s="16"/>
      <c r="I1369" s="69"/>
      <c r="J1369" s="70"/>
      <c r="K1369" s="71"/>
      <c r="L1369" s="71"/>
      <c r="M1369" s="5"/>
    </row>
    <row r="1370" spans="1:13" s="3" customFormat="1">
      <c r="A1370" s="1"/>
      <c r="B1370" s="8"/>
      <c r="C1370" s="5"/>
      <c r="D1370" s="12"/>
      <c r="E1370" s="23"/>
      <c r="F1370" s="9"/>
      <c r="G1370" s="5"/>
      <c r="H1370" s="16"/>
      <c r="I1370" s="69"/>
      <c r="J1370" s="70"/>
      <c r="K1370" s="71"/>
      <c r="L1370" s="71"/>
      <c r="M1370" s="5"/>
    </row>
    <row r="1371" spans="1:13" s="3" customFormat="1">
      <c r="A1371" s="1"/>
      <c r="B1371" s="8"/>
      <c r="C1371" s="5"/>
      <c r="D1371" s="12"/>
      <c r="E1371" s="23"/>
      <c r="F1371" s="9"/>
      <c r="G1371" s="5"/>
      <c r="H1371" s="16"/>
      <c r="I1371" s="69"/>
      <c r="J1371" s="70"/>
      <c r="K1371" s="71"/>
      <c r="L1371" s="71"/>
      <c r="M1371" s="5"/>
    </row>
    <row r="1372" spans="1:13" s="3" customFormat="1">
      <c r="A1372" s="1"/>
      <c r="B1372" s="8"/>
      <c r="C1372" s="5"/>
      <c r="D1372" s="12"/>
      <c r="E1372" s="23"/>
      <c r="F1372" s="9"/>
      <c r="G1372" s="5"/>
      <c r="H1372" s="16"/>
      <c r="I1372" s="69"/>
      <c r="J1372" s="70"/>
      <c r="K1372" s="71"/>
      <c r="L1372" s="71"/>
      <c r="M1372" s="5"/>
    </row>
    <row r="1373" spans="1:13" s="3" customFormat="1">
      <c r="A1373" s="1"/>
      <c r="B1373" s="8"/>
      <c r="C1373" s="5"/>
      <c r="D1373" s="12"/>
      <c r="E1373" s="23"/>
      <c r="F1373" s="9"/>
      <c r="G1373" s="5"/>
      <c r="H1373" s="16"/>
      <c r="I1373" s="69"/>
      <c r="J1373" s="70"/>
      <c r="K1373" s="71"/>
      <c r="L1373" s="71"/>
      <c r="M1373" s="5"/>
    </row>
    <row r="1374" spans="1:13" s="3" customFormat="1">
      <c r="A1374" s="1"/>
      <c r="B1374" s="8"/>
      <c r="C1374" s="5"/>
      <c r="D1374" s="12"/>
      <c r="E1374" s="23"/>
      <c r="F1374" s="9"/>
      <c r="G1374" s="5"/>
      <c r="H1374" s="16"/>
      <c r="I1374" s="69"/>
      <c r="J1374" s="70"/>
      <c r="K1374" s="71"/>
      <c r="L1374" s="71"/>
      <c r="M1374" s="5"/>
    </row>
    <row r="1375" spans="1:13" s="3" customFormat="1">
      <c r="A1375" s="1"/>
      <c r="B1375" s="8"/>
      <c r="C1375" s="5"/>
      <c r="D1375" s="12"/>
      <c r="E1375" s="23"/>
      <c r="F1375" s="9"/>
      <c r="G1375" s="5"/>
      <c r="H1375" s="16"/>
      <c r="I1375" s="69"/>
      <c r="J1375" s="70"/>
      <c r="K1375" s="71"/>
      <c r="L1375" s="71"/>
      <c r="M1375" s="5"/>
    </row>
    <row r="1376" spans="1:13" s="3" customFormat="1">
      <c r="A1376" s="1"/>
      <c r="B1376" s="8"/>
      <c r="C1376" s="5"/>
      <c r="D1376" s="12"/>
      <c r="E1376" s="23"/>
      <c r="F1376" s="9"/>
      <c r="G1376" s="5"/>
      <c r="H1376" s="16"/>
      <c r="I1376" s="69"/>
      <c r="J1376" s="70"/>
      <c r="K1376" s="71"/>
      <c r="L1376" s="71"/>
      <c r="M1376" s="5"/>
    </row>
    <row r="1377" spans="1:13" s="3" customFormat="1">
      <c r="A1377" s="1"/>
      <c r="B1377" s="8"/>
      <c r="C1377" s="5"/>
      <c r="D1377" s="12"/>
      <c r="E1377" s="23"/>
      <c r="F1377" s="9"/>
      <c r="G1377" s="5"/>
      <c r="H1377" s="16"/>
      <c r="I1377" s="69"/>
      <c r="J1377" s="70"/>
      <c r="K1377" s="71"/>
      <c r="L1377" s="71"/>
      <c r="M1377" s="5"/>
    </row>
    <row r="1378" spans="1:13" s="3" customFormat="1">
      <c r="A1378" s="1"/>
      <c r="B1378" s="8"/>
      <c r="C1378" s="5"/>
      <c r="D1378" s="12"/>
      <c r="E1378" s="23"/>
      <c r="F1378" s="9"/>
      <c r="G1378" s="5"/>
      <c r="H1378" s="16"/>
      <c r="I1378" s="69"/>
      <c r="J1378" s="70"/>
      <c r="K1378" s="71"/>
      <c r="L1378" s="71"/>
      <c r="M1378" s="5"/>
    </row>
    <row r="1379" spans="1:13" s="3" customFormat="1">
      <c r="A1379" s="1"/>
      <c r="B1379" s="8"/>
      <c r="C1379" s="5"/>
      <c r="D1379" s="12"/>
      <c r="E1379" s="23"/>
      <c r="F1379" s="9"/>
      <c r="G1379" s="5"/>
      <c r="H1379" s="16"/>
      <c r="I1379" s="69"/>
      <c r="J1379" s="70"/>
      <c r="K1379" s="71"/>
      <c r="L1379" s="71"/>
      <c r="M1379" s="5"/>
    </row>
    <row r="1380" spans="1:13" s="3" customFormat="1">
      <c r="A1380" s="1"/>
      <c r="B1380" s="8"/>
      <c r="C1380" s="5"/>
      <c r="D1380" s="12"/>
      <c r="E1380" s="23"/>
      <c r="F1380" s="9"/>
      <c r="G1380" s="5"/>
      <c r="H1380" s="16"/>
      <c r="I1380" s="69"/>
      <c r="J1380" s="70"/>
      <c r="K1380" s="71"/>
      <c r="L1380" s="71"/>
      <c r="M1380" s="5"/>
    </row>
    <row r="1381" spans="1:13" s="3" customFormat="1">
      <c r="A1381" s="1"/>
      <c r="B1381" s="8"/>
      <c r="C1381" s="5"/>
      <c r="D1381" s="12"/>
      <c r="E1381" s="23"/>
      <c r="F1381" s="9"/>
      <c r="G1381" s="5"/>
      <c r="H1381" s="16"/>
      <c r="I1381" s="69"/>
      <c r="J1381" s="70"/>
      <c r="K1381" s="71"/>
      <c r="L1381" s="71"/>
      <c r="M1381" s="5"/>
    </row>
    <row r="1382" spans="1:13" s="3" customFormat="1">
      <c r="A1382" s="1"/>
      <c r="B1382" s="8"/>
      <c r="C1382" s="5"/>
      <c r="D1382" s="12"/>
      <c r="E1382" s="23"/>
      <c r="F1382" s="9"/>
      <c r="G1382" s="5"/>
      <c r="H1382" s="16"/>
      <c r="I1382" s="69"/>
      <c r="J1382" s="70"/>
      <c r="K1382" s="71"/>
      <c r="L1382" s="71"/>
      <c r="M1382" s="5"/>
    </row>
    <row r="1383" spans="1:13" s="3" customFormat="1">
      <c r="A1383" s="1"/>
      <c r="B1383" s="8"/>
      <c r="C1383" s="5"/>
      <c r="D1383" s="12"/>
      <c r="E1383" s="23"/>
      <c r="F1383" s="9"/>
      <c r="G1383" s="5"/>
      <c r="H1383" s="16"/>
      <c r="I1383" s="69"/>
      <c r="J1383" s="70"/>
      <c r="K1383" s="71"/>
      <c r="L1383" s="71"/>
      <c r="M1383" s="5"/>
    </row>
    <row r="1384" spans="1:13" s="3" customFormat="1">
      <c r="A1384" s="1"/>
      <c r="B1384" s="8"/>
      <c r="C1384" s="5"/>
      <c r="D1384" s="12"/>
      <c r="E1384" s="23"/>
      <c r="F1384" s="9"/>
      <c r="G1384" s="5"/>
      <c r="H1384" s="16"/>
      <c r="I1384" s="69"/>
      <c r="J1384" s="70"/>
      <c r="K1384" s="71"/>
      <c r="L1384" s="71"/>
      <c r="M1384" s="5"/>
    </row>
    <row r="1385" spans="1:13" s="3" customFormat="1">
      <c r="A1385" s="1"/>
      <c r="B1385" s="8"/>
      <c r="C1385" s="5"/>
      <c r="D1385" s="12"/>
      <c r="E1385" s="23"/>
      <c r="F1385" s="9"/>
      <c r="G1385" s="5"/>
      <c r="H1385" s="16"/>
      <c r="I1385" s="69"/>
      <c r="J1385" s="70"/>
      <c r="K1385" s="71"/>
      <c r="L1385" s="71"/>
      <c r="M1385" s="5"/>
    </row>
    <row r="1386" spans="1:13" s="3" customFormat="1">
      <c r="A1386" s="1"/>
      <c r="B1386" s="8"/>
      <c r="C1386" s="5"/>
      <c r="D1386" s="12"/>
      <c r="E1386" s="23"/>
      <c r="F1386" s="9"/>
      <c r="G1386" s="5"/>
      <c r="H1386" s="16"/>
      <c r="I1386" s="69"/>
      <c r="J1386" s="70"/>
      <c r="K1386" s="71"/>
      <c r="L1386" s="71"/>
      <c r="M1386" s="5"/>
    </row>
    <row r="1387" spans="1:13" s="3" customFormat="1">
      <c r="A1387" s="1"/>
      <c r="B1387" s="8"/>
      <c r="C1387" s="5"/>
      <c r="D1387" s="12"/>
      <c r="E1387" s="23"/>
      <c r="F1387" s="9"/>
      <c r="G1387" s="5"/>
      <c r="H1387" s="16"/>
      <c r="I1387" s="69"/>
      <c r="J1387" s="70"/>
      <c r="K1387" s="71"/>
      <c r="L1387" s="71"/>
      <c r="M1387" s="5"/>
    </row>
    <row r="1388" spans="1:13" s="3" customFormat="1">
      <c r="A1388" s="1"/>
      <c r="B1388" s="8"/>
      <c r="C1388" s="5"/>
      <c r="D1388" s="12"/>
      <c r="E1388" s="23"/>
      <c r="F1388" s="9"/>
      <c r="G1388" s="5"/>
      <c r="H1388" s="16"/>
      <c r="I1388" s="69"/>
      <c r="J1388" s="70"/>
      <c r="K1388" s="71"/>
      <c r="L1388" s="71"/>
      <c r="M1388" s="5"/>
    </row>
    <row r="1389" spans="1:13" s="3" customFormat="1">
      <c r="A1389" s="1"/>
      <c r="B1389" s="8"/>
      <c r="C1389" s="5"/>
      <c r="D1389" s="12"/>
      <c r="E1389" s="23"/>
      <c r="F1389" s="9"/>
      <c r="G1389" s="5"/>
      <c r="H1389" s="16"/>
      <c r="I1389" s="69"/>
      <c r="J1389" s="70"/>
      <c r="K1389" s="71"/>
      <c r="L1389" s="71"/>
      <c r="M1389" s="5"/>
    </row>
    <row r="1390" spans="1:13" s="3" customFormat="1">
      <c r="A1390" s="1"/>
      <c r="B1390" s="8"/>
      <c r="C1390" s="5"/>
      <c r="D1390" s="12"/>
      <c r="E1390" s="23"/>
      <c r="F1390" s="9"/>
      <c r="G1390" s="5"/>
      <c r="H1390" s="16"/>
      <c r="I1390" s="69"/>
      <c r="J1390" s="70"/>
      <c r="K1390" s="71"/>
      <c r="L1390" s="71"/>
      <c r="M1390" s="5"/>
    </row>
    <row r="1391" spans="1:13" s="3" customFormat="1">
      <c r="A1391" s="1"/>
      <c r="B1391" s="8"/>
      <c r="C1391" s="5"/>
      <c r="D1391" s="12"/>
      <c r="E1391" s="23"/>
      <c r="F1391" s="9"/>
      <c r="G1391" s="5"/>
      <c r="H1391" s="16"/>
      <c r="I1391" s="69"/>
      <c r="J1391" s="70"/>
      <c r="K1391" s="71"/>
      <c r="L1391" s="71"/>
      <c r="M1391" s="5"/>
    </row>
    <row r="1392" spans="1:13" s="3" customFormat="1">
      <c r="A1392" s="1"/>
      <c r="B1392" s="8"/>
      <c r="C1392" s="5"/>
      <c r="D1392" s="12"/>
      <c r="E1392" s="23"/>
      <c r="F1392" s="9"/>
      <c r="G1392" s="5"/>
      <c r="H1392" s="16"/>
      <c r="I1392" s="69"/>
      <c r="J1392" s="70"/>
      <c r="K1392" s="71"/>
      <c r="L1392" s="71"/>
      <c r="M1392" s="5"/>
    </row>
    <row r="1393" spans="1:13" s="3" customFormat="1">
      <c r="A1393" s="1"/>
      <c r="B1393" s="8"/>
      <c r="C1393" s="5"/>
      <c r="D1393" s="12"/>
      <c r="E1393" s="23"/>
      <c r="F1393" s="9"/>
      <c r="G1393" s="5"/>
      <c r="H1393" s="16"/>
      <c r="I1393" s="69"/>
      <c r="J1393" s="70"/>
      <c r="K1393" s="71"/>
      <c r="L1393" s="71"/>
      <c r="M1393" s="5"/>
    </row>
    <row r="1394" spans="1:13" s="3" customFormat="1">
      <c r="A1394" s="1"/>
      <c r="B1394" s="8"/>
      <c r="C1394" s="5"/>
      <c r="D1394" s="12"/>
      <c r="E1394" s="23"/>
      <c r="F1394" s="9"/>
      <c r="G1394" s="5"/>
      <c r="H1394" s="16"/>
      <c r="I1394" s="69"/>
      <c r="J1394" s="70"/>
      <c r="K1394" s="71"/>
      <c r="L1394" s="71"/>
      <c r="M1394" s="5"/>
    </row>
    <row r="1395" spans="1:13" s="3" customFormat="1">
      <c r="A1395" s="1"/>
      <c r="B1395" s="8"/>
      <c r="C1395" s="5"/>
      <c r="D1395" s="12"/>
      <c r="E1395" s="23"/>
      <c r="F1395" s="9"/>
      <c r="G1395" s="5"/>
      <c r="H1395" s="16"/>
      <c r="I1395" s="69"/>
      <c r="J1395" s="70"/>
      <c r="K1395" s="71"/>
      <c r="L1395" s="71"/>
      <c r="M1395" s="5"/>
    </row>
    <row r="1396" spans="1:13" s="3" customFormat="1">
      <c r="A1396" s="1"/>
      <c r="B1396" s="8"/>
      <c r="C1396" s="5"/>
      <c r="D1396" s="12"/>
      <c r="E1396" s="23"/>
      <c r="F1396" s="9"/>
      <c r="G1396" s="5"/>
      <c r="H1396" s="16"/>
      <c r="I1396" s="69"/>
      <c r="J1396" s="70"/>
      <c r="K1396" s="71"/>
      <c r="L1396" s="71"/>
      <c r="M1396" s="5"/>
    </row>
    <row r="1397" spans="1:13" s="3" customFormat="1">
      <c r="A1397" s="1"/>
      <c r="B1397" s="8"/>
      <c r="C1397" s="5"/>
      <c r="D1397" s="12"/>
      <c r="E1397" s="23"/>
      <c r="F1397" s="9"/>
      <c r="G1397" s="5"/>
      <c r="H1397" s="16"/>
      <c r="I1397" s="69"/>
      <c r="J1397" s="70"/>
      <c r="K1397" s="71"/>
      <c r="L1397" s="71"/>
      <c r="M1397" s="5"/>
    </row>
    <row r="1398" spans="1:13" s="3" customFormat="1">
      <c r="A1398" s="1"/>
      <c r="B1398" s="8"/>
      <c r="C1398" s="5"/>
      <c r="D1398" s="12"/>
      <c r="E1398" s="23"/>
      <c r="F1398" s="9"/>
      <c r="G1398" s="5"/>
      <c r="H1398" s="16"/>
      <c r="I1398" s="69"/>
      <c r="J1398" s="70"/>
      <c r="K1398" s="71"/>
      <c r="L1398" s="71"/>
      <c r="M1398" s="5"/>
    </row>
    <row r="1399" spans="1:13" s="3" customFormat="1">
      <c r="A1399" s="1"/>
      <c r="B1399" s="8"/>
      <c r="C1399" s="5"/>
      <c r="D1399" s="12"/>
      <c r="E1399" s="23"/>
      <c r="F1399" s="9"/>
      <c r="G1399" s="5"/>
      <c r="H1399" s="16"/>
      <c r="I1399" s="69"/>
      <c r="J1399" s="70"/>
      <c r="K1399" s="71"/>
      <c r="L1399" s="71"/>
      <c r="M1399" s="5"/>
    </row>
    <row r="1400" spans="1:13" s="3" customFormat="1">
      <c r="A1400" s="1"/>
      <c r="B1400" s="8"/>
      <c r="C1400" s="5"/>
      <c r="D1400" s="12"/>
      <c r="E1400" s="23"/>
      <c r="F1400" s="9"/>
      <c r="G1400" s="5"/>
      <c r="H1400" s="16"/>
      <c r="I1400" s="69"/>
      <c r="J1400" s="70"/>
      <c r="K1400" s="71"/>
      <c r="L1400" s="71"/>
      <c r="M1400" s="5"/>
    </row>
    <row r="1401" spans="1:13" s="3" customFormat="1">
      <c r="A1401" s="1"/>
      <c r="B1401" s="8"/>
      <c r="C1401" s="5"/>
      <c r="D1401" s="12"/>
      <c r="E1401" s="23"/>
      <c r="F1401" s="9"/>
      <c r="G1401" s="5"/>
      <c r="H1401" s="16"/>
      <c r="I1401" s="69"/>
      <c r="J1401" s="70"/>
      <c r="K1401" s="71"/>
      <c r="L1401" s="71"/>
      <c r="M1401" s="5"/>
    </row>
    <row r="1402" spans="1:13" s="3" customFormat="1">
      <c r="A1402" s="1"/>
      <c r="B1402" s="8"/>
      <c r="C1402" s="5"/>
      <c r="D1402" s="12"/>
      <c r="E1402" s="23"/>
      <c r="F1402" s="9"/>
      <c r="G1402" s="5"/>
      <c r="H1402" s="16"/>
      <c r="I1402" s="69"/>
      <c r="J1402" s="70"/>
      <c r="K1402" s="71"/>
      <c r="L1402" s="71"/>
      <c r="M1402" s="5"/>
    </row>
    <row r="1403" spans="1:13" s="3" customFormat="1">
      <c r="A1403" s="1"/>
      <c r="B1403" s="8"/>
      <c r="C1403" s="5"/>
      <c r="D1403" s="12"/>
      <c r="E1403" s="23"/>
      <c r="F1403" s="9"/>
      <c r="G1403" s="5"/>
      <c r="H1403" s="16"/>
      <c r="I1403" s="69"/>
      <c r="J1403" s="70"/>
      <c r="K1403" s="71"/>
      <c r="L1403" s="71"/>
      <c r="M1403" s="5"/>
    </row>
    <row r="1404" spans="1:13" s="3" customFormat="1">
      <c r="A1404" s="1"/>
      <c r="B1404" s="8"/>
      <c r="C1404" s="5"/>
      <c r="D1404" s="12"/>
      <c r="E1404" s="23"/>
      <c r="F1404" s="9"/>
      <c r="G1404" s="5"/>
      <c r="H1404" s="16"/>
      <c r="I1404" s="69"/>
      <c r="J1404" s="70"/>
      <c r="K1404" s="71"/>
      <c r="L1404" s="71"/>
      <c r="M1404" s="5"/>
    </row>
    <row r="1405" spans="1:13" s="3" customFormat="1">
      <c r="A1405" s="1"/>
      <c r="B1405" s="8"/>
      <c r="C1405" s="5"/>
      <c r="D1405" s="12"/>
      <c r="E1405" s="23"/>
      <c r="F1405" s="9"/>
      <c r="G1405" s="5"/>
      <c r="H1405" s="16"/>
      <c r="I1405" s="69"/>
      <c r="J1405" s="70"/>
      <c r="K1405" s="71"/>
      <c r="L1405" s="71"/>
      <c r="M1405" s="5"/>
    </row>
    <row r="1406" spans="1:13" s="3" customFormat="1">
      <c r="A1406" s="1"/>
      <c r="B1406" s="8"/>
      <c r="C1406" s="5"/>
      <c r="D1406" s="12"/>
      <c r="E1406" s="23"/>
      <c r="F1406" s="9"/>
      <c r="G1406" s="5"/>
      <c r="H1406" s="16"/>
      <c r="I1406" s="69"/>
      <c r="J1406" s="70"/>
      <c r="K1406" s="71"/>
      <c r="L1406" s="71"/>
      <c r="M1406" s="5"/>
    </row>
    <row r="1407" spans="1:13" s="3" customFormat="1">
      <c r="A1407" s="1"/>
      <c r="B1407" s="8"/>
      <c r="C1407" s="5"/>
      <c r="D1407" s="12"/>
      <c r="E1407" s="23"/>
      <c r="F1407" s="9"/>
      <c r="G1407" s="5"/>
      <c r="H1407" s="16"/>
      <c r="I1407" s="69"/>
      <c r="J1407" s="70"/>
      <c r="K1407" s="71"/>
      <c r="L1407" s="71"/>
      <c r="M1407" s="5"/>
    </row>
    <row r="1408" spans="1:13" s="3" customFormat="1">
      <c r="A1408" s="1"/>
      <c r="B1408" s="8"/>
      <c r="C1408" s="5"/>
      <c r="D1408" s="12"/>
      <c r="E1408" s="23"/>
      <c r="F1408" s="9"/>
      <c r="G1408" s="5"/>
      <c r="H1408" s="16"/>
      <c r="I1408" s="69"/>
      <c r="J1408" s="70"/>
      <c r="K1408" s="71"/>
      <c r="L1408" s="71"/>
      <c r="M1408" s="5"/>
    </row>
    <row r="1409" spans="1:13" s="3" customFormat="1">
      <c r="A1409" s="1"/>
      <c r="B1409" s="8"/>
      <c r="C1409" s="5"/>
      <c r="D1409" s="12"/>
      <c r="E1409" s="23"/>
      <c r="F1409" s="9"/>
      <c r="G1409" s="5"/>
      <c r="H1409" s="16"/>
      <c r="I1409" s="69"/>
      <c r="J1409" s="70"/>
      <c r="K1409" s="71"/>
      <c r="L1409" s="71"/>
      <c r="M1409" s="5"/>
    </row>
    <row r="1410" spans="1:13" s="3" customFormat="1">
      <c r="A1410" s="1"/>
      <c r="B1410" s="8"/>
      <c r="C1410" s="5"/>
      <c r="D1410" s="12"/>
      <c r="E1410" s="23"/>
      <c r="F1410" s="9"/>
      <c r="G1410" s="5"/>
      <c r="H1410" s="16"/>
      <c r="I1410" s="69"/>
      <c r="J1410" s="70"/>
      <c r="K1410" s="71"/>
      <c r="L1410" s="71"/>
      <c r="M1410" s="5"/>
    </row>
    <row r="1411" spans="1:13" s="3" customFormat="1">
      <c r="A1411" s="1"/>
      <c r="B1411" s="8"/>
      <c r="C1411" s="5"/>
      <c r="D1411" s="12"/>
      <c r="E1411" s="23"/>
      <c r="F1411" s="9"/>
      <c r="G1411" s="5"/>
      <c r="H1411" s="16"/>
      <c r="I1411" s="69"/>
      <c r="J1411" s="70"/>
      <c r="K1411" s="71"/>
      <c r="L1411" s="71"/>
      <c r="M1411" s="5"/>
    </row>
    <row r="1412" spans="1:13" s="3" customFormat="1">
      <c r="A1412" s="1"/>
      <c r="B1412" s="8"/>
      <c r="C1412" s="5"/>
      <c r="D1412" s="12"/>
      <c r="E1412" s="23"/>
      <c r="F1412" s="9"/>
      <c r="G1412" s="5"/>
      <c r="H1412" s="16"/>
      <c r="I1412" s="69"/>
      <c r="J1412" s="70"/>
      <c r="K1412" s="71"/>
      <c r="L1412" s="71"/>
      <c r="M1412" s="5"/>
    </row>
    <row r="1413" spans="1:13" s="3" customFormat="1">
      <c r="A1413" s="1"/>
      <c r="B1413" s="8"/>
      <c r="C1413" s="5"/>
      <c r="D1413" s="12"/>
      <c r="E1413" s="23"/>
      <c r="F1413" s="9"/>
      <c r="G1413" s="5"/>
      <c r="H1413" s="16"/>
      <c r="I1413" s="69"/>
      <c r="J1413" s="70"/>
      <c r="K1413" s="71"/>
      <c r="L1413" s="71"/>
      <c r="M1413" s="5"/>
    </row>
    <row r="1414" spans="1:13" s="3" customFormat="1">
      <c r="A1414" s="1"/>
      <c r="B1414" s="8"/>
      <c r="C1414" s="5"/>
      <c r="D1414" s="12"/>
      <c r="E1414" s="23"/>
      <c r="F1414" s="9"/>
      <c r="G1414" s="5"/>
      <c r="H1414" s="16"/>
      <c r="I1414" s="69"/>
      <c r="J1414" s="70"/>
      <c r="K1414" s="71"/>
      <c r="L1414" s="71"/>
      <c r="M1414" s="5"/>
    </row>
    <row r="1415" spans="1:13" s="3" customFormat="1">
      <c r="A1415" s="1"/>
      <c r="B1415" s="8"/>
      <c r="C1415" s="5"/>
      <c r="D1415" s="12"/>
      <c r="E1415" s="23"/>
      <c r="F1415" s="9"/>
      <c r="G1415" s="5"/>
      <c r="H1415" s="16"/>
      <c r="I1415" s="69"/>
      <c r="J1415" s="70"/>
      <c r="K1415" s="71"/>
      <c r="L1415" s="71"/>
      <c r="M1415" s="5"/>
    </row>
    <row r="1416" spans="1:13" s="3" customFormat="1">
      <c r="A1416" s="1"/>
      <c r="B1416" s="8"/>
      <c r="C1416" s="5"/>
      <c r="D1416" s="12"/>
      <c r="E1416" s="23"/>
      <c r="F1416" s="9"/>
      <c r="G1416" s="5"/>
      <c r="H1416" s="16"/>
      <c r="I1416" s="69"/>
      <c r="J1416" s="70"/>
      <c r="K1416" s="71"/>
      <c r="L1416" s="71"/>
      <c r="M1416" s="5"/>
    </row>
    <row r="1417" spans="1:13" s="3" customFormat="1">
      <c r="A1417" s="1"/>
      <c r="B1417" s="8"/>
      <c r="C1417" s="5"/>
      <c r="D1417" s="12"/>
      <c r="E1417" s="23"/>
      <c r="F1417" s="9"/>
      <c r="G1417" s="5"/>
      <c r="H1417" s="16"/>
      <c r="I1417" s="69"/>
      <c r="J1417" s="70"/>
      <c r="K1417" s="71"/>
      <c r="L1417" s="71"/>
      <c r="M1417" s="5"/>
    </row>
    <row r="1418" spans="1:13" s="3" customFormat="1">
      <c r="A1418" s="1"/>
      <c r="B1418" s="8"/>
      <c r="C1418" s="5"/>
      <c r="D1418" s="12"/>
      <c r="E1418" s="23"/>
      <c r="F1418" s="9"/>
      <c r="G1418" s="5"/>
      <c r="H1418" s="16"/>
      <c r="I1418" s="69"/>
      <c r="J1418" s="70"/>
      <c r="K1418" s="71"/>
      <c r="L1418" s="71"/>
      <c r="M1418" s="5"/>
    </row>
    <row r="1419" spans="1:13" s="3" customFormat="1">
      <c r="A1419" s="1"/>
      <c r="B1419" s="8"/>
      <c r="C1419" s="5"/>
      <c r="D1419" s="12"/>
      <c r="E1419" s="23"/>
      <c r="F1419" s="9"/>
      <c r="G1419" s="5"/>
      <c r="H1419" s="16"/>
      <c r="I1419" s="69"/>
      <c r="J1419" s="70"/>
      <c r="K1419" s="71"/>
      <c r="L1419" s="71"/>
      <c r="M1419" s="5"/>
    </row>
    <row r="1420" spans="1:13" s="3" customFormat="1">
      <c r="A1420" s="1"/>
      <c r="B1420" s="8"/>
      <c r="C1420" s="5"/>
      <c r="D1420" s="12"/>
      <c r="E1420" s="23"/>
      <c r="F1420" s="9"/>
      <c r="G1420" s="5"/>
      <c r="H1420" s="16"/>
      <c r="I1420" s="69"/>
      <c r="J1420" s="70"/>
      <c r="K1420" s="71"/>
      <c r="L1420" s="71"/>
      <c r="M1420" s="5"/>
    </row>
    <row r="1421" spans="1:13" s="3" customFormat="1">
      <c r="A1421" s="1"/>
      <c r="B1421" s="8"/>
      <c r="C1421" s="5"/>
      <c r="D1421" s="12"/>
      <c r="E1421" s="23"/>
      <c r="F1421" s="9"/>
      <c r="G1421" s="5"/>
      <c r="H1421" s="16"/>
      <c r="I1421" s="69"/>
      <c r="J1421" s="70"/>
      <c r="K1421" s="71"/>
      <c r="L1421" s="71"/>
      <c r="M1421" s="5"/>
    </row>
    <row r="1422" spans="1:13" s="3" customFormat="1">
      <c r="A1422" s="1"/>
      <c r="B1422" s="8"/>
      <c r="C1422" s="5"/>
      <c r="D1422" s="12"/>
      <c r="E1422" s="23"/>
      <c r="F1422" s="9"/>
      <c r="G1422" s="5"/>
      <c r="H1422" s="16"/>
      <c r="I1422" s="69"/>
      <c r="J1422" s="70"/>
      <c r="K1422" s="71"/>
      <c r="L1422" s="71"/>
      <c r="M1422" s="5"/>
    </row>
    <row r="1423" spans="1:13" s="3" customFormat="1">
      <c r="A1423" s="1"/>
      <c r="B1423" s="8"/>
      <c r="C1423" s="5"/>
      <c r="D1423" s="12"/>
      <c r="E1423" s="23"/>
      <c r="F1423" s="9"/>
      <c r="G1423" s="5"/>
      <c r="H1423" s="16"/>
      <c r="I1423" s="69"/>
      <c r="J1423" s="70"/>
      <c r="K1423" s="71"/>
      <c r="L1423" s="71"/>
      <c r="M1423" s="5"/>
    </row>
    <row r="1424" spans="1:13" s="3" customFormat="1">
      <c r="A1424" s="1"/>
      <c r="B1424" s="8"/>
      <c r="C1424" s="5"/>
      <c r="D1424" s="12"/>
      <c r="E1424" s="23"/>
      <c r="F1424" s="9"/>
      <c r="G1424" s="5"/>
      <c r="H1424" s="16"/>
      <c r="I1424" s="69"/>
      <c r="J1424" s="70"/>
      <c r="K1424" s="71"/>
      <c r="L1424" s="71"/>
      <c r="M1424" s="5"/>
    </row>
    <row r="1425" spans="1:13" s="3" customFormat="1">
      <c r="A1425" s="1"/>
      <c r="B1425" s="8"/>
      <c r="C1425" s="5"/>
      <c r="D1425" s="12"/>
      <c r="E1425" s="23"/>
      <c r="F1425" s="9"/>
      <c r="G1425" s="5"/>
      <c r="H1425" s="16"/>
      <c r="I1425" s="69"/>
      <c r="J1425" s="70"/>
      <c r="K1425" s="71"/>
      <c r="L1425" s="71"/>
      <c r="M1425" s="5"/>
    </row>
    <row r="1426" spans="1:13" s="3" customFormat="1">
      <c r="A1426" s="1"/>
      <c r="B1426" s="8"/>
      <c r="C1426" s="5"/>
      <c r="D1426" s="12"/>
      <c r="E1426" s="23"/>
      <c r="F1426" s="9"/>
      <c r="G1426" s="5"/>
      <c r="H1426" s="16"/>
      <c r="I1426" s="69"/>
      <c r="J1426" s="70"/>
      <c r="K1426" s="71"/>
      <c r="L1426" s="71"/>
      <c r="M1426" s="5"/>
    </row>
    <row r="1427" spans="1:13" s="3" customFormat="1">
      <c r="A1427" s="1"/>
      <c r="B1427" s="8"/>
      <c r="C1427" s="5"/>
      <c r="D1427" s="12"/>
      <c r="E1427" s="23"/>
      <c r="F1427" s="9"/>
      <c r="G1427" s="5"/>
      <c r="H1427" s="16"/>
      <c r="I1427" s="69"/>
      <c r="J1427" s="70"/>
      <c r="K1427" s="71"/>
      <c r="L1427" s="71"/>
      <c r="M1427" s="5"/>
    </row>
    <row r="1428" spans="1:13" s="3" customFormat="1">
      <c r="A1428" s="1"/>
      <c r="B1428" s="8"/>
      <c r="C1428" s="5"/>
      <c r="D1428" s="12"/>
      <c r="E1428" s="23"/>
      <c r="F1428" s="9"/>
      <c r="G1428" s="5"/>
      <c r="H1428" s="16"/>
      <c r="I1428" s="69"/>
      <c r="J1428" s="70"/>
      <c r="K1428" s="71"/>
      <c r="L1428" s="71"/>
      <c r="M1428" s="5"/>
    </row>
    <row r="1429" spans="1:13" s="3" customFormat="1">
      <c r="A1429" s="1"/>
      <c r="B1429" s="8"/>
      <c r="C1429" s="5"/>
      <c r="D1429" s="12"/>
      <c r="E1429" s="23"/>
      <c r="F1429" s="9"/>
      <c r="G1429" s="5"/>
      <c r="H1429" s="16"/>
      <c r="I1429" s="69"/>
      <c r="J1429" s="70"/>
      <c r="K1429" s="71"/>
      <c r="L1429" s="71"/>
      <c r="M1429" s="5"/>
    </row>
    <row r="1430" spans="1:13" s="3" customFormat="1">
      <c r="A1430" s="1"/>
      <c r="B1430" s="8"/>
      <c r="C1430" s="5"/>
      <c r="D1430" s="12"/>
      <c r="E1430" s="23"/>
      <c r="F1430" s="9"/>
      <c r="G1430" s="5"/>
      <c r="H1430" s="16"/>
      <c r="I1430" s="69"/>
      <c r="J1430" s="70"/>
      <c r="K1430" s="71"/>
      <c r="L1430" s="71"/>
      <c r="M1430" s="5"/>
    </row>
    <row r="1431" spans="1:13" s="3" customFormat="1">
      <c r="A1431" s="1"/>
      <c r="B1431" s="8"/>
      <c r="C1431" s="5"/>
      <c r="D1431" s="12"/>
      <c r="E1431" s="23"/>
      <c r="F1431" s="9"/>
      <c r="G1431" s="5"/>
      <c r="H1431" s="16"/>
      <c r="I1431" s="69"/>
      <c r="J1431" s="70"/>
      <c r="K1431" s="71"/>
      <c r="L1431" s="71"/>
      <c r="M1431" s="5"/>
    </row>
    <row r="1432" spans="1:13" s="3" customFormat="1">
      <c r="A1432" s="1"/>
      <c r="B1432" s="8"/>
      <c r="C1432" s="5"/>
      <c r="D1432" s="12"/>
      <c r="E1432" s="23"/>
      <c r="F1432" s="9"/>
      <c r="G1432" s="5"/>
      <c r="H1432" s="16"/>
      <c r="I1432" s="69"/>
      <c r="J1432" s="70"/>
      <c r="K1432" s="71"/>
      <c r="L1432" s="71"/>
      <c r="M1432" s="5"/>
    </row>
    <row r="1433" spans="1:13" s="3" customFormat="1">
      <c r="A1433" s="1"/>
      <c r="B1433" s="8"/>
      <c r="C1433" s="5"/>
      <c r="D1433" s="12"/>
      <c r="E1433" s="23"/>
      <c r="F1433" s="9"/>
      <c r="G1433" s="5"/>
      <c r="H1433" s="16"/>
      <c r="I1433" s="69"/>
      <c r="J1433" s="70"/>
      <c r="K1433" s="71"/>
      <c r="L1433" s="71"/>
      <c r="M1433" s="5"/>
    </row>
    <row r="1434" spans="1:13" s="3" customFormat="1">
      <c r="A1434" s="1"/>
      <c r="B1434" s="8"/>
      <c r="C1434" s="5"/>
      <c r="D1434" s="12"/>
      <c r="E1434" s="23"/>
      <c r="F1434" s="9"/>
      <c r="G1434" s="5"/>
      <c r="H1434" s="16"/>
      <c r="I1434" s="69"/>
      <c r="J1434" s="70"/>
      <c r="K1434" s="71"/>
      <c r="L1434" s="71"/>
      <c r="M1434" s="5"/>
    </row>
    <row r="1435" spans="1:13" s="3" customFormat="1">
      <c r="A1435" s="1"/>
      <c r="B1435" s="8"/>
      <c r="C1435" s="5"/>
      <c r="D1435" s="12"/>
      <c r="E1435" s="23"/>
      <c r="F1435" s="9"/>
      <c r="G1435" s="5"/>
      <c r="H1435" s="16"/>
      <c r="I1435" s="69"/>
      <c r="J1435" s="70"/>
      <c r="K1435" s="71"/>
      <c r="L1435" s="71"/>
      <c r="M1435" s="5"/>
    </row>
    <row r="1436" spans="1:13" s="3" customFormat="1">
      <c r="A1436" s="1"/>
      <c r="B1436" s="8"/>
      <c r="C1436" s="5"/>
      <c r="D1436" s="12"/>
      <c r="E1436" s="23"/>
      <c r="F1436" s="9"/>
      <c r="G1436" s="5"/>
      <c r="H1436" s="16"/>
      <c r="I1436" s="69"/>
      <c r="J1436" s="70"/>
      <c r="K1436" s="71"/>
      <c r="L1436" s="71"/>
      <c r="M1436" s="5"/>
    </row>
    <row r="1437" spans="1:13" s="3" customFormat="1">
      <c r="A1437" s="1"/>
      <c r="B1437" s="8"/>
      <c r="C1437" s="5"/>
      <c r="D1437" s="12"/>
      <c r="E1437" s="23"/>
      <c r="F1437" s="9"/>
      <c r="G1437" s="5"/>
      <c r="H1437" s="16"/>
      <c r="I1437" s="69"/>
      <c r="J1437" s="70"/>
      <c r="K1437" s="71"/>
      <c r="L1437" s="71"/>
      <c r="M1437" s="5"/>
    </row>
    <row r="1438" spans="1:13" s="3" customFormat="1">
      <c r="A1438" s="1"/>
      <c r="B1438" s="8"/>
      <c r="C1438" s="5"/>
      <c r="D1438" s="12"/>
      <c r="E1438" s="23"/>
      <c r="F1438" s="9"/>
      <c r="G1438" s="5"/>
      <c r="H1438" s="16"/>
      <c r="I1438" s="69"/>
      <c r="J1438" s="70"/>
      <c r="K1438" s="71"/>
      <c r="L1438" s="71"/>
      <c r="M1438" s="5"/>
    </row>
    <row r="1439" spans="1:13" s="3" customFormat="1">
      <c r="A1439" s="1"/>
      <c r="B1439" s="8"/>
      <c r="C1439" s="5"/>
      <c r="D1439" s="12"/>
      <c r="E1439" s="23"/>
      <c r="F1439" s="9"/>
      <c r="G1439" s="5"/>
      <c r="H1439" s="16"/>
      <c r="I1439" s="69"/>
      <c r="J1439" s="70"/>
      <c r="K1439" s="71"/>
      <c r="L1439" s="71"/>
      <c r="M1439" s="5"/>
    </row>
    <row r="1440" spans="1:13" s="3" customFormat="1">
      <c r="A1440" s="1"/>
      <c r="B1440" s="8"/>
      <c r="C1440" s="5"/>
      <c r="D1440" s="12"/>
      <c r="E1440" s="23"/>
      <c r="F1440" s="9"/>
      <c r="G1440" s="5"/>
      <c r="H1440" s="16"/>
      <c r="I1440" s="69"/>
      <c r="J1440" s="70"/>
      <c r="K1440" s="71"/>
      <c r="L1440" s="71"/>
      <c r="M1440" s="5"/>
    </row>
    <row r="1441" spans="1:13" s="3" customFormat="1">
      <c r="A1441" s="1"/>
      <c r="B1441" s="8"/>
      <c r="C1441" s="5"/>
      <c r="D1441" s="12"/>
      <c r="E1441" s="23"/>
      <c r="F1441" s="9"/>
      <c r="G1441" s="5"/>
      <c r="H1441" s="16"/>
      <c r="I1441" s="69"/>
      <c r="J1441" s="70"/>
      <c r="K1441" s="71"/>
      <c r="L1441" s="71"/>
      <c r="M1441" s="5"/>
    </row>
    <row r="1442" spans="1:13" s="3" customFormat="1">
      <c r="A1442" s="1"/>
      <c r="B1442" s="8"/>
      <c r="C1442" s="5"/>
      <c r="D1442" s="12"/>
      <c r="E1442" s="23"/>
      <c r="F1442" s="9"/>
      <c r="G1442" s="5"/>
      <c r="H1442" s="16"/>
      <c r="I1442" s="69"/>
      <c r="J1442" s="70"/>
      <c r="K1442" s="71"/>
      <c r="L1442" s="71"/>
      <c r="M1442" s="5"/>
    </row>
    <row r="1443" spans="1:13" s="3" customFormat="1">
      <c r="A1443" s="1"/>
      <c r="B1443" s="8"/>
      <c r="C1443" s="5"/>
      <c r="D1443" s="12"/>
      <c r="E1443" s="23"/>
      <c r="F1443" s="9"/>
      <c r="G1443" s="5"/>
      <c r="H1443" s="16"/>
      <c r="I1443" s="69"/>
      <c r="J1443" s="70"/>
      <c r="K1443" s="71"/>
      <c r="L1443" s="71"/>
      <c r="M1443" s="5"/>
    </row>
    <row r="1444" spans="1:13" s="3" customFormat="1">
      <c r="A1444" s="1"/>
      <c r="B1444" s="8"/>
      <c r="C1444" s="5"/>
      <c r="D1444" s="12"/>
      <c r="E1444" s="23"/>
      <c r="F1444" s="9"/>
      <c r="G1444" s="5"/>
      <c r="H1444" s="16"/>
      <c r="I1444" s="69"/>
      <c r="J1444" s="70"/>
      <c r="K1444" s="71"/>
      <c r="L1444" s="71"/>
      <c r="M1444" s="5"/>
    </row>
    <row r="1445" spans="1:13" s="3" customFormat="1">
      <c r="A1445" s="1"/>
      <c r="B1445" s="8"/>
      <c r="C1445" s="5"/>
      <c r="D1445" s="12"/>
      <c r="E1445" s="23"/>
      <c r="F1445" s="9"/>
      <c r="G1445" s="5"/>
      <c r="H1445" s="16"/>
      <c r="I1445" s="69"/>
      <c r="J1445" s="70"/>
      <c r="K1445" s="71"/>
      <c r="L1445" s="71"/>
      <c r="M1445" s="5"/>
    </row>
    <row r="1446" spans="1:13" s="3" customFormat="1">
      <c r="A1446" s="1"/>
      <c r="B1446" s="8"/>
      <c r="C1446" s="5"/>
      <c r="D1446" s="12"/>
      <c r="E1446" s="23"/>
      <c r="F1446" s="9"/>
      <c r="G1446" s="5"/>
      <c r="H1446" s="16"/>
      <c r="I1446" s="69"/>
      <c r="J1446" s="70"/>
      <c r="K1446" s="71"/>
      <c r="L1446" s="71"/>
      <c r="M1446" s="5"/>
    </row>
    <row r="1447" spans="1:13" s="3" customFormat="1">
      <c r="A1447" s="1"/>
      <c r="B1447" s="8"/>
      <c r="C1447" s="5"/>
      <c r="D1447" s="12"/>
      <c r="E1447" s="23"/>
      <c r="F1447" s="9"/>
      <c r="G1447" s="5"/>
      <c r="H1447" s="16"/>
      <c r="I1447" s="69"/>
      <c r="J1447" s="70"/>
      <c r="K1447" s="71"/>
      <c r="L1447" s="71"/>
      <c r="M1447" s="5"/>
    </row>
    <row r="1448" spans="1:13" s="3" customFormat="1">
      <c r="A1448" s="1"/>
      <c r="B1448" s="8"/>
      <c r="C1448" s="5"/>
      <c r="D1448" s="12"/>
      <c r="E1448" s="23"/>
      <c r="F1448" s="9"/>
      <c r="G1448" s="5"/>
      <c r="H1448" s="16"/>
      <c r="I1448" s="69"/>
      <c r="J1448" s="70"/>
      <c r="K1448" s="71"/>
      <c r="L1448" s="71"/>
      <c r="M1448" s="5"/>
    </row>
    <row r="1449" spans="1:13" s="3" customFormat="1">
      <c r="A1449" s="1"/>
      <c r="B1449" s="8"/>
      <c r="C1449" s="5"/>
      <c r="D1449" s="12"/>
      <c r="E1449" s="23"/>
      <c r="F1449" s="9"/>
      <c r="G1449" s="5"/>
      <c r="H1449" s="16"/>
      <c r="I1449" s="69"/>
      <c r="J1449" s="70"/>
      <c r="K1449" s="71"/>
      <c r="L1449" s="71"/>
      <c r="M1449" s="5"/>
    </row>
    <row r="1450" spans="1:13" s="3" customFormat="1">
      <c r="A1450" s="1"/>
      <c r="B1450" s="8"/>
      <c r="C1450" s="5"/>
      <c r="D1450" s="12"/>
      <c r="E1450" s="23"/>
      <c r="F1450" s="9"/>
      <c r="G1450" s="5"/>
      <c r="H1450" s="16"/>
      <c r="I1450" s="69"/>
      <c r="J1450" s="70"/>
      <c r="K1450" s="71"/>
      <c r="L1450" s="71"/>
      <c r="M1450" s="5"/>
    </row>
    <row r="1451" spans="1:13" s="3" customFormat="1">
      <c r="A1451" s="1"/>
      <c r="B1451" s="8"/>
      <c r="C1451" s="5"/>
      <c r="D1451" s="12"/>
      <c r="E1451" s="23"/>
      <c r="F1451" s="9"/>
      <c r="G1451" s="5"/>
      <c r="H1451" s="16"/>
      <c r="I1451" s="69"/>
      <c r="J1451" s="70"/>
      <c r="K1451" s="71"/>
      <c r="L1451" s="71"/>
      <c r="M1451" s="5"/>
    </row>
    <row r="1452" spans="1:13" s="3" customFormat="1">
      <c r="A1452" s="1"/>
      <c r="B1452" s="8"/>
      <c r="C1452" s="5"/>
      <c r="D1452" s="12"/>
      <c r="E1452" s="23"/>
      <c r="F1452" s="9"/>
      <c r="G1452" s="5"/>
      <c r="H1452" s="16"/>
      <c r="I1452" s="69"/>
      <c r="J1452" s="70"/>
      <c r="K1452" s="71"/>
      <c r="L1452" s="71"/>
      <c r="M1452" s="5"/>
    </row>
    <row r="1453" spans="1:13" s="3" customFormat="1">
      <c r="A1453" s="1"/>
      <c r="B1453" s="8"/>
      <c r="C1453" s="5"/>
      <c r="D1453" s="12"/>
      <c r="E1453" s="23"/>
      <c r="F1453" s="9"/>
      <c r="G1453" s="5"/>
      <c r="H1453" s="16"/>
      <c r="I1453" s="69"/>
      <c r="J1453" s="70"/>
      <c r="K1453" s="71"/>
      <c r="L1453" s="71"/>
      <c r="M1453" s="5"/>
    </row>
    <row r="1454" spans="1:13" s="3" customFormat="1">
      <c r="A1454" s="1"/>
      <c r="B1454" s="8"/>
      <c r="C1454" s="5"/>
      <c r="D1454" s="12"/>
      <c r="E1454" s="23"/>
      <c r="F1454" s="9"/>
      <c r="G1454" s="5"/>
      <c r="H1454" s="16"/>
      <c r="I1454" s="69"/>
      <c r="J1454" s="70"/>
      <c r="K1454" s="71"/>
      <c r="L1454" s="71"/>
      <c r="M1454" s="5"/>
    </row>
    <row r="1455" spans="1:13" s="3" customFormat="1">
      <c r="A1455" s="1"/>
      <c r="B1455" s="8"/>
      <c r="C1455" s="5"/>
      <c r="D1455" s="12"/>
      <c r="E1455" s="23"/>
      <c r="F1455" s="9"/>
      <c r="G1455" s="5"/>
      <c r="H1455" s="16"/>
      <c r="I1455" s="69"/>
      <c r="J1455" s="70"/>
      <c r="K1455" s="71"/>
      <c r="L1455" s="71"/>
      <c r="M1455" s="5"/>
    </row>
    <row r="1456" spans="1:13" s="3" customFormat="1">
      <c r="A1456" s="1"/>
      <c r="B1456" s="8"/>
      <c r="C1456" s="5"/>
      <c r="D1456" s="12"/>
      <c r="E1456" s="23"/>
      <c r="F1456" s="9"/>
      <c r="G1456" s="5"/>
      <c r="H1456" s="16"/>
      <c r="I1456" s="69"/>
      <c r="J1456" s="70"/>
      <c r="K1456" s="71"/>
      <c r="L1456" s="71"/>
      <c r="M1456" s="5"/>
    </row>
    <row r="1457" spans="1:13" s="3" customFormat="1">
      <c r="A1457" s="1"/>
      <c r="B1457" s="8"/>
      <c r="C1457" s="5"/>
      <c r="D1457" s="12"/>
      <c r="E1457" s="23"/>
      <c r="F1457" s="9"/>
      <c r="G1457" s="5"/>
      <c r="H1457" s="16"/>
      <c r="I1457" s="69"/>
      <c r="J1457" s="70"/>
      <c r="K1457" s="71"/>
      <c r="L1457" s="71"/>
      <c r="M1457" s="5"/>
    </row>
    <row r="1458" spans="1:13" s="3" customFormat="1">
      <c r="A1458" s="1"/>
      <c r="B1458" s="8"/>
      <c r="C1458" s="5"/>
      <c r="D1458" s="12"/>
      <c r="E1458" s="23"/>
      <c r="F1458" s="9"/>
      <c r="G1458" s="5"/>
      <c r="H1458" s="16"/>
      <c r="I1458" s="69"/>
      <c r="J1458" s="70"/>
      <c r="K1458" s="71"/>
      <c r="L1458" s="71"/>
      <c r="M1458" s="5"/>
    </row>
    <row r="1459" spans="1:13" s="3" customFormat="1">
      <c r="A1459" s="1"/>
      <c r="B1459" s="8"/>
      <c r="C1459" s="5"/>
      <c r="D1459" s="12"/>
      <c r="E1459" s="23"/>
      <c r="F1459" s="9"/>
      <c r="G1459" s="5"/>
      <c r="H1459" s="16"/>
      <c r="I1459" s="69"/>
      <c r="J1459" s="70"/>
      <c r="K1459" s="71"/>
      <c r="L1459" s="71"/>
      <c r="M1459" s="5"/>
    </row>
    <row r="1460" spans="1:13" s="3" customFormat="1">
      <c r="A1460" s="1"/>
      <c r="B1460" s="8"/>
      <c r="C1460" s="5"/>
      <c r="D1460" s="12"/>
      <c r="E1460" s="23"/>
      <c r="F1460" s="9"/>
      <c r="G1460" s="5"/>
      <c r="H1460" s="16"/>
      <c r="I1460" s="69"/>
      <c r="J1460" s="70"/>
      <c r="K1460" s="71"/>
      <c r="L1460" s="71"/>
      <c r="M1460" s="5"/>
    </row>
    <row r="1461" spans="1:13" s="3" customFormat="1">
      <c r="A1461" s="1"/>
      <c r="B1461" s="8"/>
      <c r="C1461" s="5"/>
      <c r="D1461" s="12"/>
      <c r="E1461" s="23"/>
      <c r="F1461" s="9"/>
      <c r="G1461" s="5"/>
      <c r="H1461" s="16"/>
      <c r="I1461" s="69"/>
      <c r="J1461" s="70"/>
      <c r="K1461" s="71"/>
      <c r="L1461" s="71"/>
      <c r="M1461" s="5"/>
    </row>
    <row r="1462" spans="1:13" s="3" customFormat="1">
      <c r="A1462" s="1"/>
      <c r="B1462" s="8"/>
      <c r="C1462" s="5"/>
      <c r="D1462" s="12"/>
      <c r="E1462" s="23"/>
      <c r="F1462" s="9"/>
      <c r="G1462" s="5"/>
      <c r="H1462" s="16"/>
      <c r="I1462" s="69"/>
      <c r="J1462" s="70"/>
      <c r="K1462" s="71"/>
      <c r="L1462" s="71"/>
      <c r="M1462" s="5"/>
    </row>
    <row r="1463" spans="1:13" s="3" customFormat="1">
      <c r="A1463" s="1"/>
      <c r="B1463" s="8"/>
      <c r="C1463" s="5"/>
      <c r="D1463" s="12"/>
      <c r="E1463" s="23"/>
      <c r="F1463" s="9"/>
      <c r="G1463" s="5"/>
      <c r="H1463" s="16"/>
      <c r="I1463" s="69"/>
      <c r="J1463" s="70"/>
      <c r="K1463" s="71"/>
      <c r="L1463" s="71"/>
      <c r="M1463" s="5"/>
    </row>
    <row r="1464" spans="1:13" s="3" customFormat="1">
      <c r="A1464" s="1"/>
      <c r="B1464" s="8"/>
      <c r="C1464" s="5"/>
      <c r="D1464" s="12"/>
      <c r="E1464" s="23"/>
      <c r="F1464" s="9"/>
      <c r="G1464" s="5"/>
      <c r="H1464" s="16"/>
      <c r="I1464" s="69"/>
      <c r="J1464" s="70"/>
      <c r="K1464" s="71"/>
      <c r="L1464" s="71"/>
      <c r="M1464" s="5"/>
    </row>
    <row r="1465" spans="1:13" s="3" customFormat="1">
      <c r="A1465" s="1"/>
      <c r="B1465" s="8"/>
      <c r="C1465" s="5"/>
      <c r="D1465" s="12"/>
      <c r="E1465" s="23"/>
      <c r="F1465" s="9"/>
      <c r="G1465" s="5"/>
      <c r="H1465" s="16"/>
      <c r="I1465" s="69"/>
      <c r="J1465" s="70"/>
      <c r="K1465" s="71"/>
      <c r="L1465" s="71"/>
      <c r="M1465" s="5"/>
    </row>
    <row r="1466" spans="1:13" s="3" customFormat="1">
      <c r="A1466" s="1"/>
      <c r="B1466" s="8"/>
      <c r="C1466" s="5"/>
      <c r="D1466" s="12"/>
      <c r="E1466" s="23"/>
      <c r="F1466" s="9"/>
      <c r="G1466" s="5"/>
      <c r="H1466" s="16"/>
      <c r="I1466" s="69"/>
      <c r="J1466" s="70"/>
      <c r="K1466" s="71"/>
      <c r="L1466" s="71"/>
      <c r="M1466" s="5"/>
    </row>
    <row r="1467" spans="1:13" s="3" customFormat="1">
      <c r="A1467" s="1"/>
      <c r="B1467" s="8"/>
      <c r="C1467" s="5"/>
      <c r="D1467" s="12"/>
      <c r="E1467" s="23"/>
      <c r="F1467" s="9"/>
      <c r="G1467" s="5"/>
      <c r="H1467" s="16"/>
      <c r="I1467" s="69"/>
      <c r="J1467" s="70"/>
      <c r="K1467" s="71"/>
      <c r="L1467" s="71"/>
      <c r="M1467" s="5"/>
    </row>
    <row r="1468" spans="1:13" s="3" customFormat="1">
      <c r="A1468" s="1"/>
      <c r="B1468" s="8"/>
      <c r="C1468" s="5"/>
      <c r="D1468" s="12"/>
      <c r="E1468" s="23"/>
      <c r="F1468" s="9"/>
      <c r="G1468" s="5"/>
      <c r="H1468" s="16"/>
      <c r="I1468" s="69"/>
      <c r="J1468" s="70"/>
      <c r="K1468" s="71"/>
      <c r="L1468" s="71"/>
      <c r="M1468" s="5"/>
    </row>
    <row r="1469" spans="1:13" s="3" customFormat="1">
      <c r="A1469" s="1"/>
      <c r="B1469" s="8"/>
      <c r="C1469" s="5"/>
      <c r="D1469" s="12"/>
      <c r="E1469" s="23"/>
      <c r="F1469" s="9"/>
      <c r="G1469" s="5"/>
      <c r="H1469" s="16"/>
      <c r="I1469" s="69"/>
      <c r="J1469" s="70"/>
      <c r="K1469" s="71"/>
      <c r="L1469" s="71"/>
      <c r="M1469" s="5"/>
    </row>
    <row r="1470" spans="1:13" s="3" customFormat="1">
      <c r="A1470" s="1"/>
      <c r="B1470" s="8"/>
      <c r="C1470" s="5"/>
      <c r="D1470" s="12"/>
      <c r="E1470" s="23"/>
      <c r="F1470" s="9"/>
      <c r="G1470" s="5"/>
      <c r="H1470" s="16"/>
      <c r="I1470" s="69"/>
      <c r="J1470" s="70"/>
      <c r="K1470" s="71"/>
      <c r="L1470" s="71"/>
      <c r="M1470" s="5"/>
    </row>
    <row r="1471" spans="1:13" s="3" customFormat="1">
      <c r="A1471" s="1"/>
      <c r="B1471" s="8"/>
      <c r="C1471" s="5"/>
      <c r="D1471" s="12"/>
      <c r="E1471" s="23"/>
      <c r="F1471" s="9"/>
      <c r="G1471" s="5"/>
      <c r="H1471" s="16"/>
      <c r="I1471" s="69"/>
      <c r="J1471" s="70"/>
      <c r="K1471" s="71"/>
      <c r="L1471" s="71"/>
      <c r="M1471" s="5"/>
    </row>
    <row r="1472" spans="1:13" s="3" customFormat="1">
      <c r="A1472" s="1"/>
      <c r="B1472" s="8"/>
      <c r="C1472" s="5"/>
      <c r="D1472" s="12"/>
      <c r="E1472" s="23"/>
      <c r="F1472" s="9"/>
      <c r="G1472" s="5"/>
      <c r="H1472" s="16"/>
      <c r="I1472" s="69"/>
      <c r="J1472" s="70"/>
      <c r="K1472" s="71"/>
      <c r="L1472" s="71"/>
      <c r="M1472" s="5"/>
    </row>
    <row r="1473" spans="1:13" s="3" customFormat="1">
      <c r="A1473" s="1"/>
      <c r="B1473" s="8"/>
      <c r="C1473" s="5"/>
      <c r="D1473" s="12"/>
      <c r="E1473" s="23"/>
      <c r="F1473" s="9"/>
      <c r="G1473" s="5"/>
      <c r="H1473" s="16"/>
      <c r="I1473" s="69"/>
      <c r="J1473" s="70"/>
      <c r="K1473" s="71"/>
      <c r="L1473" s="71"/>
      <c r="M1473" s="5"/>
    </row>
    <row r="1474" spans="1:13" s="3" customFormat="1">
      <c r="A1474" s="1"/>
      <c r="B1474" s="8"/>
      <c r="C1474" s="5"/>
      <c r="D1474" s="12"/>
      <c r="E1474" s="23"/>
      <c r="F1474" s="9"/>
      <c r="G1474" s="5"/>
      <c r="H1474" s="16"/>
      <c r="I1474" s="69"/>
      <c r="J1474" s="70"/>
      <c r="K1474" s="71"/>
      <c r="L1474" s="71"/>
      <c r="M1474" s="5"/>
    </row>
    <row r="1475" spans="1:13" s="3" customFormat="1">
      <c r="A1475" s="1"/>
      <c r="B1475" s="8"/>
      <c r="C1475" s="5"/>
      <c r="D1475" s="12"/>
      <c r="E1475" s="23"/>
      <c r="F1475" s="9"/>
      <c r="G1475" s="5"/>
      <c r="H1475" s="16"/>
      <c r="I1475" s="69"/>
      <c r="J1475" s="70"/>
      <c r="K1475" s="71"/>
      <c r="L1475" s="71"/>
      <c r="M1475" s="5"/>
    </row>
    <row r="1476" spans="1:13" s="3" customFormat="1">
      <c r="A1476" s="1"/>
      <c r="B1476" s="8"/>
      <c r="C1476" s="5"/>
      <c r="D1476" s="12"/>
      <c r="E1476" s="23"/>
      <c r="F1476" s="9"/>
      <c r="G1476" s="5"/>
      <c r="H1476" s="16"/>
      <c r="I1476" s="69"/>
      <c r="J1476" s="70"/>
      <c r="K1476" s="71"/>
      <c r="L1476" s="71"/>
      <c r="M1476" s="5"/>
    </row>
    <row r="1477" spans="1:13" s="3" customFormat="1">
      <c r="A1477" s="1"/>
      <c r="B1477" s="8"/>
      <c r="C1477" s="5"/>
      <c r="D1477" s="12"/>
      <c r="E1477" s="23"/>
      <c r="F1477" s="9"/>
      <c r="G1477" s="5"/>
      <c r="H1477" s="16"/>
      <c r="I1477" s="69"/>
      <c r="J1477" s="70"/>
      <c r="K1477" s="71"/>
      <c r="L1477" s="71"/>
      <c r="M1477" s="5"/>
    </row>
    <row r="1478" spans="1:13" s="3" customFormat="1">
      <c r="A1478" s="1"/>
      <c r="B1478" s="8"/>
      <c r="C1478" s="5"/>
      <c r="D1478" s="12"/>
      <c r="E1478" s="23"/>
      <c r="F1478" s="9"/>
      <c r="G1478" s="5"/>
      <c r="H1478" s="16"/>
      <c r="I1478" s="69"/>
      <c r="J1478" s="70"/>
      <c r="K1478" s="71"/>
      <c r="L1478" s="71"/>
      <c r="M1478" s="5"/>
    </row>
    <row r="1479" spans="1:13" s="3" customFormat="1">
      <c r="A1479" s="1"/>
      <c r="B1479" s="8"/>
      <c r="C1479" s="5"/>
      <c r="D1479" s="12"/>
      <c r="E1479" s="23"/>
      <c r="F1479" s="9"/>
      <c r="G1479" s="5"/>
      <c r="H1479" s="16"/>
      <c r="I1479" s="69"/>
      <c r="J1479" s="70"/>
      <c r="K1479" s="71"/>
      <c r="L1479" s="71"/>
      <c r="M1479" s="5"/>
    </row>
    <row r="1480" spans="1:13" s="3" customFormat="1">
      <c r="A1480" s="1"/>
      <c r="B1480" s="8"/>
      <c r="C1480" s="5"/>
      <c r="D1480" s="12"/>
      <c r="E1480" s="23"/>
      <c r="F1480" s="9"/>
      <c r="G1480" s="5"/>
      <c r="H1480" s="16"/>
      <c r="I1480" s="69"/>
      <c r="J1480" s="70"/>
      <c r="K1480" s="71"/>
      <c r="L1480" s="71"/>
      <c r="M1480" s="5"/>
    </row>
    <row r="1481" spans="1:13" s="3" customFormat="1">
      <c r="A1481" s="1"/>
      <c r="B1481" s="8"/>
      <c r="C1481" s="5"/>
      <c r="D1481" s="12"/>
      <c r="E1481" s="23"/>
      <c r="F1481" s="9"/>
      <c r="G1481" s="5"/>
      <c r="H1481" s="16"/>
      <c r="I1481" s="69"/>
      <c r="J1481" s="70"/>
      <c r="K1481" s="71"/>
      <c r="L1481" s="71"/>
      <c r="M1481" s="5"/>
    </row>
    <row r="1482" spans="1:13" s="3" customFormat="1">
      <c r="A1482" s="1"/>
      <c r="B1482" s="8"/>
      <c r="C1482" s="5"/>
      <c r="D1482" s="12"/>
      <c r="E1482" s="23"/>
      <c r="F1482" s="9"/>
      <c r="G1482" s="5"/>
      <c r="H1482" s="16"/>
      <c r="I1482" s="69"/>
      <c r="J1482" s="70"/>
      <c r="K1482" s="71"/>
      <c r="L1482" s="71"/>
      <c r="M1482" s="5"/>
    </row>
    <row r="1483" spans="1:13" s="3" customFormat="1">
      <c r="A1483" s="1"/>
      <c r="B1483" s="8"/>
      <c r="C1483" s="5"/>
      <c r="D1483" s="12"/>
      <c r="E1483" s="23"/>
      <c r="F1483" s="9"/>
      <c r="G1483" s="5"/>
      <c r="H1483" s="16"/>
      <c r="I1483" s="69"/>
      <c r="J1483" s="70"/>
      <c r="K1483" s="71"/>
      <c r="L1483" s="71"/>
      <c r="M1483" s="5"/>
    </row>
    <row r="1484" spans="1:13" s="3" customFormat="1">
      <c r="A1484" s="1"/>
      <c r="B1484" s="8"/>
      <c r="C1484" s="5"/>
      <c r="D1484" s="12"/>
      <c r="E1484" s="23"/>
      <c r="F1484" s="9"/>
      <c r="G1484" s="5"/>
      <c r="H1484" s="16"/>
      <c r="I1484" s="69"/>
      <c r="J1484" s="70"/>
      <c r="K1484" s="71"/>
      <c r="L1484" s="71"/>
      <c r="M1484" s="5"/>
    </row>
    <row r="1485" spans="1:13" s="3" customFormat="1">
      <c r="A1485" s="1"/>
      <c r="B1485" s="8"/>
      <c r="C1485" s="5"/>
      <c r="D1485" s="12"/>
      <c r="E1485" s="23"/>
      <c r="F1485" s="9"/>
      <c r="G1485" s="5"/>
      <c r="H1485" s="16"/>
      <c r="I1485" s="69"/>
      <c r="J1485" s="70"/>
      <c r="K1485" s="71"/>
      <c r="L1485" s="71"/>
      <c r="M1485" s="5"/>
    </row>
    <row r="1486" spans="1:13" s="3" customFormat="1">
      <c r="A1486" s="1"/>
      <c r="B1486" s="8"/>
      <c r="C1486" s="5"/>
      <c r="D1486" s="12"/>
      <c r="E1486" s="23"/>
      <c r="F1486" s="9"/>
      <c r="G1486" s="5"/>
      <c r="H1486" s="16"/>
      <c r="I1486" s="69"/>
      <c r="J1486" s="70"/>
      <c r="K1486" s="71"/>
      <c r="L1486" s="71"/>
      <c r="M1486" s="5"/>
    </row>
    <row r="1487" spans="1:13" s="3" customFormat="1">
      <c r="A1487" s="1"/>
      <c r="B1487" s="8"/>
      <c r="C1487" s="5"/>
      <c r="D1487" s="12"/>
      <c r="E1487" s="23"/>
      <c r="F1487" s="9"/>
      <c r="G1487" s="5"/>
      <c r="H1487" s="16"/>
      <c r="I1487" s="69"/>
      <c r="J1487" s="70"/>
      <c r="K1487" s="71"/>
      <c r="L1487" s="71"/>
      <c r="M1487" s="5"/>
    </row>
    <row r="1488" spans="1:13" s="3" customFormat="1">
      <c r="A1488" s="1"/>
      <c r="B1488" s="8"/>
      <c r="C1488" s="5"/>
      <c r="D1488" s="12"/>
      <c r="E1488" s="23"/>
      <c r="F1488" s="9"/>
      <c r="G1488" s="5"/>
      <c r="H1488" s="16"/>
      <c r="I1488" s="69"/>
      <c r="J1488" s="70"/>
      <c r="K1488" s="71"/>
      <c r="L1488" s="71"/>
      <c r="M1488" s="5"/>
    </row>
    <row r="1489" spans="1:13" s="3" customFormat="1">
      <c r="A1489" s="1"/>
      <c r="B1489" s="8"/>
      <c r="C1489" s="5"/>
      <c r="D1489" s="12"/>
      <c r="E1489" s="23"/>
      <c r="F1489" s="9"/>
      <c r="G1489" s="5"/>
      <c r="H1489" s="16"/>
      <c r="I1489" s="69"/>
      <c r="J1489" s="70"/>
      <c r="K1489" s="71"/>
      <c r="L1489" s="71"/>
      <c r="M1489" s="5"/>
    </row>
    <row r="1490" spans="1:13" s="3" customFormat="1">
      <c r="A1490" s="1"/>
      <c r="B1490" s="8"/>
      <c r="C1490" s="5"/>
      <c r="D1490" s="12"/>
      <c r="E1490" s="23"/>
      <c r="F1490" s="9"/>
      <c r="G1490" s="5"/>
      <c r="H1490" s="16"/>
      <c r="I1490" s="69"/>
      <c r="J1490" s="70"/>
      <c r="K1490" s="71"/>
      <c r="L1490" s="71"/>
      <c r="M1490" s="5"/>
    </row>
    <row r="1491" spans="1:13" s="3" customFormat="1">
      <c r="A1491" s="1"/>
      <c r="B1491" s="8"/>
      <c r="C1491" s="5"/>
      <c r="D1491" s="12"/>
      <c r="E1491" s="23"/>
      <c r="F1491" s="9"/>
      <c r="G1491" s="5"/>
      <c r="H1491" s="16"/>
      <c r="I1491" s="69"/>
      <c r="J1491" s="70"/>
      <c r="K1491" s="71"/>
      <c r="L1491" s="71"/>
      <c r="M1491" s="5"/>
    </row>
    <row r="1492" spans="1:13" s="3" customFormat="1">
      <c r="A1492" s="1"/>
      <c r="B1492" s="8"/>
      <c r="C1492" s="5"/>
      <c r="D1492" s="12"/>
      <c r="E1492" s="23"/>
      <c r="F1492" s="9"/>
      <c r="G1492" s="5"/>
      <c r="H1492" s="16"/>
      <c r="I1492" s="69"/>
      <c r="J1492" s="70"/>
      <c r="K1492" s="71"/>
      <c r="L1492" s="71"/>
      <c r="M1492" s="5"/>
    </row>
    <row r="1493" spans="1:13" s="3" customFormat="1">
      <c r="A1493" s="1"/>
      <c r="B1493" s="8"/>
      <c r="C1493" s="5"/>
      <c r="D1493" s="12"/>
      <c r="E1493" s="23"/>
      <c r="F1493" s="9"/>
      <c r="G1493" s="5"/>
      <c r="H1493" s="16"/>
      <c r="I1493" s="69"/>
      <c r="J1493" s="70"/>
      <c r="K1493" s="71"/>
      <c r="L1493" s="71"/>
      <c r="M1493" s="5"/>
    </row>
    <row r="1494" spans="1:13" s="3" customFormat="1">
      <c r="A1494" s="1"/>
      <c r="B1494" s="8"/>
      <c r="C1494" s="5"/>
      <c r="D1494" s="12"/>
      <c r="E1494" s="23"/>
      <c r="F1494" s="9"/>
      <c r="G1494" s="5"/>
      <c r="H1494" s="16"/>
      <c r="I1494" s="69"/>
      <c r="J1494" s="70"/>
      <c r="K1494" s="71"/>
      <c r="L1494" s="71"/>
      <c r="M1494" s="5"/>
    </row>
    <row r="1495" spans="1:13" s="3" customFormat="1">
      <c r="A1495" s="1"/>
      <c r="B1495" s="8"/>
      <c r="C1495" s="5"/>
      <c r="D1495" s="12"/>
      <c r="E1495" s="23"/>
      <c r="F1495" s="9"/>
      <c r="G1495" s="5"/>
      <c r="H1495" s="16"/>
      <c r="I1495" s="69"/>
      <c r="J1495" s="70"/>
      <c r="K1495" s="71"/>
      <c r="L1495" s="71"/>
      <c r="M1495" s="5"/>
    </row>
    <row r="1496" spans="1:13" s="3" customFormat="1">
      <c r="A1496" s="1"/>
      <c r="B1496" s="8"/>
      <c r="C1496" s="5"/>
      <c r="D1496" s="12"/>
      <c r="E1496" s="23"/>
      <c r="F1496" s="9"/>
      <c r="G1496" s="5"/>
      <c r="H1496" s="16"/>
      <c r="I1496" s="69"/>
      <c r="J1496" s="70"/>
      <c r="K1496" s="71"/>
      <c r="L1496" s="71"/>
      <c r="M1496" s="5"/>
    </row>
    <row r="1497" spans="1:13" s="3" customFormat="1">
      <c r="A1497" s="1"/>
      <c r="B1497" s="8"/>
      <c r="C1497" s="5"/>
      <c r="D1497" s="12"/>
      <c r="E1497" s="23"/>
      <c r="F1497" s="9"/>
      <c r="G1497" s="5"/>
      <c r="H1497" s="16"/>
      <c r="I1497" s="69"/>
      <c r="J1497" s="70"/>
      <c r="K1497" s="71"/>
      <c r="L1497" s="71"/>
      <c r="M1497" s="5"/>
    </row>
    <row r="1498" spans="1:13" s="3" customFormat="1">
      <c r="A1498" s="1"/>
      <c r="B1498" s="8"/>
      <c r="C1498" s="5"/>
      <c r="D1498" s="12"/>
      <c r="E1498" s="23"/>
      <c r="F1498" s="9"/>
      <c r="G1498" s="5"/>
      <c r="H1498" s="16"/>
      <c r="I1498" s="69"/>
      <c r="J1498" s="70"/>
      <c r="K1498" s="71"/>
      <c r="L1498" s="71"/>
      <c r="M1498" s="5"/>
    </row>
    <row r="1499" spans="1:13" s="3" customFormat="1">
      <c r="A1499" s="1"/>
      <c r="B1499" s="8"/>
      <c r="C1499" s="5"/>
      <c r="D1499" s="12"/>
      <c r="E1499" s="23"/>
      <c r="F1499" s="9"/>
      <c r="G1499" s="5"/>
      <c r="H1499" s="16"/>
      <c r="I1499" s="69"/>
      <c r="J1499" s="70"/>
      <c r="K1499" s="71"/>
      <c r="L1499" s="71"/>
      <c r="M1499" s="5"/>
    </row>
    <row r="1500" spans="1:13" s="3" customFormat="1">
      <c r="A1500" s="1"/>
      <c r="B1500" s="8"/>
      <c r="C1500" s="5"/>
      <c r="D1500" s="12"/>
      <c r="E1500" s="23"/>
      <c r="F1500" s="9"/>
      <c r="G1500" s="5"/>
      <c r="H1500" s="16"/>
      <c r="I1500" s="69"/>
      <c r="J1500" s="70"/>
      <c r="K1500" s="71"/>
      <c r="L1500" s="71"/>
      <c r="M1500" s="5"/>
    </row>
    <row r="1501" spans="1:13" s="3" customFormat="1">
      <c r="A1501" s="1"/>
      <c r="B1501" s="8"/>
      <c r="C1501" s="5"/>
      <c r="D1501" s="12"/>
      <c r="E1501" s="23"/>
      <c r="F1501" s="9"/>
      <c r="G1501" s="5"/>
      <c r="H1501" s="16"/>
      <c r="I1501" s="69"/>
      <c r="J1501" s="70"/>
      <c r="K1501" s="71"/>
      <c r="L1501" s="71"/>
      <c r="M1501" s="5"/>
    </row>
    <row r="1502" spans="1:13" s="3" customFormat="1">
      <c r="A1502" s="1"/>
      <c r="B1502" s="8"/>
      <c r="C1502" s="5"/>
      <c r="D1502" s="12"/>
      <c r="E1502" s="23"/>
      <c r="F1502" s="9"/>
      <c r="G1502" s="5"/>
      <c r="H1502" s="16"/>
      <c r="I1502" s="69"/>
      <c r="J1502" s="70"/>
      <c r="K1502" s="71"/>
      <c r="L1502" s="71"/>
      <c r="M1502" s="5"/>
    </row>
    <row r="1503" spans="1:13" s="3" customFormat="1">
      <c r="A1503" s="1"/>
      <c r="B1503" s="8"/>
      <c r="C1503" s="5"/>
      <c r="D1503" s="12"/>
      <c r="E1503" s="23"/>
      <c r="F1503" s="9"/>
      <c r="G1503" s="5"/>
      <c r="H1503" s="16"/>
      <c r="I1503" s="69"/>
      <c r="J1503" s="70"/>
      <c r="K1503" s="71"/>
      <c r="L1503" s="71"/>
      <c r="M1503" s="5"/>
    </row>
    <row r="1504" spans="1:13" s="3" customFormat="1">
      <c r="A1504" s="1"/>
      <c r="B1504" s="8"/>
      <c r="C1504" s="5"/>
      <c r="D1504" s="12"/>
      <c r="E1504" s="23"/>
      <c r="F1504" s="9"/>
      <c r="G1504" s="5"/>
      <c r="H1504" s="16"/>
      <c r="I1504" s="69"/>
      <c r="J1504" s="70"/>
      <c r="K1504" s="71"/>
      <c r="L1504" s="71"/>
      <c r="M1504" s="5"/>
    </row>
    <row r="1505" spans="1:13" s="3" customFormat="1">
      <c r="A1505" s="1"/>
      <c r="B1505" s="8"/>
      <c r="C1505" s="5"/>
      <c r="D1505" s="12"/>
      <c r="E1505" s="23"/>
      <c r="F1505" s="9"/>
      <c r="G1505" s="5"/>
      <c r="H1505" s="16"/>
      <c r="I1505" s="69"/>
      <c r="J1505" s="70"/>
      <c r="K1505" s="71"/>
      <c r="L1505" s="71"/>
      <c r="M1505" s="5"/>
    </row>
    <row r="1506" spans="1:13" s="3" customFormat="1">
      <c r="A1506" s="1"/>
      <c r="B1506" s="8"/>
      <c r="C1506" s="5"/>
      <c r="D1506" s="12"/>
      <c r="E1506" s="23"/>
      <c r="F1506" s="9"/>
      <c r="G1506" s="5"/>
      <c r="H1506" s="16"/>
      <c r="I1506" s="69"/>
      <c r="J1506" s="70"/>
      <c r="K1506" s="71"/>
      <c r="L1506" s="71"/>
      <c r="M1506" s="5"/>
    </row>
    <row r="1507" spans="1:13" s="3" customFormat="1">
      <c r="A1507" s="1"/>
      <c r="B1507" s="8"/>
      <c r="C1507" s="5"/>
      <c r="D1507" s="12"/>
      <c r="E1507" s="23"/>
      <c r="F1507" s="9"/>
      <c r="G1507" s="5"/>
      <c r="H1507" s="16"/>
      <c r="I1507" s="69"/>
      <c r="J1507" s="70"/>
      <c r="K1507" s="71"/>
      <c r="L1507" s="71"/>
      <c r="M1507" s="5"/>
    </row>
    <row r="1508" spans="1:13" s="3" customFormat="1">
      <c r="A1508" s="1"/>
      <c r="B1508" s="8"/>
      <c r="C1508" s="5"/>
      <c r="D1508" s="12"/>
      <c r="E1508" s="23"/>
      <c r="F1508" s="9"/>
      <c r="G1508" s="5"/>
      <c r="H1508" s="16"/>
      <c r="I1508" s="69"/>
      <c r="J1508" s="70"/>
      <c r="K1508" s="71"/>
      <c r="L1508" s="71"/>
      <c r="M1508" s="5"/>
    </row>
    <row r="1509" spans="1:13" s="3" customFormat="1">
      <c r="A1509" s="1"/>
      <c r="B1509" s="8"/>
      <c r="C1509" s="5"/>
      <c r="D1509" s="12"/>
      <c r="E1509" s="23"/>
      <c r="F1509" s="9"/>
      <c r="G1509" s="5"/>
      <c r="H1509" s="16"/>
      <c r="I1509" s="69"/>
      <c r="J1509" s="70"/>
      <c r="K1509" s="71"/>
      <c r="L1509" s="71"/>
      <c r="M1509" s="5"/>
    </row>
    <row r="1510" spans="1:13" s="3" customFormat="1">
      <c r="A1510" s="1"/>
      <c r="B1510" s="8"/>
      <c r="C1510" s="5"/>
      <c r="D1510" s="12"/>
      <c r="E1510" s="23"/>
      <c r="F1510" s="9"/>
      <c r="G1510" s="5"/>
      <c r="H1510" s="16"/>
      <c r="I1510" s="69"/>
      <c r="J1510" s="70"/>
      <c r="K1510" s="71"/>
      <c r="L1510" s="71"/>
      <c r="M1510" s="5"/>
    </row>
    <row r="1511" spans="1:13" s="3" customFormat="1">
      <c r="A1511" s="1"/>
      <c r="B1511" s="8"/>
      <c r="C1511" s="5"/>
      <c r="D1511" s="12"/>
      <c r="E1511" s="23"/>
      <c r="F1511" s="9"/>
      <c r="G1511" s="5"/>
      <c r="H1511" s="16"/>
      <c r="I1511" s="69"/>
      <c r="J1511" s="70"/>
      <c r="K1511" s="71"/>
      <c r="L1511" s="71"/>
      <c r="M1511" s="5"/>
    </row>
    <row r="1512" spans="1:13" s="3" customFormat="1">
      <c r="A1512" s="1"/>
      <c r="B1512" s="8"/>
      <c r="C1512" s="5"/>
      <c r="D1512" s="12"/>
      <c r="E1512" s="23"/>
      <c r="F1512" s="9"/>
      <c r="G1512" s="5"/>
      <c r="H1512" s="16"/>
      <c r="I1512" s="69"/>
      <c r="J1512" s="70"/>
      <c r="K1512" s="71"/>
      <c r="L1512" s="71"/>
      <c r="M1512" s="5"/>
    </row>
    <row r="1513" spans="1:13" s="3" customFormat="1">
      <c r="A1513" s="1"/>
      <c r="B1513" s="8"/>
      <c r="C1513" s="5"/>
      <c r="D1513" s="12"/>
      <c r="E1513" s="23"/>
      <c r="F1513" s="9"/>
      <c r="G1513" s="5"/>
      <c r="H1513" s="16"/>
      <c r="I1513" s="69"/>
      <c r="J1513" s="70"/>
      <c r="K1513" s="71"/>
      <c r="L1513" s="71"/>
      <c r="M1513" s="5"/>
    </row>
    <row r="1514" spans="1:13" s="3" customFormat="1">
      <c r="A1514" s="1"/>
      <c r="B1514" s="8"/>
      <c r="C1514" s="5"/>
      <c r="D1514" s="12"/>
      <c r="E1514" s="23"/>
      <c r="F1514" s="9"/>
      <c r="G1514" s="5"/>
      <c r="H1514" s="16"/>
      <c r="I1514" s="69"/>
      <c r="J1514" s="70"/>
      <c r="K1514" s="71"/>
      <c r="L1514" s="71"/>
      <c r="M1514" s="5"/>
    </row>
    <row r="1515" spans="1:13" s="3" customFormat="1">
      <c r="A1515" s="1"/>
      <c r="B1515" s="8"/>
      <c r="C1515" s="5"/>
      <c r="D1515" s="12"/>
      <c r="E1515" s="23"/>
      <c r="F1515" s="9"/>
      <c r="G1515" s="5"/>
      <c r="H1515" s="16"/>
      <c r="I1515" s="69"/>
      <c r="J1515" s="70"/>
      <c r="K1515" s="71"/>
      <c r="L1515" s="71"/>
      <c r="M1515" s="5"/>
    </row>
    <row r="1516" spans="1:13" s="3" customFormat="1">
      <c r="A1516" s="1"/>
      <c r="B1516" s="8"/>
      <c r="C1516" s="5"/>
      <c r="D1516" s="12"/>
      <c r="E1516" s="23"/>
      <c r="F1516" s="9"/>
      <c r="G1516" s="5"/>
      <c r="H1516" s="16"/>
      <c r="I1516" s="69"/>
      <c r="J1516" s="70"/>
      <c r="K1516" s="71"/>
      <c r="L1516" s="71"/>
      <c r="M1516" s="5"/>
    </row>
    <row r="1517" spans="1:13" s="3" customFormat="1">
      <c r="A1517" s="1"/>
      <c r="B1517" s="8"/>
      <c r="C1517" s="5"/>
      <c r="D1517" s="12"/>
      <c r="E1517" s="23"/>
      <c r="F1517" s="9"/>
      <c r="G1517" s="5"/>
      <c r="H1517" s="16"/>
      <c r="I1517" s="69"/>
      <c r="J1517" s="70"/>
      <c r="K1517" s="71"/>
      <c r="L1517" s="71"/>
      <c r="M1517" s="5"/>
    </row>
    <row r="1518" spans="1:13" s="3" customFormat="1">
      <c r="A1518" s="1"/>
      <c r="B1518" s="8"/>
      <c r="C1518" s="5"/>
      <c r="D1518" s="12"/>
      <c r="E1518" s="23"/>
      <c r="F1518" s="9"/>
      <c r="G1518" s="5"/>
      <c r="H1518" s="16"/>
      <c r="I1518" s="69"/>
      <c r="J1518" s="70"/>
      <c r="K1518" s="71"/>
      <c r="L1518" s="71"/>
      <c r="M1518" s="5"/>
    </row>
    <row r="1519" spans="1:13" s="3" customFormat="1">
      <c r="A1519" s="1"/>
      <c r="B1519" s="8"/>
      <c r="C1519" s="5"/>
      <c r="D1519" s="12"/>
      <c r="E1519" s="23"/>
      <c r="F1519" s="9"/>
      <c r="G1519" s="5"/>
      <c r="H1519" s="16"/>
      <c r="I1519" s="69"/>
      <c r="J1519" s="70"/>
      <c r="K1519" s="71"/>
      <c r="L1519" s="71"/>
      <c r="M1519" s="5"/>
    </row>
    <row r="1520" spans="1:13" s="3" customFormat="1">
      <c r="A1520" s="1"/>
      <c r="B1520" s="8"/>
      <c r="C1520" s="5"/>
      <c r="D1520" s="12"/>
      <c r="E1520" s="23"/>
      <c r="F1520" s="9"/>
      <c r="G1520" s="5"/>
      <c r="H1520" s="16"/>
      <c r="I1520" s="69"/>
      <c r="J1520" s="70"/>
      <c r="K1520" s="71"/>
      <c r="L1520" s="71"/>
      <c r="M1520" s="5"/>
    </row>
    <row r="1521" spans="1:13" s="3" customFormat="1">
      <c r="A1521" s="1"/>
      <c r="B1521" s="8"/>
      <c r="C1521" s="5"/>
      <c r="D1521" s="12"/>
      <c r="E1521" s="23"/>
      <c r="F1521" s="9"/>
      <c r="G1521" s="5"/>
      <c r="H1521" s="16"/>
      <c r="I1521" s="69"/>
      <c r="J1521" s="70"/>
      <c r="K1521" s="71"/>
      <c r="L1521" s="71"/>
      <c r="M1521" s="5"/>
    </row>
    <row r="1522" spans="1:13" s="3" customFormat="1">
      <c r="A1522" s="1"/>
      <c r="B1522" s="8"/>
      <c r="C1522" s="5"/>
      <c r="D1522" s="12"/>
      <c r="E1522" s="23"/>
      <c r="F1522" s="9"/>
      <c r="G1522" s="5"/>
      <c r="H1522" s="16"/>
      <c r="I1522" s="69"/>
      <c r="J1522" s="70"/>
      <c r="K1522" s="71"/>
      <c r="L1522" s="71"/>
      <c r="M1522" s="5"/>
    </row>
    <row r="1523" spans="1:13" s="3" customFormat="1">
      <c r="A1523" s="1"/>
      <c r="B1523" s="8"/>
      <c r="C1523" s="5"/>
      <c r="D1523" s="12"/>
      <c r="E1523" s="23"/>
      <c r="F1523" s="9"/>
      <c r="G1523" s="5"/>
      <c r="H1523" s="16"/>
      <c r="I1523" s="69"/>
      <c r="J1523" s="70"/>
      <c r="K1523" s="71"/>
      <c r="L1523" s="71"/>
      <c r="M1523" s="5"/>
    </row>
    <row r="1524" spans="1:13" s="3" customFormat="1">
      <c r="A1524" s="1"/>
      <c r="B1524" s="8"/>
      <c r="C1524" s="5"/>
      <c r="D1524" s="12"/>
      <c r="E1524" s="23"/>
      <c r="F1524" s="9"/>
      <c r="G1524" s="5"/>
      <c r="H1524" s="16"/>
      <c r="I1524" s="69"/>
      <c r="J1524" s="70"/>
      <c r="K1524" s="71"/>
      <c r="L1524" s="71"/>
      <c r="M1524" s="5"/>
    </row>
    <row r="1525" spans="1:13" s="3" customFormat="1">
      <c r="A1525" s="1"/>
      <c r="B1525" s="8"/>
      <c r="C1525" s="5"/>
      <c r="D1525" s="12"/>
      <c r="E1525" s="23"/>
      <c r="F1525" s="9"/>
      <c r="G1525" s="5"/>
      <c r="H1525" s="16"/>
      <c r="I1525" s="69"/>
      <c r="J1525" s="70"/>
      <c r="K1525" s="71"/>
      <c r="L1525" s="71"/>
      <c r="M1525" s="5"/>
    </row>
    <row r="1526" spans="1:13" s="3" customFormat="1">
      <c r="A1526" s="1"/>
      <c r="B1526" s="8"/>
      <c r="C1526" s="5"/>
      <c r="D1526" s="12"/>
      <c r="E1526" s="23"/>
      <c r="F1526" s="9"/>
      <c r="G1526" s="5"/>
      <c r="H1526" s="16"/>
      <c r="I1526" s="69"/>
      <c r="J1526" s="70"/>
      <c r="K1526" s="71"/>
      <c r="L1526" s="71"/>
      <c r="M1526" s="5"/>
    </row>
    <row r="1527" spans="1:13" s="3" customFormat="1">
      <c r="A1527" s="1"/>
      <c r="B1527" s="8"/>
      <c r="C1527" s="5"/>
      <c r="D1527" s="12"/>
      <c r="E1527" s="23"/>
      <c r="F1527" s="9"/>
      <c r="G1527" s="5"/>
      <c r="H1527" s="16"/>
      <c r="I1527" s="69"/>
      <c r="J1527" s="70"/>
      <c r="K1527" s="71"/>
      <c r="L1527" s="71"/>
      <c r="M1527" s="5"/>
    </row>
    <row r="1528" spans="1:13" s="3" customFormat="1">
      <c r="A1528" s="1"/>
      <c r="B1528" s="8"/>
      <c r="C1528" s="5"/>
      <c r="D1528" s="12"/>
      <c r="E1528" s="23"/>
      <c r="F1528" s="9"/>
      <c r="G1528" s="5"/>
      <c r="H1528" s="16"/>
      <c r="I1528" s="69"/>
      <c r="J1528" s="70"/>
      <c r="K1528" s="71"/>
      <c r="L1528" s="71"/>
      <c r="M1528" s="5"/>
    </row>
    <row r="1529" spans="1:13" s="3" customFormat="1">
      <c r="A1529" s="1"/>
      <c r="B1529" s="8"/>
      <c r="C1529" s="5"/>
      <c r="D1529" s="12"/>
      <c r="E1529" s="23"/>
      <c r="F1529" s="9"/>
      <c r="G1529" s="5"/>
      <c r="H1529" s="16"/>
      <c r="I1529" s="69"/>
      <c r="J1529" s="70"/>
      <c r="K1529" s="71"/>
      <c r="L1529" s="71"/>
      <c r="M1529" s="5"/>
    </row>
    <row r="1530" spans="1:13" s="3" customFormat="1">
      <c r="A1530" s="1"/>
      <c r="B1530" s="8"/>
      <c r="C1530" s="5"/>
      <c r="D1530" s="12"/>
      <c r="E1530" s="23"/>
      <c r="F1530" s="9"/>
      <c r="G1530" s="5"/>
      <c r="H1530" s="16"/>
      <c r="I1530" s="69"/>
      <c r="J1530" s="70"/>
      <c r="K1530" s="71"/>
      <c r="L1530" s="71"/>
      <c r="M1530" s="5"/>
    </row>
    <row r="1531" spans="1:13" s="3" customFormat="1">
      <c r="A1531" s="1"/>
      <c r="B1531" s="8"/>
      <c r="C1531" s="5"/>
      <c r="D1531" s="12"/>
      <c r="E1531" s="23"/>
      <c r="F1531" s="9"/>
      <c r="G1531" s="5"/>
      <c r="H1531" s="16"/>
      <c r="I1531" s="69"/>
      <c r="J1531" s="70"/>
      <c r="K1531" s="71"/>
      <c r="L1531" s="71"/>
      <c r="M1531" s="5"/>
    </row>
    <row r="1532" spans="1:13" s="3" customFormat="1">
      <c r="A1532" s="1"/>
      <c r="B1532" s="8"/>
      <c r="C1532" s="5"/>
      <c r="D1532" s="12"/>
      <c r="E1532" s="23"/>
      <c r="F1532" s="9"/>
      <c r="G1532" s="5"/>
      <c r="H1532" s="16"/>
      <c r="I1532" s="69"/>
      <c r="J1532" s="70"/>
      <c r="K1532" s="71"/>
      <c r="L1532" s="71"/>
      <c r="M1532" s="5"/>
    </row>
    <row r="1533" spans="1:13" s="3" customFormat="1">
      <c r="A1533" s="1"/>
      <c r="B1533" s="8"/>
      <c r="C1533" s="5"/>
      <c r="D1533" s="12"/>
      <c r="E1533" s="23"/>
      <c r="F1533" s="9"/>
      <c r="G1533" s="5"/>
      <c r="H1533" s="16"/>
      <c r="I1533" s="69"/>
      <c r="J1533" s="70"/>
      <c r="K1533" s="71"/>
      <c r="L1533" s="71"/>
      <c r="M1533" s="5"/>
    </row>
    <row r="1534" spans="1:13" s="3" customFormat="1">
      <c r="A1534" s="1"/>
      <c r="B1534" s="8"/>
      <c r="C1534" s="5"/>
      <c r="D1534" s="12"/>
      <c r="E1534" s="23"/>
      <c r="F1534" s="9"/>
      <c r="G1534" s="5"/>
      <c r="H1534" s="16"/>
      <c r="I1534" s="69"/>
      <c r="J1534" s="70"/>
      <c r="K1534" s="71"/>
      <c r="L1534" s="71"/>
      <c r="M1534" s="5"/>
    </row>
    <row r="1535" spans="1:13" s="3" customFormat="1">
      <c r="A1535" s="1"/>
      <c r="B1535" s="8"/>
      <c r="C1535" s="5"/>
      <c r="D1535" s="12"/>
      <c r="E1535" s="23"/>
      <c r="F1535" s="9"/>
      <c r="G1535" s="5"/>
      <c r="H1535" s="16"/>
      <c r="I1535" s="69"/>
      <c r="J1535" s="70"/>
      <c r="K1535" s="71"/>
      <c r="L1535" s="71"/>
      <c r="M1535" s="5"/>
    </row>
    <row r="1536" spans="1:13" s="3" customFormat="1">
      <c r="A1536" s="1"/>
      <c r="B1536" s="8"/>
      <c r="C1536" s="5"/>
      <c r="D1536" s="12"/>
      <c r="E1536" s="23"/>
      <c r="F1536" s="9"/>
      <c r="G1536" s="5"/>
      <c r="H1536" s="16"/>
      <c r="I1536" s="69"/>
      <c r="J1536" s="70"/>
      <c r="K1536" s="71"/>
      <c r="L1536" s="71"/>
      <c r="M1536" s="5"/>
    </row>
    <row r="1537" spans="1:13" s="3" customFormat="1">
      <c r="A1537" s="1"/>
      <c r="B1537" s="8"/>
      <c r="C1537" s="5"/>
      <c r="D1537" s="12"/>
      <c r="E1537" s="23"/>
      <c r="F1537" s="9"/>
      <c r="G1537" s="5"/>
      <c r="H1537" s="16"/>
      <c r="I1537" s="69"/>
      <c r="J1537" s="70"/>
      <c r="K1537" s="71"/>
      <c r="L1537" s="71"/>
      <c r="M1537" s="5"/>
    </row>
    <row r="1538" spans="1:13" s="3" customFormat="1">
      <c r="A1538" s="1"/>
      <c r="B1538" s="8"/>
      <c r="C1538" s="5"/>
      <c r="D1538" s="12"/>
      <c r="E1538" s="23"/>
      <c r="F1538" s="9"/>
      <c r="G1538" s="5"/>
      <c r="H1538" s="16"/>
      <c r="I1538" s="69"/>
      <c r="J1538" s="70"/>
      <c r="K1538" s="71"/>
      <c r="L1538" s="71"/>
      <c r="M1538" s="5"/>
    </row>
    <row r="1539" spans="1:13" s="3" customFormat="1">
      <c r="A1539" s="1"/>
      <c r="B1539" s="8"/>
      <c r="C1539" s="5"/>
      <c r="D1539" s="12"/>
      <c r="E1539" s="23"/>
      <c r="F1539" s="9"/>
      <c r="G1539" s="5"/>
      <c r="H1539" s="16"/>
      <c r="I1539" s="69"/>
      <c r="J1539" s="70"/>
      <c r="K1539" s="71"/>
      <c r="L1539" s="71"/>
      <c r="M1539" s="5"/>
    </row>
    <row r="1540" spans="1:13" s="3" customFormat="1">
      <c r="A1540" s="1"/>
      <c r="B1540" s="8"/>
      <c r="C1540" s="5"/>
      <c r="D1540" s="12"/>
      <c r="E1540" s="23"/>
      <c r="F1540" s="9"/>
      <c r="G1540" s="5"/>
      <c r="H1540" s="16"/>
      <c r="I1540" s="69"/>
      <c r="J1540" s="70"/>
      <c r="K1540" s="71"/>
      <c r="L1540" s="71"/>
      <c r="M1540" s="5"/>
    </row>
    <row r="1541" spans="1:13" s="3" customFormat="1">
      <c r="A1541" s="1"/>
      <c r="B1541" s="8"/>
      <c r="C1541" s="5"/>
      <c r="D1541" s="12"/>
      <c r="E1541" s="23"/>
      <c r="F1541" s="9"/>
      <c r="G1541" s="5"/>
      <c r="H1541" s="16"/>
      <c r="I1541" s="69"/>
      <c r="J1541" s="70"/>
      <c r="K1541" s="71"/>
      <c r="L1541" s="71"/>
      <c r="M1541" s="5"/>
    </row>
    <row r="1542" spans="1:13" s="3" customFormat="1">
      <c r="A1542" s="1"/>
      <c r="B1542" s="8"/>
      <c r="C1542" s="5"/>
      <c r="D1542" s="12"/>
      <c r="E1542" s="23"/>
      <c r="F1542" s="9"/>
      <c r="G1542" s="5"/>
      <c r="H1542" s="16"/>
      <c r="I1542" s="69"/>
      <c r="J1542" s="70"/>
      <c r="K1542" s="71"/>
      <c r="L1542" s="71"/>
      <c r="M1542" s="5"/>
    </row>
    <row r="1543" spans="1:13" s="3" customFormat="1">
      <c r="A1543" s="1"/>
      <c r="B1543" s="8"/>
      <c r="C1543" s="5"/>
      <c r="D1543" s="12"/>
      <c r="E1543" s="23"/>
      <c r="F1543" s="9"/>
      <c r="G1543" s="5"/>
      <c r="H1543" s="16"/>
      <c r="I1543" s="69"/>
      <c r="J1543" s="70"/>
      <c r="K1543" s="71"/>
      <c r="L1543" s="71"/>
      <c r="M1543" s="5"/>
    </row>
    <row r="1544" spans="1:13" s="3" customFormat="1">
      <c r="A1544" s="1"/>
      <c r="B1544" s="8"/>
      <c r="C1544" s="5"/>
      <c r="D1544" s="12"/>
      <c r="E1544" s="23"/>
      <c r="F1544" s="9"/>
      <c r="G1544" s="5"/>
      <c r="H1544" s="16"/>
      <c r="I1544" s="69"/>
      <c r="J1544" s="70"/>
      <c r="K1544" s="71"/>
      <c r="L1544" s="71"/>
      <c r="M1544" s="5"/>
    </row>
    <row r="1545" spans="1:13" s="3" customFormat="1">
      <c r="A1545" s="1"/>
      <c r="B1545" s="8"/>
      <c r="C1545" s="5"/>
      <c r="D1545" s="12"/>
      <c r="E1545" s="23"/>
      <c r="F1545" s="9"/>
      <c r="G1545" s="5"/>
      <c r="H1545" s="16"/>
      <c r="I1545" s="69"/>
      <c r="J1545" s="70"/>
      <c r="K1545" s="71"/>
      <c r="L1545" s="71"/>
      <c r="M1545" s="5"/>
    </row>
    <row r="1546" spans="1:13" s="3" customFormat="1">
      <c r="A1546" s="1"/>
      <c r="B1546" s="8"/>
      <c r="C1546" s="5"/>
      <c r="D1546" s="12"/>
      <c r="E1546" s="23"/>
      <c r="F1546" s="9"/>
      <c r="G1546" s="5"/>
      <c r="H1546" s="16"/>
      <c r="I1546" s="69"/>
      <c r="J1546" s="70"/>
      <c r="K1546" s="71"/>
      <c r="L1546" s="71"/>
      <c r="M1546" s="5"/>
    </row>
    <row r="1547" spans="1:13" s="3" customFormat="1">
      <c r="A1547" s="1"/>
      <c r="B1547" s="8"/>
      <c r="C1547" s="5"/>
      <c r="D1547" s="12"/>
      <c r="E1547" s="23"/>
      <c r="F1547" s="9"/>
      <c r="G1547" s="5"/>
      <c r="H1547" s="16"/>
      <c r="I1547" s="69"/>
      <c r="J1547" s="70"/>
      <c r="K1547" s="71"/>
      <c r="L1547" s="71"/>
      <c r="M1547" s="5"/>
    </row>
    <row r="1548" spans="1:13" s="3" customFormat="1">
      <c r="A1548" s="1"/>
      <c r="B1548" s="8"/>
      <c r="C1548" s="5"/>
      <c r="D1548" s="12"/>
      <c r="E1548" s="23"/>
      <c r="F1548" s="9"/>
      <c r="G1548" s="5"/>
      <c r="H1548" s="16"/>
      <c r="I1548" s="69"/>
      <c r="J1548" s="70"/>
      <c r="K1548" s="71"/>
      <c r="L1548" s="71"/>
      <c r="M1548" s="5"/>
    </row>
    <row r="1549" spans="1:13" s="3" customFormat="1">
      <c r="A1549" s="1"/>
      <c r="B1549" s="8"/>
      <c r="C1549" s="5"/>
      <c r="D1549" s="12"/>
      <c r="E1549" s="23"/>
      <c r="F1549" s="9"/>
      <c r="G1549" s="5"/>
      <c r="H1549" s="16"/>
      <c r="I1549" s="69"/>
      <c r="J1549" s="70"/>
      <c r="K1549" s="71"/>
      <c r="L1549" s="71"/>
      <c r="M1549" s="5"/>
    </row>
    <row r="1550" spans="1:13" s="3" customFormat="1">
      <c r="A1550" s="1"/>
      <c r="B1550" s="8"/>
      <c r="C1550" s="5"/>
      <c r="D1550" s="12"/>
      <c r="E1550" s="23"/>
      <c r="F1550" s="9"/>
      <c r="G1550" s="5"/>
      <c r="H1550" s="16"/>
      <c r="I1550" s="69"/>
      <c r="J1550" s="70"/>
      <c r="K1550" s="71"/>
      <c r="L1550" s="71"/>
      <c r="M1550" s="5"/>
    </row>
    <row r="1551" spans="1:13" s="3" customFormat="1">
      <c r="A1551" s="1"/>
      <c r="B1551" s="8"/>
      <c r="C1551" s="5"/>
      <c r="D1551" s="12"/>
      <c r="E1551" s="23"/>
      <c r="F1551" s="9"/>
      <c r="G1551" s="5"/>
      <c r="H1551" s="16"/>
      <c r="I1551" s="69"/>
      <c r="J1551" s="70"/>
      <c r="K1551" s="71"/>
      <c r="L1551" s="71"/>
      <c r="M1551" s="5"/>
    </row>
    <row r="1552" spans="1:13" s="3" customFormat="1">
      <c r="A1552" s="1"/>
      <c r="B1552" s="8"/>
      <c r="C1552" s="5"/>
      <c r="D1552" s="12"/>
      <c r="E1552" s="23"/>
      <c r="F1552" s="9"/>
      <c r="G1552" s="5"/>
      <c r="H1552" s="16"/>
      <c r="I1552" s="69"/>
      <c r="J1552" s="70"/>
      <c r="K1552" s="71"/>
      <c r="L1552" s="71"/>
      <c r="M1552" s="5"/>
    </row>
    <row r="1553" spans="1:13" s="3" customFormat="1">
      <c r="A1553" s="1"/>
      <c r="B1553" s="8"/>
      <c r="C1553" s="5"/>
      <c r="D1553" s="12"/>
      <c r="E1553" s="23"/>
      <c r="F1553" s="9"/>
      <c r="G1553" s="5"/>
      <c r="H1553" s="16"/>
      <c r="I1553" s="69"/>
      <c r="J1553" s="70"/>
      <c r="K1553" s="71"/>
      <c r="L1553" s="71"/>
      <c r="M1553" s="5"/>
    </row>
    <row r="1554" spans="1:13" s="3" customFormat="1">
      <c r="A1554" s="1"/>
      <c r="B1554" s="8"/>
      <c r="C1554" s="5"/>
      <c r="D1554" s="12"/>
      <c r="E1554" s="23"/>
      <c r="F1554" s="9"/>
      <c r="G1554" s="5"/>
      <c r="H1554" s="16"/>
      <c r="I1554" s="69"/>
      <c r="J1554" s="70"/>
      <c r="K1554" s="71"/>
      <c r="L1554" s="71"/>
      <c r="M1554" s="5"/>
    </row>
    <row r="1555" spans="1:13" s="3" customFormat="1">
      <c r="A1555" s="1"/>
      <c r="B1555" s="8"/>
      <c r="C1555" s="5"/>
      <c r="D1555" s="12"/>
      <c r="E1555" s="23"/>
      <c r="F1555" s="9"/>
      <c r="G1555" s="5"/>
      <c r="H1555" s="16"/>
      <c r="I1555" s="69"/>
      <c r="J1555" s="70"/>
      <c r="K1555" s="71"/>
      <c r="L1555" s="71"/>
      <c r="M1555" s="5"/>
    </row>
    <row r="1556" spans="1:13" s="3" customFormat="1">
      <c r="A1556" s="1"/>
      <c r="B1556" s="8"/>
      <c r="C1556" s="5"/>
      <c r="D1556" s="12"/>
      <c r="E1556" s="23"/>
      <c r="F1556" s="9"/>
      <c r="G1556" s="5"/>
      <c r="H1556" s="16"/>
      <c r="I1556" s="69"/>
      <c r="J1556" s="70"/>
      <c r="K1556" s="71"/>
      <c r="L1556" s="71"/>
      <c r="M1556" s="5"/>
    </row>
    <row r="1557" spans="1:13" s="3" customFormat="1">
      <c r="A1557" s="1"/>
      <c r="B1557" s="8"/>
      <c r="C1557" s="5"/>
      <c r="D1557" s="12"/>
      <c r="E1557" s="23"/>
      <c r="F1557" s="9"/>
      <c r="G1557" s="5"/>
      <c r="H1557" s="16"/>
      <c r="I1557" s="69"/>
      <c r="J1557" s="70"/>
      <c r="K1557" s="71"/>
      <c r="L1557" s="71"/>
      <c r="M1557" s="5"/>
    </row>
    <row r="1558" spans="1:13" s="3" customFormat="1">
      <c r="A1558" s="1"/>
      <c r="B1558" s="8"/>
      <c r="C1558" s="5"/>
      <c r="D1558" s="12"/>
      <c r="E1558" s="23"/>
      <c r="F1558" s="9"/>
      <c r="G1558" s="5"/>
      <c r="H1558" s="16"/>
      <c r="I1558" s="69"/>
      <c r="J1558" s="70"/>
      <c r="K1558" s="71"/>
      <c r="L1558" s="71"/>
      <c r="M1558" s="5"/>
    </row>
    <row r="1559" spans="1:13" s="3" customFormat="1">
      <c r="A1559" s="1"/>
      <c r="B1559" s="8"/>
      <c r="C1559" s="5"/>
      <c r="D1559" s="12"/>
      <c r="E1559" s="23"/>
      <c r="F1559" s="9"/>
      <c r="G1559" s="5"/>
      <c r="H1559" s="16"/>
      <c r="I1559" s="69"/>
      <c r="J1559" s="70"/>
      <c r="K1559" s="71"/>
      <c r="L1559" s="71"/>
      <c r="M1559" s="5"/>
    </row>
    <row r="1560" spans="1:13" s="3" customFormat="1">
      <c r="A1560" s="1"/>
      <c r="B1560" s="8"/>
      <c r="C1560" s="5"/>
      <c r="D1560" s="12"/>
      <c r="E1560" s="23"/>
      <c r="F1560" s="9"/>
      <c r="G1560" s="5"/>
      <c r="H1560" s="16"/>
      <c r="I1560" s="69"/>
      <c r="J1560" s="70"/>
      <c r="K1560" s="71"/>
      <c r="L1560" s="71"/>
      <c r="M1560" s="5"/>
    </row>
    <row r="1561" spans="1:13" s="3" customFormat="1">
      <c r="A1561" s="1"/>
      <c r="B1561" s="8"/>
      <c r="C1561" s="5"/>
      <c r="D1561" s="12"/>
      <c r="E1561" s="23"/>
      <c r="F1561" s="9"/>
      <c r="G1561" s="5"/>
      <c r="H1561" s="16"/>
      <c r="I1561" s="69"/>
      <c r="J1561" s="70"/>
      <c r="K1561" s="71"/>
      <c r="L1561" s="71"/>
      <c r="M1561" s="5"/>
    </row>
    <row r="1562" spans="1:13" s="3" customFormat="1">
      <c r="A1562" s="1"/>
      <c r="B1562" s="8"/>
      <c r="C1562" s="5"/>
      <c r="D1562" s="12"/>
      <c r="E1562" s="23"/>
      <c r="F1562" s="9"/>
      <c r="G1562" s="5"/>
      <c r="H1562" s="16"/>
      <c r="I1562" s="69"/>
      <c r="J1562" s="70"/>
      <c r="K1562" s="71"/>
      <c r="L1562" s="71"/>
      <c r="M1562" s="5"/>
    </row>
    <row r="1563" spans="1:13" s="3" customFormat="1">
      <c r="A1563" s="1"/>
      <c r="B1563" s="8"/>
      <c r="C1563" s="5"/>
      <c r="D1563" s="12"/>
      <c r="E1563" s="23"/>
      <c r="F1563" s="9"/>
      <c r="G1563" s="5"/>
      <c r="H1563" s="16"/>
      <c r="I1563" s="69"/>
      <c r="J1563" s="70"/>
      <c r="K1563" s="71"/>
      <c r="L1563" s="71"/>
      <c r="M1563" s="5"/>
    </row>
    <row r="1564" spans="1:13" s="3" customFormat="1">
      <c r="A1564" s="1"/>
      <c r="B1564" s="8"/>
      <c r="C1564" s="5"/>
      <c r="D1564" s="12"/>
      <c r="E1564" s="23"/>
      <c r="F1564" s="9"/>
      <c r="G1564" s="5"/>
      <c r="H1564" s="16"/>
      <c r="I1564" s="69"/>
      <c r="J1564" s="70"/>
      <c r="K1564" s="71"/>
      <c r="L1564" s="71"/>
      <c r="M1564" s="5"/>
    </row>
    <row r="1565" spans="1:13" s="3" customFormat="1">
      <c r="A1565" s="1"/>
      <c r="B1565" s="8"/>
      <c r="C1565" s="5"/>
      <c r="D1565" s="12"/>
      <c r="E1565" s="23"/>
      <c r="F1565" s="9"/>
      <c r="G1565" s="5"/>
      <c r="H1565" s="16"/>
      <c r="I1565" s="69"/>
      <c r="J1565" s="70"/>
      <c r="K1565" s="71"/>
      <c r="L1565" s="71"/>
      <c r="M1565" s="5"/>
    </row>
    <row r="1566" spans="1:13" s="3" customFormat="1">
      <c r="A1566" s="1"/>
      <c r="B1566" s="8"/>
      <c r="C1566" s="5"/>
      <c r="D1566" s="12"/>
      <c r="E1566" s="23"/>
      <c r="F1566" s="9"/>
      <c r="G1566" s="5"/>
      <c r="H1566" s="16"/>
      <c r="I1566" s="69"/>
      <c r="J1566" s="70"/>
      <c r="K1566" s="71"/>
      <c r="L1566" s="71"/>
      <c r="M1566" s="5"/>
    </row>
    <row r="1567" spans="1:13" s="3" customFormat="1">
      <c r="A1567" s="1"/>
      <c r="B1567" s="8"/>
      <c r="C1567" s="5"/>
      <c r="D1567" s="12"/>
      <c r="E1567" s="23"/>
      <c r="F1567" s="9"/>
      <c r="G1567" s="5"/>
      <c r="H1567" s="16"/>
      <c r="I1567" s="69"/>
      <c r="J1567" s="70"/>
      <c r="K1567" s="71"/>
      <c r="L1567" s="71"/>
      <c r="M1567" s="5"/>
    </row>
    <row r="1568" spans="1:13" s="3" customFormat="1">
      <c r="A1568" s="1"/>
      <c r="B1568" s="8"/>
      <c r="C1568" s="5"/>
      <c r="D1568" s="12"/>
      <c r="E1568" s="23"/>
      <c r="F1568" s="9"/>
      <c r="G1568" s="5"/>
      <c r="H1568" s="16"/>
      <c r="I1568" s="69"/>
      <c r="J1568" s="70"/>
      <c r="K1568" s="71"/>
      <c r="L1568" s="71"/>
      <c r="M1568" s="5"/>
    </row>
    <row r="1569" spans="1:13" s="3" customFormat="1">
      <c r="A1569" s="1"/>
      <c r="B1569" s="8"/>
      <c r="C1569" s="5"/>
      <c r="D1569" s="12"/>
      <c r="E1569" s="23"/>
      <c r="F1569" s="9"/>
      <c r="G1569" s="5"/>
      <c r="H1569" s="16"/>
      <c r="I1569" s="69"/>
      <c r="J1569" s="70"/>
      <c r="K1569" s="71"/>
      <c r="L1569" s="71"/>
      <c r="M1569" s="5"/>
    </row>
    <row r="1570" spans="1:13" s="3" customFormat="1">
      <c r="A1570" s="1"/>
      <c r="B1570" s="8"/>
      <c r="C1570" s="5"/>
      <c r="D1570" s="12"/>
      <c r="E1570" s="23"/>
      <c r="F1570" s="9"/>
      <c r="G1570" s="5"/>
      <c r="H1570" s="16"/>
      <c r="I1570" s="69"/>
      <c r="J1570" s="70"/>
      <c r="K1570" s="71"/>
      <c r="L1570" s="71"/>
      <c r="M1570" s="5"/>
    </row>
    <row r="1571" spans="1:13" s="3" customFormat="1">
      <c r="A1571" s="1"/>
      <c r="B1571" s="8"/>
      <c r="C1571" s="5"/>
      <c r="D1571" s="12"/>
      <c r="E1571" s="23"/>
      <c r="F1571" s="9"/>
      <c r="G1571" s="5"/>
      <c r="H1571" s="16"/>
      <c r="I1571" s="69"/>
      <c r="J1571" s="70"/>
      <c r="K1571" s="71"/>
      <c r="L1571" s="71"/>
      <c r="M1571" s="5"/>
    </row>
    <row r="1572" spans="1:13" s="3" customFormat="1">
      <c r="A1572" s="1"/>
      <c r="B1572" s="8"/>
      <c r="C1572" s="5"/>
      <c r="D1572" s="12"/>
      <c r="E1572" s="23"/>
      <c r="F1572" s="9"/>
      <c r="G1572" s="5"/>
      <c r="H1572" s="16"/>
      <c r="I1572" s="69"/>
      <c r="J1572" s="70"/>
      <c r="K1572" s="71"/>
      <c r="L1572" s="71"/>
      <c r="M1572" s="5"/>
    </row>
    <row r="1573" spans="1:13" s="3" customFormat="1">
      <c r="A1573" s="1"/>
      <c r="B1573" s="8"/>
      <c r="C1573" s="5"/>
      <c r="D1573" s="12"/>
      <c r="E1573" s="23"/>
      <c r="F1573" s="9"/>
      <c r="G1573" s="5"/>
      <c r="H1573" s="16"/>
      <c r="I1573" s="69"/>
      <c r="J1573" s="70"/>
      <c r="K1573" s="71"/>
      <c r="L1573" s="71"/>
      <c r="M1573" s="5"/>
    </row>
    <row r="1574" spans="1:13" s="3" customFormat="1">
      <c r="A1574" s="1"/>
      <c r="B1574" s="8"/>
      <c r="C1574" s="5"/>
      <c r="D1574" s="12"/>
      <c r="E1574" s="23"/>
      <c r="F1574" s="9"/>
      <c r="G1574" s="5"/>
      <c r="H1574" s="16"/>
      <c r="I1574" s="69"/>
      <c r="J1574" s="70"/>
      <c r="K1574" s="71"/>
      <c r="L1574" s="71"/>
      <c r="M1574" s="5"/>
    </row>
    <row r="1575" spans="1:13" s="3" customFormat="1">
      <c r="A1575" s="1"/>
      <c r="B1575" s="8"/>
      <c r="C1575" s="5"/>
      <c r="D1575" s="12"/>
      <c r="E1575" s="23"/>
      <c r="F1575" s="9"/>
      <c r="G1575" s="5"/>
      <c r="H1575" s="16"/>
      <c r="I1575" s="69"/>
      <c r="J1575" s="70"/>
      <c r="K1575" s="71"/>
      <c r="L1575" s="71"/>
      <c r="M1575" s="5"/>
    </row>
    <row r="1576" spans="1:13" s="3" customFormat="1">
      <c r="A1576" s="1"/>
      <c r="B1576" s="8"/>
      <c r="C1576" s="5"/>
      <c r="D1576" s="12"/>
      <c r="E1576" s="23"/>
      <c r="F1576" s="9"/>
      <c r="G1576" s="5"/>
      <c r="H1576" s="16"/>
      <c r="I1576" s="69"/>
      <c r="J1576" s="70"/>
      <c r="K1576" s="71"/>
      <c r="L1576" s="71"/>
      <c r="M1576" s="5"/>
    </row>
    <row r="1577" spans="1:13" s="3" customFormat="1">
      <c r="A1577" s="1"/>
      <c r="B1577" s="8"/>
      <c r="C1577" s="5"/>
      <c r="D1577" s="12"/>
      <c r="E1577" s="23"/>
      <c r="F1577" s="9"/>
      <c r="G1577" s="5"/>
      <c r="H1577" s="16"/>
      <c r="I1577" s="69"/>
      <c r="J1577" s="70"/>
      <c r="K1577" s="71"/>
      <c r="L1577" s="71"/>
      <c r="M1577" s="5"/>
    </row>
    <row r="1578" spans="1:13" s="3" customFormat="1">
      <c r="A1578" s="1"/>
      <c r="B1578" s="8"/>
      <c r="C1578" s="5"/>
      <c r="D1578" s="12"/>
      <c r="E1578" s="23"/>
      <c r="F1578" s="9"/>
      <c r="G1578" s="5"/>
      <c r="H1578" s="16"/>
      <c r="I1578" s="69"/>
      <c r="J1578" s="70"/>
      <c r="K1578" s="71"/>
      <c r="L1578" s="71"/>
      <c r="M1578" s="5"/>
    </row>
    <row r="1579" spans="1:13" s="3" customFormat="1">
      <c r="A1579" s="1"/>
      <c r="B1579" s="8"/>
      <c r="C1579" s="5"/>
      <c r="D1579" s="12"/>
      <c r="E1579" s="23"/>
      <c r="F1579" s="9"/>
      <c r="G1579" s="5"/>
      <c r="H1579" s="16"/>
      <c r="I1579" s="69"/>
      <c r="J1579" s="70"/>
      <c r="K1579" s="71"/>
      <c r="L1579" s="71"/>
      <c r="M1579" s="5"/>
    </row>
    <row r="1580" spans="1:13" s="3" customFormat="1">
      <c r="A1580" s="1"/>
      <c r="B1580" s="8"/>
      <c r="C1580" s="5"/>
      <c r="D1580" s="12"/>
      <c r="E1580" s="23"/>
      <c r="F1580" s="9"/>
      <c r="G1580" s="5"/>
      <c r="H1580" s="16"/>
      <c r="I1580" s="69"/>
      <c r="J1580" s="70"/>
      <c r="K1580" s="71"/>
      <c r="L1580" s="71"/>
      <c r="M1580" s="5"/>
    </row>
    <row r="1581" spans="1:13" s="3" customFormat="1">
      <c r="A1581" s="1"/>
      <c r="B1581" s="8"/>
      <c r="C1581" s="5"/>
      <c r="D1581" s="12"/>
      <c r="E1581" s="23"/>
      <c r="F1581" s="9"/>
      <c r="G1581" s="5"/>
      <c r="H1581" s="16"/>
      <c r="I1581" s="69"/>
      <c r="J1581" s="70"/>
      <c r="K1581" s="71"/>
      <c r="L1581" s="71"/>
      <c r="M1581" s="5"/>
    </row>
    <row r="1582" spans="1:13" s="3" customFormat="1">
      <c r="A1582" s="1"/>
      <c r="B1582" s="8"/>
      <c r="C1582" s="5"/>
      <c r="D1582" s="12"/>
      <c r="E1582" s="23"/>
      <c r="F1582" s="9"/>
      <c r="G1582" s="5"/>
      <c r="H1582" s="16"/>
      <c r="I1582" s="69"/>
      <c r="J1582" s="70"/>
      <c r="K1582" s="71"/>
      <c r="L1582" s="71"/>
      <c r="M1582" s="5"/>
    </row>
    <row r="1583" spans="1:13" s="3" customFormat="1">
      <c r="A1583" s="1"/>
      <c r="B1583" s="8"/>
      <c r="C1583" s="5"/>
      <c r="D1583" s="12"/>
      <c r="E1583" s="23"/>
      <c r="F1583" s="9"/>
      <c r="G1583" s="5"/>
      <c r="H1583" s="16"/>
      <c r="I1583" s="69"/>
      <c r="J1583" s="70"/>
      <c r="K1583" s="71"/>
      <c r="L1583" s="71"/>
      <c r="M1583" s="5"/>
    </row>
    <row r="1584" spans="1:13" s="3" customFormat="1">
      <c r="A1584" s="1"/>
      <c r="B1584" s="8"/>
      <c r="C1584" s="5"/>
      <c r="D1584" s="12"/>
      <c r="E1584" s="23"/>
      <c r="F1584" s="9"/>
      <c r="G1584" s="5"/>
      <c r="H1584" s="16"/>
      <c r="I1584" s="69"/>
      <c r="J1584" s="70"/>
      <c r="K1584" s="71"/>
      <c r="L1584" s="71"/>
      <c r="M1584" s="5"/>
    </row>
    <row r="1585" spans="1:13" s="3" customFormat="1">
      <c r="A1585" s="1"/>
      <c r="B1585" s="8"/>
      <c r="C1585" s="5"/>
      <c r="D1585" s="12"/>
      <c r="E1585" s="23"/>
      <c r="F1585" s="9"/>
      <c r="G1585" s="5"/>
      <c r="H1585" s="16"/>
      <c r="I1585" s="69"/>
      <c r="J1585" s="70"/>
      <c r="K1585" s="71"/>
      <c r="L1585" s="71"/>
      <c r="M1585" s="5"/>
    </row>
    <row r="1586" spans="1:13" s="3" customFormat="1">
      <c r="A1586" s="1"/>
      <c r="B1586" s="8"/>
      <c r="C1586" s="5"/>
      <c r="D1586" s="12"/>
      <c r="E1586" s="23"/>
      <c r="F1586" s="9"/>
      <c r="G1586" s="5"/>
      <c r="H1586" s="16"/>
      <c r="I1586" s="69"/>
      <c r="J1586" s="70"/>
      <c r="K1586" s="71"/>
      <c r="L1586" s="71"/>
      <c r="M1586" s="5"/>
    </row>
    <row r="1587" spans="1:13" s="3" customFormat="1">
      <c r="A1587" s="1"/>
      <c r="B1587" s="8"/>
      <c r="C1587" s="5"/>
      <c r="D1587" s="12"/>
      <c r="E1587" s="23"/>
      <c r="F1587" s="9"/>
      <c r="G1587" s="5"/>
      <c r="H1587" s="16"/>
      <c r="I1587" s="69"/>
      <c r="J1587" s="70"/>
      <c r="K1587" s="71"/>
      <c r="L1587" s="71"/>
      <c r="M1587" s="5"/>
    </row>
    <row r="1588" spans="1:13" s="3" customFormat="1">
      <c r="A1588" s="1"/>
      <c r="B1588" s="8"/>
      <c r="C1588" s="5"/>
      <c r="D1588" s="12"/>
      <c r="E1588" s="23"/>
      <c r="F1588" s="9"/>
      <c r="G1588" s="5"/>
      <c r="H1588" s="16"/>
      <c r="I1588" s="69"/>
      <c r="J1588" s="70"/>
      <c r="K1588" s="71"/>
      <c r="L1588" s="71"/>
      <c r="M1588" s="5"/>
    </row>
    <row r="1589" spans="1:13" s="3" customFormat="1">
      <c r="A1589" s="1"/>
      <c r="B1589" s="8"/>
      <c r="C1589" s="5"/>
      <c r="D1589" s="12"/>
      <c r="E1589" s="23"/>
      <c r="F1589" s="9"/>
      <c r="G1589" s="5"/>
      <c r="H1589" s="16"/>
      <c r="I1589" s="69"/>
      <c r="J1589" s="70"/>
      <c r="K1589" s="71"/>
      <c r="L1589" s="71"/>
      <c r="M1589" s="5"/>
    </row>
    <row r="1590" spans="1:13" s="3" customFormat="1">
      <c r="A1590" s="1"/>
      <c r="B1590" s="8"/>
      <c r="C1590" s="5"/>
      <c r="D1590" s="12"/>
      <c r="E1590" s="23"/>
      <c r="F1590" s="9"/>
      <c r="G1590" s="5"/>
      <c r="H1590" s="16"/>
      <c r="I1590" s="69"/>
      <c r="J1590" s="70"/>
      <c r="K1590" s="71"/>
      <c r="L1590" s="71"/>
      <c r="M1590" s="5"/>
    </row>
    <row r="1591" spans="1:13" s="3" customFormat="1">
      <c r="A1591" s="1"/>
      <c r="B1591" s="8"/>
      <c r="C1591" s="5"/>
      <c r="D1591" s="12"/>
      <c r="E1591" s="23"/>
      <c r="F1591" s="9"/>
      <c r="G1591" s="5"/>
      <c r="H1591" s="16"/>
      <c r="I1591" s="69"/>
      <c r="J1591" s="70"/>
      <c r="K1591" s="71"/>
      <c r="L1591" s="71"/>
      <c r="M1591" s="5"/>
    </row>
    <row r="1592" spans="1:13" s="3" customFormat="1">
      <c r="A1592" s="1"/>
      <c r="B1592" s="8"/>
      <c r="C1592" s="5"/>
      <c r="D1592" s="12"/>
      <c r="E1592" s="23"/>
      <c r="F1592" s="9"/>
      <c r="G1592" s="5"/>
      <c r="H1592" s="16"/>
      <c r="I1592" s="69"/>
      <c r="J1592" s="70"/>
      <c r="K1592" s="71"/>
      <c r="L1592" s="71"/>
      <c r="M1592" s="5"/>
    </row>
    <row r="1593" spans="1:13" s="3" customFormat="1">
      <c r="A1593" s="1"/>
      <c r="B1593" s="8"/>
      <c r="C1593" s="5"/>
      <c r="D1593" s="12"/>
      <c r="E1593" s="23"/>
      <c r="F1593" s="9"/>
      <c r="G1593" s="5"/>
      <c r="H1593" s="16"/>
      <c r="I1593" s="69"/>
      <c r="J1593" s="70"/>
      <c r="K1593" s="71"/>
      <c r="L1593" s="71"/>
      <c r="M1593" s="5"/>
    </row>
    <row r="1594" spans="1:13" s="3" customFormat="1">
      <c r="A1594" s="1"/>
      <c r="B1594" s="8"/>
      <c r="C1594" s="5"/>
      <c r="D1594" s="12"/>
      <c r="E1594" s="23"/>
      <c r="F1594" s="9"/>
      <c r="G1594" s="5"/>
      <c r="H1594" s="16"/>
      <c r="I1594" s="69"/>
      <c r="J1594" s="70"/>
      <c r="K1594" s="71"/>
      <c r="L1594" s="71"/>
      <c r="M1594" s="5"/>
    </row>
    <row r="1595" spans="1:13" s="3" customFormat="1">
      <c r="A1595" s="1"/>
      <c r="B1595" s="8"/>
      <c r="C1595" s="5"/>
      <c r="D1595" s="12"/>
      <c r="E1595" s="23"/>
      <c r="F1595" s="9"/>
      <c r="G1595" s="5"/>
      <c r="H1595" s="16"/>
      <c r="I1595" s="69"/>
      <c r="J1595" s="70"/>
      <c r="K1595" s="71"/>
      <c r="L1595" s="71"/>
      <c r="M1595" s="5"/>
    </row>
    <row r="1596" spans="1:13" s="3" customFormat="1">
      <c r="A1596" s="1"/>
      <c r="B1596" s="8"/>
      <c r="C1596" s="5"/>
      <c r="D1596" s="12"/>
      <c r="E1596" s="23"/>
      <c r="F1596" s="9"/>
      <c r="G1596" s="5"/>
      <c r="H1596" s="16"/>
      <c r="I1596" s="69"/>
      <c r="J1596" s="70"/>
      <c r="K1596" s="71"/>
      <c r="L1596" s="71"/>
      <c r="M1596" s="5"/>
    </row>
    <row r="1597" spans="1:13" s="3" customFormat="1">
      <c r="A1597" s="1"/>
      <c r="B1597" s="8"/>
      <c r="C1597" s="5"/>
      <c r="D1597" s="12"/>
      <c r="E1597" s="23"/>
      <c r="F1597" s="9"/>
      <c r="G1597" s="5"/>
      <c r="H1597" s="16"/>
      <c r="I1597" s="69"/>
      <c r="J1597" s="70"/>
      <c r="K1597" s="71"/>
      <c r="L1597" s="71"/>
      <c r="M1597" s="5"/>
    </row>
    <row r="1598" spans="1:13" s="3" customFormat="1">
      <c r="A1598" s="1"/>
      <c r="B1598" s="8"/>
      <c r="C1598" s="5"/>
      <c r="D1598" s="12"/>
      <c r="E1598" s="23"/>
      <c r="F1598" s="9"/>
      <c r="G1598" s="5"/>
      <c r="H1598" s="16"/>
      <c r="I1598" s="69"/>
      <c r="J1598" s="70"/>
      <c r="K1598" s="71"/>
      <c r="L1598" s="71"/>
      <c r="M1598" s="5"/>
    </row>
    <row r="1599" spans="1:13" s="3" customFormat="1">
      <c r="A1599" s="1"/>
      <c r="B1599" s="8"/>
      <c r="C1599" s="5"/>
      <c r="D1599" s="12"/>
      <c r="E1599" s="23"/>
      <c r="F1599" s="9"/>
      <c r="G1599" s="5"/>
      <c r="H1599" s="16"/>
      <c r="I1599" s="69"/>
      <c r="J1599" s="70"/>
      <c r="K1599" s="71"/>
      <c r="L1599" s="71"/>
      <c r="M1599" s="5"/>
    </row>
    <row r="1600" spans="1:13" s="3" customFormat="1">
      <c r="A1600" s="1"/>
      <c r="B1600" s="8"/>
      <c r="C1600" s="5"/>
      <c r="D1600" s="12"/>
      <c r="E1600" s="23"/>
      <c r="F1600" s="9"/>
      <c r="G1600" s="5"/>
      <c r="H1600" s="16"/>
      <c r="I1600" s="69"/>
      <c r="J1600" s="70"/>
      <c r="K1600" s="71"/>
      <c r="L1600" s="71"/>
      <c r="M1600" s="5"/>
    </row>
    <row r="1601" spans="1:13" s="3" customFormat="1">
      <c r="A1601" s="1"/>
      <c r="B1601" s="8"/>
      <c r="C1601" s="5"/>
      <c r="D1601" s="12"/>
      <c r="E1601" s="23"/>
      <c r="F1601" s="9"/>
      <c r="G1601" s="5"/>
      <c r="H1601" s="16"/>
      <c r="I1601" s="69"/>
      <c r="J1601" s="70"/>
      <c r="K1601" s="71"/>
      <c r="L1601" s="71"/>
      <c r="M1601" s="5"/>
    </row>
    <row r="1602" spans="1:13" s="3" customFormat="1">
      <c r="A1602" s="1"/>
      <c r="B1602" s="8"/>
      <c r="C1602" s="5"/>
      <c r="D1602" s="12"/>
      <c r="E1602" s="23"/>
      <c r="F1602" s="9"/>
      <c r="G1602" s="5"/>
      <c r="H1602" s="16"/>
      <c r="I1602" s="69"/>
      <c r="J1602" s="70"/>
      <c r="K1602" s="71"/>
      <c r="L1602" s="71"/>
      <c r="M1602" s="5"/>
    </row>
    <row r="1603" spans="1:13" s="3" customFormat="1">
      <c r="A1603" s="1"/>
      <c r="B1603" s="8"/>
      <c r="C1603" s="5"/>
      <c r="D1603" s="12"/>
      <c r="E1603" s="23"/>
      <c r="F1603" s="9"/>
      <c r="G1603" s="5"/>
      <c r="H1603" s="16"/>
      <c r="I1603" s="69"/>
      <c r="J1603" s="70"/>
      <c r="K1603" s="71"/>
      <c r="L1603" s="71"/>
      <c r="M1603" s="5"/>
    </row>
    <row r="1604" spans="1:13" s="3" customFormat="1">
      <c r="A1604" s="1"/>
      <c r="B1604" s="8"/>
      <c r="C1604" s="5"/>
      <c r="D1604" s="12"/>
      <c r="E1604" s="23"/>
      <c r="F1604" s="9"/>
      <c r="G1604" s="5"/>
      <c r="H1604" s="16"/>
      <c r="I1604" s="69"/>
      <c r="J1604" s="70"/>
      <c r="K1604" s="71"/>
      <c r="L1604" s="71"/>
      <c r="M1604" s="5"/>
    </row>
    <row r="1605" spans="1:13" s="3" customFormat="1">
      <c r="A1605" s="1"/>
      <c r="B1605" s="8"/>
      <c r="C1605" s="5"/>
      <c r="D1605" s="12"/>
      <c r="E1605" s="23"/>
      <c r="F1605" s="9"/>
      <c r="G1605" s="5"/>
      <c r="H1605" s="16"/>
      <c r="I1605" s="69"/>
      <c r="J1605" s="70"/>
      <c r="K1605" s="71"/>
      <c r="L1605" s="71"/>
      <c r="M1605" s="5"/>
    </row>
    <row r="1606" spans="1:13" s="3" customFormat="1">
      <c r="A1606" s="1"/>
      <c r="B1606" s="8"/>
      <c r="C1606" s="5"/>
      <c r="D1606" s="12"/>
      <c r="E1606" s="23"/>
      <c r="F1606" s="9"/>
      <c r="G1606" s="5"/>
      <c r="H1606" s="16"/>
      <c r="I1606" s="69"/>
      <c r="J1606" s="70"/>
      <c r="K1606" s="71"/>
      <c r="L1606" s="71"/>
      <c r="M1606" s="5"/>
    </row>
    <row r="1607" spans="1:13" s="3" customFormat="1">
      <c r="A1607" s="1"/>
      <c r="B1607" s="8"/>
      <c r="C1607" s="5"/>
      <c r="D1607" s="12"/>
      <c r="E1607" s="23"/>
      <c r="F1607" s="9"/>
      <c r="G1607" s="5"/>
      <c r="H1607" s="16"/>
      <c r="I1607" s="69"/>
      <c r="J1607" s="70"/>
      <c r="K1607" s="71"/>
      <c r="L1607" s="71"/>
      <c r="M1607" s="5"/>
    </row>
    <row r="1608" spans="1:13" s="3" customFormat="1">
      <c r="A1608" s="1"/>
      <c r="B1608" s="8"/>
      <c r="C1608" s="5"/>
      <c r="D1608" s="12"/>
      <c r="E1608" s="23"/>
      <c r="F1608" s="9"/>
      <c r="G1608" s="5"/>
      <c r="H1608" s="16"/>
      <c r="I1608" s="69"/>
      <c r="J1608" s="70"/>
      <c r="K1608" s="71"/>
      <c r="L1608" s="71"/>
      <c r="M1608" s="5"/>
    </row>
    <row r="1609" spans="1:13" s="3" customFormat="1">
      <c r="A1609" s="1"/>
      <c r="B1609" s="8"/>
      <c r="C1609" s="5"/>
      <c r="D1609" s="12"/>
      <c r="E1609" s="23"/>
      <c r="F1609" s="9"/>
      <c r="G1609" s="5"/>
      <c r="H1609" s="16"/>
      <c r="I1609" s="69"/>
      <c r="J1609" s="70"/>
      <c r="K1609" s="71"/>
      <c r="L1609" s="71"/>
      <c r="M1609" s="5"/>
    </row>
    <row r="1610" spans="1:13" s="3" customFormat="1">
      <c r="A1610" s="1"/>
      <c r="B1610" s="8"/>
      <c r="C1610" s="5"/>
      <c r="D1610" s="12"/>
      <c r="E1610" s="23"/>
      <c r="F1610" s="9"/>
      <c r="G1610" s="5"/>
      <c r="H1610" s="16"/>
      <c r="I1610" s="69"/>
      <c r="J1610" s="70"/>
      <c r="K1610" s="71"/>
      <c r="L1610" s="71"/>
      <c r="M1610" s="5"/>
    </row>
    <row r="1611" spans="1:13" s="3" customFormat="1">
      <c r="A1611" s="1"/>
      <c r="B1611" s="8"/>
      <c r="C1611" s="5"/>
      <c r="D1611" s="12"/>
      <c r="E1611" s="23"/>
      <c r="F1611" s="9"/>
      <c r="G1611" s="5"/>
      <c r="H1611" s="16"/>
      <c r="I1611" s="69"/>
      <c r="J1611" s="70"/>
      <c r="K1611" s="71"/>
      <c r="L1611" s="71"/>
      <c r="M1611" s="5"/>
    </row>
    <row r="1612" spans="1:13" s="3" customFormat="1">
      <c r="A1612" s="1"/>
      <c r="B1612" s="8"/>
      <c r="C1612" s="5"/>
      <c r="D1612" s="12"/>
      <c r="E1612" s="23"/>
      <c r="F1612" s="9"/>
      <c r="G1612" s="5"/>
      <c r="H1612" s="16"/>
      <c r="I1612" s="69"/>
      <c r="J1612" s="70"/>
      <c r="K1612" s="71"/>
      <c r="L1612" s="71"/>
      <c r="M1612" s="5"/>
    </row>
    <row r="1613" spans="1:13" s="3" customFormat="1">
      <c r="A1613" s="1"/>
      <c r="B1613" s="8"/>
      <c r="C1613" s="5"/>
      <c r="D1613" s="12"/>
      <c r="E1613" s="23"/>
      <c r="F1613" s="9"/>
      <c r="G1613" s="5"/>
      <c r="H1613" s="16"/>
      <c r="I1613" s="69"/>
      <c r="J1613" s="70"/>
      <c r="K1613" s="71"/>
      <c r="L1613" s="71"/>
      <c r="M1613" s="5"/>
    </row>
    <row r="1614" spans="1:13" s="3" customFormat="1">
      <c r="A1614" s="1"/>
      <c r="B1614" s="8"/>
      <c r="C1614" s="5"/>
      <c r="D1614" s="12"/>
      <c r="E1614" s="23"/>
      <c r="F1614" s="9"/>
      <c r="G1614" s="5"/>
      <c r="H1614" s="16"/>
      <c r="I1614" s="69"/>
      <c r="J1614" s="70"/>
      <c r="K1614" s="71"/>
      <c r="L1614" s="71"/>
      <c r="M1614" s="5"/>
    </row>
    <row r="1615" spans="1:13" s="3" customFormat="1">
      <c r="A1615" s="1"/>
      <c r="B1615" s="8"/>
      <c r="C1615" s="5"/>
      <c r="D1615" s="12"/>
      <c r="E1615" s="23"/>
      <c r="F1615" s="9"/>
      <c r="G1615" s="5"/>
      <c r="H1615" s="16"/>
      <c r="I1615" s="69"/>
      <c r="J1615" s="70"/>
      <c r="K1615" s="71"/>
      <c r="L1615" s="71"/>
      <c r="M1615" s="5"/>
    </row>
    <row r="1616" spans="1:13" s="3" customFormat="1">
      <c r="A1616" s="1"/>
      <c r="B1616" s="8"/>
      <c r="C1616" s="5"/>
      <c r="D1616" s="12"/>
      <c r="E1616" s="23"/>
      <c r="F1616" s="9"/>
      <c r="G1616" s="5"/>
      <c r="H1616" s="16"/>
      <c r="I1616" s="69"/>
      <c r="J1616" s="70"/>
      <c r="K1616" s="71"/>
      <c r="L1616" s="71"/>
      <c r="M1616" s="5"/>
    </row>
    <row r="1617" spans="1:13" s="3" customFormat="1">
      <c r="A1617" s="1"/>
      <c r="B1617" s="8"/>
      <c r="C1617" s="5"/>
      <c r="D1617" s="12"/>
      <c r="E1617" s="23"/>
      <c r="F1617" s="9"/>
      <c r="G1617" s="5"/>
      <c r="H1617" s="16"/>
      <c r="I1617" s="69"/>
      <c r="J1617" s="70"/>
      <c r="K1617" s="71"/>
      <c r="L1617" s="71"/>
      <c r="M1617" s="5"/>
    </row>
    <row r="1618" spans="1:13" s="3" customFormat="1">
      <c r="A1618" s="1"/>
      <c r="B1618" s="8"/>
      <c r="C1618" s="5"/>
      <c r="D1618" s="12"/>
      <c r="E1618" s="23"/>
      <c r="F1618" s="9"/>
      <c r="G1618" s="5"/>
      <c r="H1618" s="16"/>
      <c r="I1618" s="69"/>
      <c r="J1618" s="70"/>
      <c r="K1618" s="71"/>
      <c r="L1618" s="71"/>
      <c r="M1618" s="5"/>
    </row>
    <row r="1619" spans="1:13" s="3" customFormat="1">
      <c r="A1619" s="1"/>
      <c r="B1619" s="8"/>
      <c r="C1619" s="5"/>
      <c r="D1619" s="12"/>
      <c r="E1619" s="23"/>
      <c r="F1619" s="9"/>
      <c r="G1619" s="5"/>
      <c r="H1619" s="16"/>
      <c r="I1619" s="69"/>
      <c r="J1619" s="70"/>
      <c r="K1619" s="71"/>
      <c r="L1619" s="71"/>
      <c r="M1619" s="5"/>
    </row>
    <row r="1620" spans="1:13" s="3" customFormat="1">
      <c r="A1620" s="1"/>
      <c r="B1620" s="8"/>
      <c r="C1620" s="5"/>
      <c r="D1620" s="12"/>
      <c r="E1620" s="23"/>
      <c r="F1620" s="9"/>
      <c r="G1620" s="5"/>
      <c r="H1620" s="16"/>
      <c r="I1620" s="69"/>
      <c r="J1620" s="70"/>
      <c r="K1620" s="71"/>
      <c r="L1620" s="71"/>
      <c r="M1620" s="5"/>
    </row>
    <row r="1621" spans="1:13" s="3" customFormat="1">
      <c r="A1621" s="1"/>
      <c r="B1621" s="8"/>
      <c r="C1621" s="5"/>
      <c r="D1621" s="12"/>
      <c r="E1621" s="23"/>
      <c r="F1621" s="9"/>
      <c r="G1621" s="5"/>
      <c r="H1621" s="16"/>
      <c r="I1621" s="69"/>
      <c r="J1621" s="70"/>
      <c r="K1621" s="71"/>
      <c r="L1621" s="71"/>
      <c r="M1621" s="5"/>
    </row>
    <row r="1622" spans="1:13" s="3" customFormat="1">
      <c r="A1622" s="1"/>
      <c r="B1622" s="8"/>
      <c r="C1622" s="5"/>
      <c r="D1622" s="12"/>
      <c r="E1622" s="23"/>
      <c r="F1622" s="9"/>
      <c r="G1622" s="5"/>
      <c r="H1622" s="16"/>
      <c r="I1622" s="69"/>
      <c r="J1622" s="70"/>
      <c r="K1622" s="71"/>
      <c r="L1622" s="71"/>
      <c r="M1622" s="5"/>
    </row>
    <row r="1623" spans="1:13" s="3" customFormat="1">
      <c r="A1623" s="1"/>
      <c r="B1623" s="8"/>
      <c r="C1623" s="5"/>
      <c r="D1623" s="12"/>
      <c r="E1623" s="23"/>
      <c r="F1623" s="9"/>
      <c r="G1623" s="5"/>
      <c r="H1623" s="16"/>
      <c r="I1623" s="69"/>
      <c r="J1623" s="70"/>
      <c r="K1623" s="71"/>
      <c r="L1623" s="71"/>
      <c r="M1623" s="5"/>
    </row>
    <row r="1624" spans="1:13" s="3" customFormat="1">
      <c r="A1624" s="1"/>
      <c r="B1624" s="8"/>
      <c r="C1624" s="5"/>
      <c r="D1624" s="12"/>
      <c r="E1624" s="23"/>
      <c r="F1624" s="9"/>
      <c r="G1624" s="5"/>
      <c r="H1624" s="16"/>
      <c r="I1624" s="69"/>
      <c r="J1624" s="70"/>
      <c r="K1624" s="71"/>
      <c r="L1624" s="71"/>
      <c r="M1624" s="5"/>
    </row>
    <row r="1625" spans="1:13" s="3" customFormat="1">
      <c r="A1625" s="1"/>
      <c r="B1625" s="8"/>
      <c r="C1625" s="5"/>
      <c r="D1625" s="12"/>
      <c r="E1625" s="23"/>
      <c r="F1625" s="9"/>
      <c r="G1625" s="5"/>
      <c r="H1625" s="16"/>
      <c r="I1625" s="69"/>
      <c r="J1625" s="70"/>
      <c r="K1625" s="71"/>
      <c r="L1625" s="71"/>
      <c r="M1625" s="5"/>
    </row>
    <row r="1626" spans="1:13" s="3" customFormat="1">
      <c r="A1626" s="1"/>
      <c r="B1626" s="8"/>
      <c r="C1626" s="5"/>
      <c r="D1626" s="12"/>
      <c r="E1626" s="23"/>
      <c r="F1626" s="9"/>
      <c r="G1626" s="5"/>
      <c r="H1626" s="16"/>
      <c r="I1626" s="69"/>
      <c r="J1626" s="70"/>
      <c r="K1626" s="71"/>
      <c r="L1626" s="71"/>
      <c r="M1626" s="5"/>
    </row>
    <row r="1627" spans="1:13" s="3" customFormat="1">
      <c r="A1627" s="1"/>
      <c r="B1627" s="8"/>
      <c r="C1627" s="5"/>
      <c r="D1627" s="12"/>
      <c r="E1627" s="23"/>
      <c r="F1627" s="9"/>
      <c r="G1627" s="5"/>
      <c r="H1627" s="16"/>
      <c r="I1627" s="69"/>
      <c r="J1627" s="70"/>
      <c r="K1627" s="71"/>
      <c r="L1627" s="71"/>
      <c r="M1627" s="5"/>
    </row>
  </sheetData>
  <autoFilter ref="A3:M295">
    <filterColumn colId="0" showButton="0"/>
    <filterColumn colId="1"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autoFilter>
  <mergeCells count="430">
    <mergeCell ref="L291:L295"/>
    <mergeCell ref="M291:M295"/>
    <mergeCell ref="A291:A295"/>
    <mergeCell ref="B291:B295"/>
    <mergeCell ref="H291:H295"/>
    <mergeCell ref="I291:I295"/>
    <mergeCell ref="J291:J295"/>
    <mergeCell ref="K291:K295"/>
    <mergeCell ref="A286:A290"/>
    <mergeCell ref="B286:B290"/>
    <mergeCell ref="H286:H290"/>
    <mergeCell ref="K286:K290"/>
    <mergeCell ref="L286:L290"/>
    <mergeCell ref="M286:M290"/>
    <mergeCell ref="A281:A285"/>
    <mergeCell ref="B281:B285"/>
    <mergeCell ref="H281:H285"/>
    <mergeCell ref="K281:K285"/>
    <mergeCell ref="L281:L285"/>
    <mergeCell ref="M281:M285"/>
    <mergeCell ref="L271:L275"/>
    <mergeCell ref="M271:M275"/>
    <mergeCell ref="A276:A280"/>
    <mergeCell ref="B276:B280"/>
    <mergeCell ref="H276:H280"/>
    <mergeCell ref="I276:I280"/>
    <mergeCell ref="J276:J280"/>
    <mergeCell ref="K276:K280"/>
    <mergeCell ref="L276:L280"/>
    <mergeCell ref="M276:M280"/>
    <mergeCell ref="A271:A275"/>
    <mergeCell ref="B271:B275"/>
    <mergeCell ref="H271:H275"/>
    <mergeCell ref="I271:I275"/>
    <mergeCell ref="J271:J275"/>
    <mergeCell ref="K271:K275"/>
    <mergeCell ref="A266:A270"/>
    <mergeCell ref="B266:B270"/>
    <mergeCell ref="H266:H270"/>
    <mergeCell ref="K266:K270"/>
    <mergeCell ref="L266:L270"/>
    <mergeCell ref="M266:M270"/>
    <mergeCell ref="L256:L260"/>
    <mergeCell ref="M256:M260"/>
    <mergeCell ref="A261:A265"/>
    <mergeCell ref="B261:B265"/>
    <mergeCell ref="H261:H265"/>
    <mergeCell ref="I261:I265"/>
    <mergeCell ref="J261:J265"/>
    <mergeCell ref="K261:K265"/>
    <mergeCell ref="L261:L265"/>
    <mergeCell ref="M261:M265"/>
    <mergeCell ref="A256:A260"/>
    <mergeCell ref="B256:B260"/>
    <mergeCell ref="H256:H260"/>
    <mergeCell ref="I256:I260"/>
    <mergeCell ref="J256:J260"/>
    <mergeCell ref="K256:K260"/>
    <mergeCell ref="A251:A255"/>
    <mergeCell ref="B251:B255"/>
    <mergeCell ref="H251:H255"/>
    <mergeCell ref="K251:K255"/>
    <mergeCell ref="L251:L255"/>
    <mergeCell ref="M251:M255"/>
    <mergeCell ref="L241:L245"/>
    <mergeCell ref="M241:M245"/>
    <mergeCell ref="A246:A250"/>
    <mergeCell ref="B246:B250"/>
    <mergeCell ref="H246:H250"/>
    <mergeCell ref="I246:I250"/>
    <mergeCell ref="J246:J250"/>
    <mergeCell ref="K246:K250"/>
    <mergeCell ref="L246:L250"/>
    <mergeCell ref="M246:M250"/>
    <mergeCell ref="A241:A245"/>
    <mergeCell ref="B241:B245"/>
    <mergeCell ref="H241:H245"/>
    <mergeCell ref="I241:I245"/>
    <mergeCell ref="J241:J245"/>
    <mergeCell ref="K241:K245"/>
    <mergeCell ref="M231:M235"/>
    <mergeCell ref="A236:A240"/>
    <mergeCell ref="B236:B240"/>
    <mergeCell ref="H236:H240"/>
    <mergeCell ref="I236:I240"/>
    <mergeCell ref="J236:J240"/>
    <mergeCell ref="K236:K240"/>
    <mergeCell ref="L236:L240"/>
    <mergeCell ref="M236:M240"/>
    <mergeCell ref="L226:L230"/>
    <mergeCell ref="A231:A235"/>
    <mergeCell ref="B231:B235"/>
    <mergeCell ref="H231:H235"/>
    <mergeCell ref="K231:K235"/>
    <mergeCell ref="L231:L235"/>
    <mergeCell ref="A226:A230"/>
    <mergeCell ref="B226:B230"/>
    <mergeCell ref="H226:H230"/>
    <mergeCell ref="I226:I230"/>
    <mergeCell ref="J226:J230"/>
    <mergeCell ref="K226:K230"/>
    <mergeCell ref="A221:A225"/>
    <mergeCell ref="B221:B225"/>
    <mergeCell ref="H221:H225"/>
    <mergeCell ref="K221:K225"/>
    <mergeCell ref="L221:L225"/>
    <mergeCell ref="M221:M225"/>
    <mergeCell ref="L211:L215"/>
    <mergeCell ref="M211:M215"/>
    <mergeCell ref="A216:A220"/>
    <mergeCell ref="B216:B220"/>
    <mergeCell ref="H216:H220"/>
    <mergeCell ref="I216:I220"/>
    <mergeCell ref="J216:J220"/>
    <mergeCell ref="K216:K220"/>
    <mergeCell ref="L216:L220"/>
    <mergeCell ref="M216:M220"/>
    <mergeCell ref="A211:A215"/>
    <mergeCell ref="B211:B215"/>
    <mergeCell ref="H211:H215"/>
    <mergeCell ref="I211:I215"/>
    <mergeCell ref="J211:J215"/>
    <mergeCell ref="K211:K215"/>
    <mergeCell ref="L201:L205"/>
    <mergeCell ref="M201:M205"/>
    <mergeCell ref="A206:A210"/>
    <mergeCell ref="B206:B210"/>
    <mergeCell ref="H206:H210"/>
    <mergeCell ref="I206:I210"/>
    <mergeCell ref="J206:J210"/>
    <mergeCell ref="K206:K210"/>
    <mergeCell ref="L206:L210"/>
    <mergeCell ref="M206:M210"/>
    <mergeCell ref="A201:A205"/>
    <mergeCell ref="B201:B205"/>
    <mergeCell ref="H201:H205"/>
    <mergeCell ref="I201:I205"/>
    <mergeCell ref="J201:J205"/>
    <mergeCell ref="K201:K205"/>
    <mergeCell ref="L191:L195"/>
    <mergeCell ref="M191:M195"/>
    <mergeCell ref="A196:A200"/>
    <mergeCell ref="B196:B200"/>
    <mergeCell ref="H196:H200"/>
    <mergeCell ref="K196:K200"/>
    <mergeCell ref="A191:A195"/>
    <mergeCell ref="B191:B195"/>
    <mergeCell ref="H191:H195"/>
    <mergeCell ref="I191:I195"/>
    <mergeCell ref="J191:J195"/>
    <mergeCell ref="K191:K195"/>
    <mergeCell ref="A186:A190"/>
    <mergeCell ref="B186:B190"/>
    <mergeCell ref="H186:H190"/>
    <mergeCell ref="K186:K190"/>
    <mergeCell ref="L186:L190"/>
    <mergeCell ref="M186:M190"/>
    <mergeCell ref="A181:A185"/>
    <mergeCell ref="B181:B185"/>
    <mergeCell ref="H181:H185"/>
    <mergeCell ref="K181:K185"/>
    <mergeCell ref="L181:L185"/>
    <mergeCell ref="M181:M185"/>
    <mergeCell ref="L171:L175"/>
    <mergeCell ref="M171:M175"/>
    <mergeCell ref="A176:A180"/>
    <mergeCell ref="B176:B180"/>
    <mergeCell ref="H176:H180"/>
    <mergeCell ref="I176:I180"/>
    <mergeCell ref="J176:J180"/>
    <mergeCell ref="K176:K180"/>
    <mergeCell ref="L176:L180"/>
    <mergeCell ref="M176:M180"/>
    <mergeCell ref="A171:A175"/>
    <mergeCell ref="B171:B175"/>
    <mergeCell ref="H171:H175"/>
    <mergeCell ref="I171:I175"/>
    <mergeCell ref="J171:J175"/>
    <mergeCell ref="K171:K175"/>
    <mergeCell ref="A166:A170"/>
    <mergeCell ref="B166:B170"/>
    <mergeCell ref="H166:H170"/>
    <mergeCell ref="K166:K170"/>
    <mergeCell ref="L166:L170"/>
    <mergeCell ref="M166:M170"/>
    <mergeCell ref="L156:L160"/>
    <mergeCell ref="M156:M160"/>
    <mergeCell ref="A161:A165"/>
    <mergeCell ref="B161:B165"/>
    <mergeCell ref="H161:H165"/>
    <mergeCell ref="I161:I165"/>
    <mergeCell ref="J161:J165"/>
    <mergeCell ref="K161:K165"/>
    <mergeCell ref="L161:L165"/>
    <mergeCell ref="M161:M165"/>
    <mergeCell ref="A156:A160"/>
    <mergeCell ref="B156:B160"/>
    <mergeCell ref="H156:H160"/>
    <mergeCell ref="I156:I160"/>
    <mergeCell ref="J156:J160"/>
    <mergeCell ref="K156:K160"/>
    <mergeCell ref="A151:A155"/>
    <mergeCell ref="B151:B155"/>
    <mergeCell ref="H151:H155"/>
    <mergeCell ref="K151:K155"/>
    <mergeCell ref="L151:L155"/>
    <mergeCell ref="M151:M155"/>
    <mergeCell ref="L141:L145"/>
    <mergeCell ref="M141:M145"/>
    <mergeCell ref="A146:A150"/>
    <mergeCell ref="B146:B150"/>
    <mergeCell ref="H146:H150"/>
    <mergeCell ref="I146:I150"/>
    <mergeCell ref="J146:J150"/>
    <mergeCell ref="K146:K150"/>
    <mergeCell ref="L146:L150"/>
    <mergeCell ref="M146:M150"/>
    <mergeCell ref="A141:A145"/>
    <mergeCell ref="B141:B145"/>
    <mergeCell ref="H141:H145"/>
    <mergeCell ref="I141:I145"/>
    <mergeCell ref="J141:J145"/>
    <mergeCell ref="K141:K145"/>
    <mergeCell ref="L131:L135"/>
    <mergeCell ref="M131:M135"/>
    <mergeCell ref="A136:A140"/>
    <mergeCell ref="B136:B140"/>
    <mergeCell ref="H136:H140"/>
    <mergeCell ref="I136:I140"/>
    <mergeCell ref="J136:J140"/>
    <mergeCell ref="K136:K140"/>
    <mergeCell ref="L136:L140"/>
    <mergeCell ref="M136:M140"/>
    <mergeCell ref="A131:A135"/>
    <mergeCell ref="B131:B135"/>
    <mergeCell ref="H131:H135"/>
    <mergeCell ref="I131:I135"/>
    <mergeCell ref="J131:J135"/>
    <mergeCell ref="K131:K135"/>
    <mergeCell ref="L121:L125"/>
    <mergeCell ref="M121:M125"/>
    <mergeCell ref="A126:A130"/>
    <mergeCell ref="B126:B130"/>
    <mergeCell ref="H126:H130"/>
    <mergeCell ref="I126:I130"/>
    <mergeCell ref="J126:J130"/>
    <mergeCell ref="K126:K130"/>
    <mergeCell ref="M126:M130"/>
    <mergeCell ref="A121:A125"/>
    <mergeCell ref="B121:B125"/>
    <mergeCell ref="H121:H125"/>
    <mergeCell ref="I121:I125"/>
    <mergeCell ref="J121:J125"/>
    <mergeCell ref="K121:K125"/>
    <mergeCell ref="L111:L115"/>
    <mergeCell ref="M111:M115"/>
    <mergeCell ref="A116:A120"/>
    <mergeCell ref="B116:B120"/>
    <mergeCell ref="H116:H120"/>
    <mergeCell ref="I116:I120"/>
    <mergeCell ref="J116:J120"/>
    <mergeCell ref="K116:K120"/>
    <mergeCell ref="L116:L120"/>
    <mergeCell ref="M116:M120"/>
    <mergeCell ref="A111:A115"/>
    <mergeCell ref="B111:B115"/>
    <mergeCell ref="H111:H115"/>
    <mergeCell ref="I111:I115"/>
    <mergeCell ref="J111:J115"/>
    <mergeCell ref="K111:K115"/>
    <mergeCell ref="L101:L105"/>
    <mergeCell ref="M101:M105"/>
    <mergeCell ref="A106:A110"/>
    <mergeCell ref="B106:B110"/>
    <mergeCell ref="H106:H110"/>
    <mergeCell ref="I106:I110"/>
    <mergeCell ref="J106:J110"/>
    <mergeCell ref="K106:K110"/>
    <mergeCell ref="L106:L110"/>
    <mergeCell ref="M106:M110"/>
    <mergeCell ref="A101:A105"/>
    <mergeCell ref="B101:B105"/>
    <mergeCell ref="H101:H105"/>
    <mergeCell ref="I101:I105"/>
    <mergeCell ref="J101:J105"/>
    <mergeCell ref="K101:K105"/>
    <mergeCell ref="A96:A100"/>
    <mergeCell ref="B96:B100"/>
    <mergeCell ref="H96:H100"/>
    <mergeCell ref="K96:K100"/>
    <mergeCell ref="L96:L100"/>
    <mergeCell ref="M96:M100"/>
    <mergeCell ref="A91:A95"/>
    <mergeCell ref="B91:B95"/>
    <mergeCell ref="H91:H95"/>
    <mergeCell ref="K91:K95"/>
    <mergeCell ref="L91:L95"/>
    <mergeCell ref="M91:M95"/>
    <mergeCell ref="L81:L85"/>
    <mergeCell ref="M81:M85"/>
    <mergeCell ref="A86:A90"/>
    <mergeCell ref="B86:B90"/>
    <mergeCell ref="H86:H90"/>
    <mergeCell ref="I86:I90"/>
    <mergeCell ref="J86:J90"/>
    <mergeCell ref="K86:K90"/>
    <mergeCell ref="L86:L90"/>
    <mergeCell ref="M86:M90"/>
    <mergeCell ref="A81:A85"/>
    <mergeCell ref="B81:B85"/>
    <mergeCell ref="H81:H85"/>
    <mergeCell ref="I81:I85"/>
    <mergeCell ref="J81:J85"/>
    <mergeCell ref="K81:K85"/>
    <mergeCell ref="L71:L75"/>
    <mergeCell ref="M71:M75"/>
    <mergeCell ref="A76:A80"/>
    <mergeCell ref="B76:B80"/>
    <mergeCell ref="H76:H80"/>
    <mergeCell ref="K76:K80"/>
    <mergeCell ref="L76:L80"/>
    <mergeCell ref="M76:M80"/>
    <mergeCell ref="A71:A75"/>
    <mergeCell ref="B71:B75"/>
    <mergeCell ref="H71:H75"/>
    <mergeCell ref="I71:I75"/>
    <mergeCell ref="J71:J75"/>
    <mergeCell ref="K71:K75"/>
    <mergeCell ref="L61:L65"/>
    <mergeCell ref="M61:M65"/>
    <mergeCell ref="A66:A70"/>
    <mergeCell ref="B66:B70"/>
    <mergeCell ref="H66:H70"/>
    <mergeCell ref="I66:I70"/>
    <mergeCell ref="J66:J70"/>
    <mergeCell ref="K66:K70"/>
    <mergeCell ref="L66:L70"/>
    <mergeCell ref="M66:M70"/>
    <mergeCell ref="A61:A65"/>
    <mergeCell ref="B61:B65"/>
    <mergeCell ref="H61:H65"/>
    <mergeCell ref="I61:I65"/>
    <mergeCell ref="J61:J65"/>
    <mergeCell ref="K61:K65"/>
    <mergeCell ref="L51:L55"/>
    <mergeCell ref="M51:M55"/>
    <mergeCell ref="A56:A60"/>
    <mergeCell ref="B56:B60"/>
    <mergeCell ref="H56:H60"/>
    <mergeCell ref="I56:I60"/>
    <mergeCell ref="J56:J60"/>
    <mergeCell ref="K56:K60"/>
    <mergeCell ref="L56:L60"/>
    <mergeCell ref="M56:M60"/>
    <mergeCell ref="A51:A55"/>
    <mergeCell ref="B51:B55"/>
    <mergeCell ref="H51:H55"/>
    <mergeCell ref="I51:I55"/>
    <mergeCell ref="J51:J55"/>
    <mergeCell ref="K51:K55"/>
    <mergeCell ref="L41:L45"/>
    <mergeCell ref="M41:M45"/>
    <mergeCell ref="A46:A50"/>
    <mergeCell ref="B46:B50"/>
    <mergeCell ref="H46:H50"/>
    <mergeCell ref="I46:I50"/>
    <mergeCell ref="J46:J50"/>
    <mergeCell ref="K46:K50"/>
    <mergeCell ref="L46:L50"/>
    <mergeCell ref="M46:M50"/>
    <mergeCell ref="A41:A45"/>
    <mergeCell ref="B41:B45"/>
    <mergeCell ref="H41:H45"/>
    <mergeCell ref="I41:I45"/>
    <mergeCell ref="J41:J45"/>
    <mergeCell ref="K41:K45"/>
    <mergeCell ref="L31:L35"/>
    <mergeCell ref="M31:M35"/>
    <mergeCell ref="A36:A40"/>
    <mergeCell ref="B36:B40"/>
    <mergeCell ref="H36:H40"/>
    <mergeCell ref="I36:I40"/>
    <mergeCell ref="J36:J40"/>
    <mergeCell ref="K36:K40"/>
    <mergeCell ref="L36:L40"/>
    <mergeCell ref="M36:M40"/>
    <mergeCell ref="A31:A35"/>
    <mergeCell ref="B31:B35"/>
    <mergeCell ref="H31:H35"/>
    <mergeCell ref="I31:I35"/>
    <mergeCell ref="J31:J35"/>
    <mergeCell ref="K31:K35"/>
    <mergeCell ref="A26:A30"/>
    <mergeCell ref="B26:B30"/>
    <mergeCell ref="H26:H30"/>
    <mergeCell ref="K26:K30"/>
    <mergeCell ref="L26:L30"/>
    <mergeCell ref="M26:M30"/>
    <mergeCell ref="A21:A25"/>
    <mergeCell ref="B21:B25"/>
    <mergeCell ref="H21:H25"/>
    <mergeCell ref="K21:K25"/>
    <mergeCell ref="L21:L25"/>
    <mergeCell ref="M21:M25"/>
    <mergeCell ref="A16:A20"/>
    <mergeCell ref="B16:B20"/>
    <mergeCell ref="H16:H20"/>
    <mergeCell ref="K16:K20"/>
    <mergeCell ref="L16:L20"/>
    <mergeCell ref="M16:M20"/>
    <mergeCell ref="A11:A15"/>
    <mergeCell ref="B11:B15"/>
    <mergeCell ref="H11:H15"/>
    <mergeCell ref="K11:K15"/>
    <mergeCell ref="L11:L15"/>
    <mergeCell ref="M11:M15"/>
    <mergeCell ref="A6:A10"/>
    <mergeCell ref="B6:B10"/>
    <mergeCell ref="H6:H10"/>
    <mergeCell ref="K6:K10"/>
    <mergeCell ref="L6:L10"/>
    <mergeCell ref="M6:M10"/>
    <mergeCell ref="A3:M3"/>
    <mergeCell ref="A4:A5"/>
    <mergeCell ref="B4:B5"/>
    <mergeCell ref="C4:G4"/>
    <mergeCell ref="H4:J4"/>
    <mergeCell ref="K4:K5"/>
    <mergeCell ref="L4:L5"/>
    <mergeCell ref="M4:M5"/>
  </mergeCells>
  <pageMargins left="0.23622047244094491" right="0" top="0.74803149606299213" bottom="0.59055118110236227" header="0" footer="0"/>
  <pageSetup paperSize="8" scale="76" fitToHeight="0" orientation="landscape" r:id="rId1"/>
  <rowBreaks count="3" manualBreakCount="3">
    <brk id="25" max="16383" man="1"/>
    <brk id="115" max="16383" man="1"/>
    <brk id="185" max="16383"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13</vt:i4>
      </vt:variant>
      <vt:variant>
        <vt:lpstr>Именованные диапазоны</vt:lpstr>
      </vt:variant>
      <vt:variant>
        <vt:i4>12</vt:i4>
      </vt:variant>
    </vt:vector>
  </HeadingPairs>
  <TitlesOfParts>
    <vt:vector size="25" baseType="lpstr">
      <vt:lpstr>12А</vt:lpstr>
      <vt:lpstr>12Б_2024_6 мес (2)</vt:lpstr>
      <vt:lpstr>МИНСТРОЙ</vt:lpstr>
      <vt:lpstr>Документ</vt:lpstr>
      <vt:lpstr>2024</vt:lpstr>
      <vt:lpstr>912-ПП</vt:lpstr>
      <vt:lpstr>12А_2024</vt:lpstr>
      <vt:lpstr>334-ПП</vt:lpstr>
      <vt:lpstr>12Б_2024</vt:lpstr>
      <vt:lpstr>12В</vt:lpstr>
      <vt:lpstr>12Г</vt:lpstr>
      <vt:lpstr>12Д</vt:lpstr>
      <vt:lpstr>12А_2024 (2)</vt:lpstr>
      <vt:lpstr>'334-ПП'!Print_Titles</vt:lpstr>
      <vt:lpstr>'12Г'!Заголовки_для_печати</vt:lpstr>
      <vt:lpstr>Документ!Заголовки_для_печати</vt:lpstr>
      <vt:lpstr>'12А'!Область_печати</vt:lpstr>
      <vt:lpstr>'12А_2024'!Область_печати</vt:lpstr>
      <vt:lpstr>'12А_2024 (2)'!Область_печати</vt:lpstr>
      <vt:lpstr>'12В'!Область_печати</vt:lpstr>
      <vt:lpstr>'12Г'!Область_печати</vt:lpstr>
      <vt:lpstr>'12Д'!Область_печати</vt:lpstr>
      <vt:lpstr>'2024'!Область_печати</vt:lpstr>
      <vt:lpstr>'334-ПП'!Область_печати</vt:lpstr>
      <vt:lpstr>МИНСТРОЙ!Область_печати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Богданов В.В.</dc:creator>
  <cp:lastModifiedBy>Мисюк Т.П.</cp:lastModifiedBy>
  <cp:lastPrinted>2025-05-06T11:34:02Z</cp:lastPrinted>
  <dcterms:created xsi:type="dcterms:W3CDTF">2017-05-03T14:05:21Z</dcterms:created>
  <dcterms:modified xsi:type="dcterms:W3CDTF">2025-05-20T08:08:23Z</dcterms:modified>
</cp:coreProperties>
</file>